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96" windowWidth="15192" windowHeight="7668" tabRatio="858" firstSheet="16" activeTab="19"/>
  </bookViews>
  <sheets>
    <sheet name="PJM_01212000" sheetId="42" r:id="rId1"/>
    <sheet name="Super Peak Curve" sheetId="11403" r:id="rId2"/>
    <sheet name="Super Peak Curve Simulation" sheetId="11404" r:id="rId3"/>
    <sheet name="Fuel Curve" sheetId="41" r:id="rId4"/>
    <sheet name="Fuel Curve Graph" sheetId="11401" r:id="rId5"/>
    <sheet name="Power Curve Graph" sheetId="11402" r:id="rId6"/>
    <sheet name="Curve Analysis - Base Case" sheetId="11405" r:id="rId7"/>
    <sheet name="Deal Depiction" sheetId="11406" r:id="rId8"/>
    <sheet name="Credit Reserve Simulation" sheetId="11407" r:id="rId9"/>
    <sheet name="Curve Comparison" sheetId="11400" r:id="rId10"/>
    <sheet name="Company Volumes" sheetId="8908" r:id="rId11"/>
    <sheet name="Company Power Prices" sheetId="11398" r:id="rId12"/>
    <sheet name="Company Gas Prices" sheetId="11399" r:id="rId13"/>
    <sheet name="Inflation" sheetId="60" r:id="rId14"/>
    <sheet name="PJM Curve Simulation" sheetId="8804" r:id="rId15"/>
    <sheet name="Fuel Curve Simulation" sheetId="11397" r:id="rId16"/>
    <sheet name="Revenues &amp; Expenses" sheetId="18" r:id="rId17"/>
    <sheet name="Financial Statements" sheetId="11396" r:id="rId18"/>
    <sheet name="Debt Amortization" sheetId="56" r:id="rId19"/>
    <sheet name="IS Comparison" sheetId="11408" r:id="rId20"/>
  </sheets>
  <externalReferences>
    <externalReference r:id="rId21"/>
  </externalReferences>
  <definedNames>
    <definedName name="BasisDate">#REF!</definedName>
    <definedName name="BasisNumber">#REF!</definedName>
    <definedName name="ExpirationDatesTable">#REF!</definedName>
    <definedName name="Price">#REF!</definedName>
    <definedName name="PriceCurveDate">#REF!</definedName>
    <definedName name="PriceDate">#REF!</definedName>
    <definedName name="_xlnm.Print_Area" localSheetId="10">'Company Volumes'!$B$2:$V$17</definedName>
    <definedName name="_xlnm.Print_Area" localSheetId="6">'Curve Analysis - Base Case'!$AB$2:$AS$40</definedName>
    <definedName name="_xlnm.Print_Area" localSheetId="7">'Deal Depiction'!$B$2:$R$56</definedName>
    <definedName name="_xlnm.Print_Area" localSheetId="18">'Debt Amortization'!$G$5:$AB$16</definedName>
    <definedName name="_xlnm.Print_Area" localSheetId="17">'Financial Statements'!$B$7:$W$44</definedName>
    <definedName name="_xlnm.Print_Area" localSheetId="19">'IS Comparison'!$B$4:$X$70</definedName>
    <definedName name="_xlnm.Print_Area" localSheetId="1">'Super Peak Curve'!$AZ$1:$BL$29</definedName>
    <definedName name="_xlnm.Print_Area" localSheetId="2">'Super Peak Curve Simulation'!$B$2:$N$14</definedName>
    <definedName name="Prompt">#REF!</definedName>
    <definedName name="RegionIndex">#REF!</definedName>
    <definedName name="RegionNumber">#REF!</definedName>
    <definedName name="ZA0" localSheetId="8">"Crystal Ball Data : Ver. 4.0.7"</definedName>
    <definedName name="ZA0" localSheetId="6">"Crystal Ball Data : Ver. 4.0.7"</definedName>
    <definedName name="ZA0" localSheetId="9">"Crystal Ball Data : Ver. 4.0.7"</definedName>
    <definedName name="ZA0" localSheetId="15">"Crystal Ball Data : Ver. 4.0.7"</definedName>
    <definedName name="ZA0" localSheetId="19">"Crystal Ball Data : Ver. 4.0.7"</definedName>
    <definedName name="ZA0" localSheetId="14">"Crystal Ball Data : Ver. 4.0.7"</definedName>
    <definedName name="ZA0" localSheetId="2">"Crystal Ball Data : Ver. 4.0.7"</definedName>
    <definedName name="ZA0A" localSheetId="8">0+0</definedName>
    <definedName name="ZA0A" localSheetId="6">0+0</definedName>
    <definedName name="ZA0A" localSheetId="9">0+0</definedName>
    <definedName name="ZA0A" localSheetId="15">1+102</definedName>
    <definedName name="ZA0A" localSheetId="19">0+0</definedName>
    <definedName name="ZA0A" localSheetId="14">1+102</definedName>
    <definedName name="ZA0A" localSheetId="2">0+323</definedName>
    <definedName name="ZA0C" localSheetId="8">0+0</definedName>
    <definedName name="ZA0C" localSheetId="6">0+0</definedName>
    <definedName name="ZA0C" localSheetId="9">0+0</definedName>
    <definedName name="ZA0C" localSheetId="15">0+0</definedName>
    <definedName name="ZA0C" localSheetId="19">0+0</definedName>
    <definedName name="ZA0C" localSheetId="14">0+0</definedName>
    <definedName name="ZA0C" localSheetId="2">0+0</definedName>
    <definedName name="ZA0D" localSheetId="8">0+0</definedName>
    <definedName name="ZA0D" localSheetId="6">0+0</definedName>
    <definedName name="ZA0D" localSheetId="9">0+0</definedName>
    <definedName name="ZA0D" localSheetId="15">0+0</definedName>
    <definedName name="ZA0D" localSheetId="19">0+0</definedName>
    <definedName name="ZA0D" localSheetId="14">0+0</definedName>
    <definedName name="ZA0D" localSheetId="2">0+0</definedName>
    <definedName name="ZA0F" localSheetId="8">2+9440</definedName>
    <definedName name="ZA0F" localSheetId="6">5+625</definedName>
    <definedName name="ZA0F" localSheetId="9">0+125</definedName>
    <definedName name="ZA0F" localSheetId="15">0+0</definedName>
    <definedName name="ZA0F" localSheetId="19">0+141</definedName>
    <definedName name="ZA0F" localSheetId="14">0+0</definedName>
    <definedName name="ZA0F" localSheetId="2">0+325</definedName>
    <definedName name="ZA0T" localSheetId="8">30035839+0</definedName>
    <definedName name="ZA0T" localSheetId="6">86335894+0</definedName>
    <definedName name="ZA0T" localSheetId="9">13461096+0</definedName>
    <definedName name="ZA0T" localSheetId="15">86309416+0</definedName>
    <definedName name="ZA0T" localSheetId="19">30138426+0</definedName>
    <definedName name="ZA0T" localSheetId="14">86295155+0</definedName>
    <definedName name="ZA0T" localSheetId="2">30279689+0</definedName>
    <definedName name="_ZA102" localSheetId="15">'Fuel Curve Simulation'!$I$2+"aRandom Variable"+545+0+1</definedName>
    <definedName name="_ZA102" localSheetId="14">'PJM Curve Simulation'!$I$2+"aRandom Variable"+545+0+1</definedName>
    <definedName name="_ZF125" localSheetId="6">'Curve Analysis - Base Case'!$I$1+"# of Times PJM &gt; Strike"+""+261+261+5051+63+190+425+799+4+3+"-"+"+"+2.6+50+2</definedName>
    <definedName name="_ZF126" localSheetId="6">'Curve Analysis - Base Case'!$Q$3+"Default %"+""+261+261+955+440+157+734+616+4+3+"-"+"+"+2.6+50+2</definedName>
    <definedName name="_ZF128" localSheetId="6">'Curve Analysis - Base Case'!$C$1+"Mid-Market Price of Power (PJM)"+""+553+553+955+404+154+698+613+4+3+"-"+"+"+2.6+50+18</definedName>
    <definedName name="_ZF129" localSheetId="6">'Curve Analysis - Base Case'!$D$1+"Mid-Market Price of Strike Price"+""+801+801+5051+131+223+493+832+4+3+"-"+"+"+2.6+50+18</definedName>
    <definedName name="_ZF130" localSheetId="6">'Curve Analysis - Base Case'!$K$1+"PV MWh"+""+33+33+955+435+131+729+590+4+3+"-"+"+"+2.6+50+18</definedName>
    <definedName name="_ZF9439" localSheetId="8">'Credit Reserve Simulation'!$D$2+"Credit Reserve Buy"+""+41+41+955+386+462+680+921+4+3+"-"+"+"+2.6+50+2</definedName>
    <definedName name="_ZF9440" localSheetId="8">'Credit Reserve Simulation'!$E$2+"Credit Reserve Sell"+""+41+41+955+385+94+679+553+4+3+"-"+"+"+2.6+50+2</definedName>
  </definedNames>
  <calcPr calcId="0" calcMode="manual" iterate="1" iterateCount="500"/>
</workbook>
</file>

<file path=xl/calcChain.xml><?xml version="1.0" encoding="utf-8"?>
<calcChain xmlns="http://schemas.openxmlformats.org/spreadsheetml/2006/main">
  <c r="D1" i="11399" l="1"/>
  <c r="E1" i="11399"/>
  <c r="F1" i="11399"/>
  <c r="G1" i="11399"/>
  <c r="H1" i="11399"/>
  <c r="I1" i="11399"/>
  <c r="J1" i="11399"/>
  <c r="K1" i="11399"/>
  <c r="L1" i="11399"/>
  <c r="M1" i="11399"/>
  <c r="N1" i="11399"/>
  <c r="O1" i="11399"/>
  <c r="P1" i="11399"/>
  <c r="Q1" i="11399"/>
  <c r="R1" i="11399"/>
  <c r="S1" i="11399"/>
  <c r="T1" i="11399"/>
  <c r="U1" i="11399"/>
  <c r="V1" i="11399"/>
  <c r="C17" i="11399"/>
  <c r="D17" i="11399"/>
  <c r="E17" i="11399"/>
  <c r="F17" i="11399"/>
  <c r="G17" i="11399"/>
  <c r="H17" i="11399"/>
  <c r="I17" i="11399"/>
  <c r="J17" i="11399"/>
  <c r="K17" i="11399"/>
  <c r="L17" i="11399"/>
  <c r="M17" i="11399"/>
  <c r="N17" i="11399"/>
  <c r="O17" i="11399"/>
  <c r="P17" i="11399"/>
  <c r="Q17" i="11399"/>
  <c r="R17" i="11399"/>
  <c r="S17" i="11399"/>
  <c r="T17" i="11399"/>
  <c r="U17" i="11399"/>
  <c r="V17" i="11399"/>
  <c r="W17" i="11399"/>
  <c r="W18" i="11399"/>
  <c r="C20" i="11399"/>
  <c r="C21" i="11399"/>
  <c r="C22" i="11399"/>
  <c r="C23" i="11399"/>
  <c r="C24" i="11399"/>
  <c r="C25" i="11399"/>
  <c r="E25" i="11399"/>
  <c r="C26" i="11399"/>
  <c r="E26" i="11399"/>
  <c r="C27" i="11399"/>
  <c r="E27" i="11399"/>
  <c r="C28" i="11399"/>
  <c r="E28" i="11399"/>
  <c r="C29" i="11399"/>
  <c r="E29" i="11399"/>
  <c r="C30" i="11399"/>
  <c r="E30" i="11399"/>
  <c r="C31" i="11399"/>
  <c r="D31" i="11399"/>
  <c r="E31" i="11399"/>
  <c r="C32" i="11399"/>
  <c r="E32" i="11399"/>
  <c r="C33" i="11399"/>
  <c r="E33" i="11399"/>
  <c r="C34" i="11399"/>
  <c r="E34" i="11399"/>
  <c r="C35" i="11399"/>
  <c r="E35" i="11399"/>
  <c r="C36" i="11399"/>
  <c r="E36" i="11399"/>
  <c r="C37" i="11399"/>
  <c r="E37" i="11399"/>
  <c r="C38" i="11399"/>
  <c r="E38" i="11399"/>
  <c r="C39" i="11399"/>
  <c r="E39" i="11399"/>
  <c r="C40" i="11399"/>
  <c r="E40" i="11399"/>
  <c r="C41" i="11399"/>
  <c r="E41" i="11399"/>
  <c r="C42" i="11399"/>
  <c r="E42" i="11399"/>
  <c r="C43" i="11399"/>
  <c r="D43" i="11399"/>
  <c r="E43" i="11399"/>
  <c r="C44" i="11399"/>
  <c r="E44" i="11399"/>
  <c r="C45" i="11399"/>
  <c r="E45" i="11399"/>
  <c r="C46" i="11399"/>
  <c r="E46" i="11399"/>
  <c r="C47" i="11399"/>
  <c r="E47" i="11399"/>
  <c r="C48" i="11399"/>
  <c r="E48" i="11399"/>
  <c r="C49" i="11399"/>
  <c r="E49" i="11399"/>
  <c r="C50" i="11399"/>
  <c r="E50" i="11399"/>
  <c r="C51" i="11399"/>
  <c r="E51" i="11399"/>
  <c r="C52" i="11399"/>
  <c r="E52" i="11399"/>
  <c r="C53" i="11399"/>
  <c r="E53" i="11399"/>
  <c r="C54" i="11399"/>
  <c r="E54" i="11399"/>
  <c r="C55" i="11399"/>
  <c r="D55" i="11399"/>
  <c r="E55" i="11399"/>
  <c r="C56" i="11399"/>
  <c r="E56" i="11399"/>
  <c r="C57" i="11399"/>
  <c r="E57" i="11399"/>
  <c r="C58" i="11399"/>
  <c r="E58" i="11399"/>
  <c r="C59" i="11399"/>
  <c r="E59" i="11399"/>
  <c r="C60" i="11399"/>
  <c r="E60" i="11399"/>
  <c r="C61" i="11399"/>
  <c r="E61" i="11399"/>
  <c r="C62" i="11399"/>
  <c r="E62" i="11399"/>
  <c r="C63" i="11399"/>
  <c r="E63" i="11399"/>
  <c r="C64" i="11399"/>
  <c r="E64" i="11399"/>
  <c r="C65" i="11399"/>
  <c r="E65" i="11399"/>
  <c r="C66" i="11399"/>
  <c r="E66" i="11399"/>
  <c r="C67" i="11399"/>
  <c r="D67" i="11399"/>
  <c r="E67" i="11399"/>
  <c r="C68" i="11399"/>
  <c r="E68" i="11399"/>
  <c r="C69" i="11399"/>
  <c r="E69" i="11399"/>
  <c r="C70" i="11399"/>
  <c r="E70" i="11399"/>
  <c r="C71" i="11399"/>
  <c r="E71" i="11399"/>
  <c r="C72" i="11399"/>
  <c r="E72" i="11399"/>
  <c r="C73" i="11399"/>
  <c r="E73" i="11399"/>
  <c r="C74" i="11399"/>
  <c r="E74" i="11399"/>
  <c r="C75" i="11399"/>
  <c r="E75" i="11399"/>
  <c r="C76" i="11399"/>
  <c r="E76" i="11399"/>
  <c r="C77" i="11399"/>
  <c r="E77" i="11399"/>
  <c r="C78" i="11399"/>
  <c r="E78" i="11399"/>
  <c r="C79" i="11399"/>
  <c r="D79" i="11399"/>
  <c r="E79" i="11399"/>
  <c r="C80" i="11399"/>
  <c r="E80" i="11399"/>
  <c r="C81" i="11399"/>
  <c r="E81" i="11399"/>
  <c r="C82" i="11399"/>
  <c r="E82" i="11399"/>
  <c r="C83" i="11399"/>
  <c r="E83" i="11399"/>
  <c r="C84" i="11399"/>
  <c r="E84" i="11399"/>
  <c r="C85" i="11399"/>
  <c r="E85" i="11399"/>
  <c r="C86" i="11399"/>
  <c r="E86" i="11399"/>
  <c r="C87" i="11399"/>
  <c r="E87" i="11399"/>
  <c r="C88" i="11399"/>
  <c r="E88" i="11399"/>
  <c r="C89" i="11399"/>
  <c r="E89" i="11399"/>
  <c r="C90" i="11399"/>
  <c r="E90" i="11399"/>
  <c r="C91" i="11399"/>
  <c r="D91" i="11399"/>
  <c r="E91" i="11399"/>
  <c r="C92" i="11399"/>
  <c r="E92" i="11399"/>
  <c r="C93" i="11399"/>
  <c r="E93" i="11399"/>
  <c r="C94" i="11399"/>
  <c r="E94" i="11399"/>
  <c r="C95" i="11399"/>
  <c r="E95" i="11399"/>
  <c r="C96" i="11399"/>
  <c r="E96" i="11399"/>
  <c r="C97" i="11399"/>
  <c r="E97" i="11399"/>
  <c r="C98" i="11399"/>
  <c r="E98" i="11399"/>
  <c r="C99" i="11399"/>
  <c r="E99" i="11399"/>
  <c r="C100" i="11399"/>
  <c r="E100" i="11399"/>
  <c r="C101" i="11399"/>
  <c r="E101" i="11399"/>
  <c r="C102" i="11399"/>
  <c r="E102" i="11399"/>
  <c r="C103" i="11399"/>
  <c r="D103" i="11399"/>
  <c r="E103" i="11399"/>
  <c r="C104" i="11399"/>
  <c r="E104" i="11399"/>
  <c r="C105" i="11399"/>
  <c r="E105" i="11399"/>
  <c r="C106" i="11399"/>
  <c r="E106" i="11399"/>
  <c r="C107" i="11399"/>
  <c r="E107" i="11399"/>
  <c r="C108" i="11399"/>
  <c r="E108" i="11399"/>
  <c r="C109" i="11399"/>
  <c r="E109" i="11399"/>
  <c r="C110" i="11399"/>
  <c r="E110" i="11399"/>
  <c r="C111" i="11399"/>
  <c r="E111" i="11399"/>
  <c r="C112" i="11399"/>
  <c r="E112" i="11399"/>
  <c r="C113" i="11399"/>
  <c r="E113" i="11399"/>
  <c r="C114" i="11399"/>
  <c r="E114" i="11399"/>
  <c r="C115" i="11399"/>
  <c r="D115" i="11399"/>
  <c r="E115" i="11399"/>
  <c r="C116" i="11399"/>
  <c r="E116" i="11399"/>
  <c r="C117" i="11399"/>
  <c r="E117" i="11399"/>
  <c r="C118" i="11399"/>
  <c r="E118" i="11399"/>
  <c r="C119" i="11399"/>
  <c r="E119" i="11399"/>
  <c r="C120" i="11399"/>
  <c r="E120" i="11399"/>
  <c r="C121" i="11399"/>
  <c r="E121" i="11399"/>
  <c r="C122" i="11399"/>
  <c r="E122" i="11399"/>
  <c r="C123" i="11399"/>
  <c r="E123" i="11399"/>
  <c r="C124" i="11399"/>
  <c r="E124" i="11399"/>
  <c r="C125" i="11399"/>
  <c r="E125" i="11399"/>
  <c r="C126" i="11399"/>
  <c r="E126" i="11399"/>
  <c r="C127" i="11399"/>
  <c r="D127" i="11399"/>
  <c r="E127" i="11399"/>
  <c r="C128" i="11399"/>
  <c r="E128" i="11399"/>
  <c r="C129" i="11399"/>
  <c r="E129" i="11399"/>
  <c r="C130" i="11399"/>
  <c r="E130" i="11399"/>
  <c r="C131" i="11399"/>
  <c r="E131" i="11399"/>
  <c r="C132" i="11399"/>
  <c r="E132" i="11399"/>
  <c r="C133" i="11399"/>
  <c r="E133" i="11399"/>
  <c r="C134" i="11399"/>
  <c r="E134" i="11399"/>
  <c r="C135" i="11399"/>
  <c r="E135" i="11399"/>
  <c r="C136" i="11399"/>
  <c r="E136" i="11399"/>
  <c r="C137" i="11399"/>
  <c r="E137" i="11399"/>
  <c r="C138" i="11399"/>
  <c r="E138" i="11399"/>
  <c r="C139" i="11399"/>
  <c r="D139" i="11399"/>
  <c r="E139" i="11399"/>
  <c r="C140" i="11399"/>
  <c r="E140" i="11399"/>
  <c r="C141" i="11399"/>
  <c r="E141" i="11399"/>
  <c r="C142" i="11399"/>
  <c r="E142" i="11399"/>
  <c r="C143" i="11399"/>
  <c r="E143" i="11399"/>
  <c r="C144" i="11399"/>
  <c r="E144" i="11399"/>
  <c r="C145" i="11399"/>
  <c r="E145" i="11399"/>
  <c r="C146" i="11399"/>
  <c r="E146" i="11399"/>
  <c r="C147" i="11399"/>
  <c r="E147" i="11399"/>
  <c r="C148" i="11399"/>
  <c r="E148" i="11399"/>
  <c r="C149" i="11399"/>
  <c r="E149" i="11399"/>
  <c r="C150" i="11399"/>
  <c r="E150" i="11399"/>
  <c r="C151" i="11399"/>
  <c r="D151" i="11399"/>
  <c r="E151" i="11399"/>
  <c r="C152" i="11399"/>
  <c r="E152" i="11399"/>
  <c r="C153" i="11399"/>
  <c r="E153" i="11399"/>
  <c r="C154" i="11399"/>
  <c r="E154" i="11399"/>
  <c r="C155" i="11399"/>
  <c r="E155" i="11399"/>
  <c r="C156" i="11399"/>
  <c r="E156" i="11399"/>
  <c r="C157" i="11399"/>
  <c r="E157" i="11399"/>
  <c r="C158" i="11399"/>
  <c r="E158" i="11399"/>
  <c r="C159" i="11399"/>
  <c r="E159" i="11399"/>
  <c r="C160" i="11399"/>
  <c r="E160" i="11399"/>
  <c r="C161" i="11399"/>
  <c r="E161" i="11399"/>
  <c r="C162" i="11399"/>
  <c r="E162" i="11399"/>
  <c r="C163" i="11399"/>
  <c r="D163" i="11399"/>
  <c r="E163" i="11399"/>
  <c r="C164" i="11399"/>
  <c r="E164" i="11399"/>
  <c r="C165" i="11399"/>
  <c r="E165" i="11399"/>
  <c r="C166" i="11399"/>
  <c r="E166" i="11399"/>
  <c r="C167" i="11399"/>
  <c r="E167" i="11399"/>
  <c r="C168" i="11399"/>
  <c r="E168" i="11399"/>
  <c r="C169" i="11399"/>
  <c r="E169" i="11399"/>
  <c r="C170" i="11399"/>
  <c r="E170" i="11399"/>
  <c r="C171" i="11399"/>
  <c r="E171" i="11399"/>
  <c r="C172" i="11399"/>
  <c r="E172" i="11399"/>
  <c r="C173" i="11399"/>
  <c r="E173" i="11399"/>
  <c r="C174" i="11399"/>
  <c r="E174" i="11399"/>
  <c r="C175" i="11399"/>
  <c r="D175" i="11399"/>
  <c r="E175" i="11399"/>
  <c r="C176" i="11399"/>
  <c r="E176" i="11399"/>
  <c r="C177" i="11399"/>
  <c r="E177" i="11399"/>
  <c r="C178" i="11399"/>
  <c r="E178" i="11399"/>
  <c r="C179" i="11399"/>
  <c r="E179" i="11399"/>
  <c r="C180" i="11399"/>
  <c r="E180" i="11399"/>
  <c r="C181" i="11399"/>
  <c r="E181" i="11399"/>
  <c r="C182" i="11399"/>
  <c r="E182" i="11399"/>
  <c r="C183" i="11399"/>
  <c r="E183" i="11399"/>
  <c r="C184" i="11399"/>
  <c r="E184" i="11399"/>
  <c r="C185" i="11399"/>
  <c r="E185" i="11399"/>
  <c r="C186" i="11399"/>
  <c r="E186" i="11399"/>
  <c r="C187" i="11399"/>
  <c r="D187" i="11399"/>
  <c r="E187" i="11399"/>
  <c r="C188" i="11399"/>
  <c r="E188" i="11399"/>
  <c r="C189" i="11399"/>
  <c r="E189" i="11399"/>
  <c r="C190" i="11399"/>
  <c r="E190" i="11399"/>
  <c r="C191" i="11399"/>
  <c r="E191" i="11399"/>
  <c r="C192" i="11399"/>
  <c r="E192" i="11399"/>
  <c r="C193" i="11399"/>
  <c r="E193" i="11399"/>
  <c r="C194" i="11399"/>
  <c r="E194" i="11399"/>
  <c r="C195" i="11399"/>
  <c r="E195" i="11399"/>
  <c r="C196" i="11399"/>
  <c r="E196" i="11399"/>
  <c r="C197" i="11399"/>
  <c r="E197" i="11399"/>
  <c r="C198" i="11399"/>
  <c r="E198" i="11399"/>
  <c r="C199" i="11399"/>
  <c r="D199" i="11399"/>
  <c r="E199" i="11399"/>
  <c r="C200" i="11399"/>
  <c r="E200" i="11399"/>
  <c r="C201" i="11399"/>
  <c r="E201" i="11399"/>
  <c r="C202" i="11399"/>
  <c r="E202" i="11399"/>
  <c r="C203" i="11399"/>
  <c r="E203" i="11399"/>
  <c r="C204" i="11399"/>
  <c r="E204" i="11399"/>
  <c r="C205" i="11399"/>
  <c r="E205" i="11399"/>
  <c r="C206" i="11399"/>
  <c r="E206" i="11399"/>
  <c r="C207" i="11399"/>
  <c r="E207" i="11399"/>
  <c r="C208" i="11399"/>
  <c r="E208" i="11399"/>
  <c r="C209" i="11399"/>
  <c r="E209" i="11399"/>
  <c r="C210" i="11399"/>
  <c r="E210" i="11399"/>
  <c r="C211" i="11399"/>
  <c r="D211" i="11399"/>
  <c r="E211" i="11399"/>
  <c r="C212" i="11399"/>
  <c r="E212" i="11399"/>
  <c r="C213" i="11399"/>
  <c r="E213" i="11399"/>
  <c r="C214" i="11399"/>
  <c r="E214" i="11399"/>
  <c r="C215" i="11399"/>
  <c r="E215" i="11399"/>
  <c r="C216" i="11399"/>
  <c r="E216" i="11399"/>
  <c r="C217" i="11399"/>
  <c r="E217" i="11399"/>
  <c r="C218" i="11399"/>
  <c r="E218" i="11399"/>
  <c r="C219" i="11399"/>
  <c r="E219" i="11399"/>
  <c r="C220" i="11399"/>
  <c r="E220" i="11399"/>
  <c r="C221" i="11399"/>
  <c r="E221" i="11399"/>
  <c r="C222" i="11399"/>
  <c r="E222" i="11399"/>
  <c r="C223" i="11399"/>
  <c r="D223" i="11399"/>
  <c r="E223" i="11399"/>
  <c r="C224" i="11399"/>
  <c r="E224" i="11399"/>
  <c r="C225" i="11399"/>
  <c r="E225" i="11399"/>
  <c r="C226" i="11399"/>
  <c r="E226" i="11399"/>
  <c r="C227" i="11399"/>
  <c r="E227" i="11399"/>
  <c r="C228" i="11399"/>
  <c r="E228" i="11399"/>
  <c r="C229" i="11399"/>
  <c r="E229" i="11399"/>
  <c r="C230" i="11399"/>
  <c r="E230" i="11399"/>
  <c r="C231" i="11399"/>
  <c r="E231" i="11399"/>
  <c r="C232" i="11399"/>
  <c r="E232" i="11399"/>
  <c r="C233" i="11399"/>
  <c r="E233" i="11399"/>
  <c r="C234" i="11399"/>
  <c r="E234" i="11399"/>
  <c r="C235" i="11399"/>
  <c r="D235" i="11399"/>
  <c r="E235" i="11399"/>
  <c r="C236" i="11399"/>
  <c r="E236" i="11399"/>
  <c r="C237" i="11399"/>
  <c r="E237" i="11399"/>
  <c r="C238" i="11399"/>
  <c r="E238" i="11399"/>
  <c r="C239" i="11399"/>
  <c r="E239" i="11399"/>
  <c r="C240" i="11399"/>
  <c r="E240" i="11399"/>
  <c r="C241" i="11399"/>
  <c r="E241" i="11399"/>
  <c r="C242" i="11399"/>
  <c r="E242" i="11399"/>
  <c r="C243" i="11399"/>
  <c r="E243" i="11399"/>
  <c r="C244" i="11399"/>
  <c r="E244" i="11399"/>
  <c r="C245" i="11399"/>
  <c r="E245" i="11399"/>
  <c r="C246" i="11399"/>
  <c r="E246" i="11399"/>
  <c r="C247" i="11399"/>
  <c r="D247" i="11399"/>
  <c r="E247" i="11399"/>
  <c r="C248" i="11399"/>
  <c r="E248" i="11399"/>
  <c r="C249" i="11399"/>
  <c r="E249" i="11399"/>
  <c r="C250" i="11399"/>
  <c r="E250" i="11399"/>
  <c r="C251" i="11399"/>
  <c r="E251" i="11399"/>
  <c r="C252" i="11399"/>
  <c r="E252" i="11399"/>
  <c r="C253" i="11399"/>
  <c r="E253" i="11399"/>
  <c r="C254" i="11399"/>
  <c r="E254" i="11399"/>
  <c r="C255" i="11399"/>
  <c r="E255" i="11399"/>
  <c r="C256" i="11399"/>
  <c r="E256" i="11399"/>
  <c r="C257" i="11399"/>
  <c r="E257" i="11399"/>
  <c r="C258" i="11399"/>
  <c r="E258" i="11399"/>
  <c r="C259" i="11399"/>
  <c r="D259" i="11399"/>
  <c r="E259" i="11399"/>
  <c r="C272" i="11399"/>
  <c r="C273" i="11399"/>
  <c r="C274" i="11399"/>
  <c r="C275" i="11399"/>
  <c r="C276" i="11399"/>
  <c r="C277" i="11399"/>
  <c r="C278" i="11399"/>
  <c r="C279" i="11399"/>
  <c r="C280" i="11399"/>
  <c r="C281" i="11399"/>
  <c r="C282" i="11399"/>
  <c r="C283" i="11399"/>
  <c r="D283" i="11399"/>
  <c r="D1" i="11398"/>
  <c r="E1" i="11398"/>
  <c r="F1" i="11398"/>
  <c r="G1" i="11398"/>
  <c r="H1" i="11398"/>
  <c r="I1" i="11398"/>
  <c r="J1" i="11398"/>
  <c r="K1" i="11398"/>
  <c r="L1" i="11398"/>
  <c r="M1" i="11398"/>
  <c r="N1" i="11398"/>
  <c r="O1" i="11398"/>
  <c r="P1" i="11398"/>
  <c r="Q1" i="11398"/>
  <c r="R1" i="11398"/>
  <c r="S1" i="11398"/>
  <c r="T1" i="11398"/>
  <c r="U1" i="11398"/>
  <c r="V1" i="11398"/>
  <c r="C17" i="11398"/>
  <c r="D17" i="11398"/>
  <c r="E17" i="11398"/>
  <c r="F17" i="11398"/>
  <c r="G17" i="11398"/>
  <c r="H17" i="11398"/>
  <c r="I17" i="11398"/>
  <c r="J17" i="11398"/>
  <c r="K17" i="11398"/>
  <c r="L17" i="11398"/>
  <c r="M17" i="11398"/>
  <c r="N17" i="11398"/>
  <c r="O17" i="11398"/>
  <c r="P17" i="11398"/>
  <c r="Q17" i="11398"/>
  <c r="R17" i="11398"/>
  <c r="S17" i="11398"/>
  <c r="T17" i="11398"/>
  <c r="U17" i="11398"/>
  <c r="V17" i="11398"/>
  <c r="W17" i="11398"/>
  <c r="W18" i="11398"/>
  <c r="C20" i="11398"/>
  <c r="C21" i="11398"/>
  <c r="C22" i="11398"/>
  <c r="C23" i="11398"/>
  <c r="C24" i="11398"/>
  <c r="C25" i="11398"/>
  <c r="C26" i="11398"/>
  <c r="C27" i="11398"/>
  <c r="C28" i="11398"/>
  <c r="C29" i="11398"/>
  <c r="C30" i="11398"/>
  <c r="C31" i="11398"/>
  <c r="D31" i="11398"/>
  <c r="C32" i="11398"/>
  <c r="C33" i="11398"/>
  <c r="C34" i="11398"/>
  <c r="C35" i="11398"/>
  <c r="C36" i="11398"/>
  <c r="C37" i="11398"/>
  <c r="C38" i="11398"/>
  <c r="C39" i="11398"/>
  <c r="C40" i="11398"/>
  <c r="C41" i="11398"/>
  <c r="C42" i="11398"/>
  <c r="C43" i="11398"/>
  <c r="D43" i="11398"/>
  <c r="C44" i="11398"/>
  <c r="C45" i="11398"/>
  <c r="C46" i="11398"/>
  <c r="C47" i="11398"/>
  <c r="C48" i="11398"/>
  <c r="C49" i="11398"/>
  <c r="C50" i="11398"/>
  <c r="C51" i="11398"/>
  <c r="C52" i="11398"/>
  <c r="C53" i="11398"/>
  <c r="C54" i="11398"/>
  <c r="C55" i="11398"/>
  <c r="D55" i="11398"/>
  <c r="C56" i="11398"/>
  <c r="C57" i="11398"/>
  <c r="C58" i="11398"/>
  <c r="C59" i="11398"/>
  <c r="C60" i="11398"/>
  <c r="C61" i="11398"/>
  <c r="C62" i="11398"/>
  <c r="C63" i="11398"/>
  <c r="C64" i="11398"/>
  <c r="C65" i="11398"/>
  <c r="C66" i="11398"/>
  <c r="C67" i="11398"/>
  <c r="D67" i="11398"/>
  <c r="C68" i="11398"/>
  <c r="C69" i="11398"/>
  <c r="C70" i="11398"/>
  <c r="C71" i="11398"/>
  <c r="C72" i="11398"/>
  <c r="C73" i="11398"/>
  <c r="C74" i="11398"/>
  <c r="C75" i="11398"/>
  <c r="C76" i="11398"/>
  <c r="C77" i="11398"/>
  <c r="C78" i="11398"/>
  <c r="C79" i="11398"/>
  <c r="D79" i="11398"/>
  <c r="C80" i="11398"/>
  <c r="C81" i="11398"/>
  <c r="C82" i="11398"/>
  <c r="C83" i="11398"/>
  <c r="C84" i="11398"/>
  <c r="C85" i="11398"/>
  <c r="C86" i="11398"/>
  <c r="C87" i="11398"/>
  <c r="C88" i="11398"/>
  <c r="C89" i="11398"/>
  <c r="C90" i="11398"/>
  <c r="C91" i="11398"/>
  <c r="D91" i="11398"/>
  <c r="C92" i="11398"/>
  <c r="C93" i="11398"/>
  <c r="C94" i="11398"/>
  <c r="C95" i="11398"/>
  <c r="C96" i="11398"/>
  <c r="C97" i="11398"/>
  <c r="C98" i="11398"/>
  <c r="C99" i="11398"/>
  <c r="C100" i="11398"/>
  <c r="C101" i="11398"/>
  <c r="C102" i="11398"/>
  <c r="C103" i="11398"/>
  <c r="D103" i="11398"/>
  <c r="C104" i="11398"/>
  <c r="C105" i="11398"/>
  <c r="C106" i="11398"/>
  <c r="C107" i="11398"/>
  <c r="C108" i="11398"/>
  <c r="C109" i="11398"/>
  <c r="C110" i="11398"/>
  <c r="C111" i="11398"/>
  <c r="C112" i="11398"/>
  <c r="C113" i="11398"/>
  <c r="C114" i="11398"/>
  <c r="C115" i="11398"/>
  <c r="D115" i="11398"/>
  <c r="C116" i="11398"/>
  <c r="C117" i="11398"/>
  <c r="C118" i="11398"/>
  <c r="C119" i="11398"/>
  <c r="C120" i="11398"/>
  <c r="C121" i="11398"/>
  <c r="C122" i="11398"/>
  <c r="C123" i="11398"/>
  <c r="C124" i="11398"/>
  <c r="C125" i="11398"/>
  <c r="C126" i="11398"/>
  <c r="C127" i="11398"/>
  <c r="D127" i="11398"/>
  <c r="C128" i="11398"/>
  <c r="C129" i="11398"/>
  <c r="C130" i="11398"/>
  <c r="C131" i="11398"/>
  <c r="C132" i="11398"/>
  <c r="C133" i="11398"/>
  <c r="C134" i="11398"/>
  <c r="C135" i="11398"/>
  <c r="C136" i="11398"/>
  <c r="C137" i="11398"/>
  <c r="C138" i="11398"/>
  <c r="C139" i="11398"/>
  <c r="D139" i="11398"/>
  <c r="C140" i="11398"/>
  <c r="C141" i="11398"/>
  <c r="C142" i="11398"/>
  <c r="C143" i="11398"/>
  <c r="C144" i="11398"/>
  <c r="C145" i="11398"/>
  <c r="C146" i="11398"/>
  <c r="C147" i="11398"/>
  <c r="C148" i="11398"/>
  <c r="C149" i="11398"/>
  <c r="C150" i="11398"/>
  <c r="C151" i="11398"/>
  <c r="D151" i="11398"/>
  <c r="C152" i="11398"/>
  <c r="C153" i="11398"/>
  <c r="C154" i="11398"/>
  <c r="C155" i="11398"/>
  <c r="C156" i="11398"/>
  <c r="C157" i="11398"/>
  <c r="C158" i="11398"/>
  <c r="C159" i="11398"/>
  <c r="C160" i="11398"/>
  <c r="C161" i="11398"/>
  <c r="C162" i="11398"/>
  <c r="C163" i="11398"/>
  <c r="D163" i="11398"/>
  <c r="C164" i="11398"/>
  <c r="C165" i="11398"/>
  <c r="C166" i="11398"/>
  <c r="C167" i="11398"/>
  <c r="C168" i="11398"/>
  <c r="C169" i="11398"/>
  <c r="C170" i="11398"/>
  <c r="C171" i="11398"/>
  <c r="C172" i="11398"/>
  <c r="C173" i="11398"/>
  <c r="C174" i="11398"/>
  <c r="C175" i="11398"/>
  <c r="D175" i="11398"/>
  <c r="C176" i="11398"/>
  <c r="C177" i="11398"/>
  <c r="C178" i="11398"/>
  <c r="C179" i="11398"/>
  <c r="C180" i="11398"/>
  <c r="C181" i="11398"/>
  <c r="C182" i="11398"/>
  <c r="C183" i="11398"/>
  <c r="C184" i="11398"/>
  <c r="C185" i="11398"/>
  <c r="C186" i="11398"/>
  <c r="C187" i="11398"/>
  <c r="D187" i="11398"/>
  <c r="C188" i="11398"/>
  <c r="C189" i="11398"/>
  <c r="C190" i="11398"/>
  <c r="C191" i="11398"/>
  <c r="C192" i="11398"/>
  <c r="C193" i="11398"/>
  <c r="C194" i="11398"/>
  <c r="C195" i="11398"/>
  <c r="C196" i="11398"/>
  <c r="C197" i="11398"/>
  <c r="C198" i="11398"/>
  <c r="C199" i="11398"/>
  <c r="D199" i="11398"/>
  <c r="C200" i="11398"/>
  <c r="C201" i="11398"/>
  <c r="C202" i="11398"/>
  <c r="C203" i="11398"/>
  <c r="C204" i="11398"/>
  <c r="C205" i="11398"/>
  <c r="C206" i="11398"/>
  <c r="C207" i="11398"/>
  <c r="C208" i="11398"/>
  <c r="C209" i="11398"/>
  <c r="C210" i="11398"/>
  <c r="C211" i="11398"/>
  <c r="D211" i="11398"/>
  <c r="C212" i="11398"/>
  <c r="C213" i="11398"/>
  <c r="C214" i="11398"/>
  <c r="C215" i="11398"/>
  <c r="C216" i="11398"/>
  <c r="C217" i="11398"/>
  <c r="C218" i="11398"/>
  <c r="C219" i="11398"/>
  <c r="C220" i="11398"/>
  <c r="C221" i="11398"/>
  <c r="C222" i="11398"/>
  <c r="C223" i="11398"/>
  <c r="D223" i="11398"/>
  <c r="C224" i="11398"/>
  <c r="C225" i="11398"/>
  <c r="C226" i="11398"/>
  <c r="C227" i="11398"/>
  <c r="C228" i="11398"/>
  <c r="C229" i="11398"/>
  <c r="C230" i="11398"/>
  <c r="C231" i="11398"/>
  <c r="C232" i="11398"/>
  <c r="C233" i="11398"/>
  <c r="C234" i="11398"/>
  <c r="C235" i="11398"/>
  <c r="D235" i="11398"/>
  <c r="C236" i="11398"/>
  <c r="C237" i="11398"/>
  <c r="C238" i="11398"/>
  <c r="C239" i="11398"/>
  <c r="C240" i="11398"/>
  <c r="C241" i="11398"/>
  <c r="C242" i="11398"/>
  <c r="C243" i="11398"/>
  <c r="C244" i="11398"/>
  <c r="C245" i="11398"/>
  <c r="C246" i="11398"/>
  <c r="C247" i="11398"/>
  <c r="D247" i="11398"/>
  <c r="C248" i="11398"/>
  <c r="C249" i="11398"/>
  <c r="C250" i="11398"/>
  <c r="C251" i="11398"/>
  <c r="C252" i="11398"/>
  <c r="C253" i="11398"/>
  <c r="C254" i="11398"/>
  <c r="C255" i="11398"/>
  <c r="C256" i="11398"/>
  <c r="C257" i="11398"/>
  <c r="C258" i="11398"/>
  <c r="C259" i="11398"/>
  <c r="D259" i="11398"/>
  <c r="C272" i="11398"/>
  <c r="C273" i="11398"/>
  <c r="C274" i="11398"/>
  <c r="C275" i="11398"/>
  <c r="C276" i="11398"/>
  <c r="C277" i="11398"/>
  <c r="C278" i="11398"/>
  <c r="C279" i="11398"/>
  <c r="C280" i="11398"/>
  <c r="C281" i="11398"/>
  <c r="C282" i="11398"/>
  <c r="C283" i="11398"/>
  <c r="D283" i="11398"/>
  <c r="D1" i="8908"/>
  <c r="E1" i="8908"/>
  <c r="F1" i="8908"/>
  <c r="G1" i="8908"/>
  <c r="H1" i="8908"/>
  <c r="I1" i="8908"/>
  <c r="J1" i="8908"/>
  <c r="K1" i="8908"/>
  <c r="L1" i="8908"/>
  <c r="M1" i="8908"/>
  <c r="N1" i="8908"/>
  <c r="O1" i="8908"/>
  <c r="P1" i="8908"/>
  <c r="Q1" i="8908"/>
  <c r="R1" i="8908"/>
  <c r="S1" i="8908"/>
  <c r="T1" i="8908"/>
  <c r="U1" i="8908"/>
  <c r="V1" i="8908"/>
  <c r="C17" i="8908"/>
  <c r="D17" i="8908"/>
  <c r="E17" i="8908"/>
  <c r="F17" i="8908"/>
  <c r="G17" i="8908"/>
  <c r="H17" i="8908"/>
  <c r="I17" i="8908"/>
  <c r="J17" i="8908"/>
  <c r="K17" i="8908"/>
  <c r="L17" i="8908"/>
  <c r="M17" i="8908"/>
  <c r="N17" i="8908"/>
  <c r="O17" i="8908"/>
  <c r="P17" i="8908"/>
  <c r="Q17" i="8908"/>
  <c r="R17" i="8908"/>
  <c r="S17" i="8908"/>
  <c r="T17" i="8908"/>
  <c r="U17" i="8908"/>
  <c r="V17" i="8908"/>
  <c r="W17" i="8908"/>
  <c r="W18" i="8908"/>
  <c r="C20" i="8908"/>
  <c r="C21" i="8908"/>
  <c r="C22" i="8908"/>
  <c r="C23" i="8908"/>
  <c r="C24" i="8908"/>
  <c r="C25" i="8908"/>
  <c r="F25" i="8908"/>
  <c r="I25" i="8908"/>
  <c r="K25" i="8908"/>
  <c r="C26" i="8908"/>
  <c r="F26" i="8908"/>
  <c r="I26" i="8908"/>
  <c r="K26" i="8908"/>
  <c r="C27" i="8908"/>
  <c r="F27" i="8908"/>
  <c r="I27" i="8908"/>
  <c r="K27" i="8908"/>
  <c r="C28" i="8908"/>
  <c r="F28" i="8908"/>
  <c r="I28" i="8908"/>
  <c r="K28" i="8908"/>
  <c r="C29" i="8908"/>
  <c r="F29" i="8908"/>
  <c r="I29" i="8908"/>
  <c r="K29" i="8908"/>
  <c r="C30" i="8908"/>
  <c r="F30" i="8908"/>
  <c r="I30" i="8908"/>
  <c r="K30" i="8908"/>
  <c r="C31" i="8908"/>
  <c r="D31" i="8908"/>
  <c r="F31" i="8908"/>
  <c r="G31" i="8908"/>
  <c r="H31" i="8908"/>
  <c r="I31" i="8908"/>
  <c r="J31" i="8908"/>
  <c r="K31" i="8908"/>
  <c r="L31" i="8908"/>
  <c r="C32" i="8908"/>
  <c r="E32" i="8908"/>
  <c r="F32" i="8908"/>
  <c r="I32" i="8908"/>
  <c r="K32" i="8908"/>
  <c r="C33" i="8908"/>
  <c r="E33" i="8908"/>
  <c r="F33" i="8908"/>
  <c r="I33" i="8908"/>
  <c r="K33" i="8908"/>
  <c r="C34" i="8908"/>
  <c r="E34" i="8908"/>
  <c r="F34" i="8908"/>
  <c r="I34" i="8908"/>
  <c r="K34" i="8908"/>
  <c r="C35" i="8908"/>
  <c r="E35" i="8908"/>
  <c r="F35" i="8908"/>
  <c r="I35" i="8908"/>
  <c r="K35" i="8908"/>
  <c r="C36" i="8908"/>
  <c r="E36" i="8908"/>
  <c r="F36" i="8908"/>
  <c r="I36" i="8908"/>
  <c r="K36" i="8908"/>
  <c r="C37" i="8908"/>
  <c r="E37" i="8908"/>
  <c r="F37" i="8908"/>
  <c r="I37" i="8908"/>
  <c r="K37" i="8908"/>
  <c r="C38" i="8908"/>
  <c r="E38" i="8908"/>
  <c r="F38" i="8908"/>
  <c r="I38" i="8908"/>
  <c r="K38" i="8908"/>
  <c r="C39" i="8908"/>
  <c r="E39" i="8908"/>
  <c r="F39" i="8908"/>
  <c r="I39" i="8908"/>
  <c r="K39" i="8908"/>
  <c r="C40" i="8908"/>
  <c r="E40" i="8908"/>
  <c r="F40" i="8908"/>
  <c r="I40" i="8908"/>
  <c r="K40" i="8908"/>
  <c r="C41" i="8908"/>
  <c r="E41" i="8908"/>
  <c r="F41" i="8908"/>
  <c r="I41" i="8908"/>
  <c r="K41" i="8908"/>
  <c r="C42" i="8908"/>
  <c r="E42" i="8908"/>
  <c r="F42" i="8908"/>
  <c r="I42" i="8908"/>
  <c r="K42" i="8908"/>
  <c r="C43" i="8908"/>
  <c r="D43" i="8908"/>
  <c r="E43" i="8908"/>
  <c r="F43" i="8908"/>
  <c r="G43" i="8908"/>
  <c r="H43" i="8908"/>
  <c r="I43" i="8908"/>
  <c r="J43" i="8908"/>
  <c r="K43" i="8908"/>
  <c r="L43" i="8908"/>
  <c r="C44" i="8908"/>
  <c r="E44" i="8908"/>
  <c r="F44" i="8908"/>
  <c r="I44" i="8908"/>
  <c r="K44" i="8908"/>
  <c r="C45" i="8908"/>
  <c r="E45" i="8908"/>
  <c r="F45" i="8908"/>
  <c r="I45" i="8908"/>
  <c r="K45" i="8908"/>
  <c r="C46" i="8908"/>
  <c r="E46" i="8908"/>
  <c r="F46" i="8908"/>
  <c r="I46" i="8908"/>
  <c r="K46" i="8908"/>
  <c r="C47" i="8908"/>
  <c r="E47" i="8908"/>
  <c r="F47" i="8908"/>
  <c r="I47" i="8908"/>
  <c r="K47" i="8908"/>
  <c r="C48" i="8908"/>
  <c r="E48" i="8908"/>
  <c r="F48" i="8908"/>
  <c r="I48" i="8908"/>
  <c r="K48" i="8908"/>
  <c r="C49" i="8908"/>
  <c r="E49" i="8908"/>
  <c r="F49" i="8908"/>
  <c r="I49" i="8908"/>
  <c r="K49" i="8908"/>
  <c r="C50" i="8908"/>
  <c r="E50" i="8908"/>
  <c r="F50" i="8908"/>
  <c r="I50" i="8908"/>
  <c r="K50" i="8908"/>
  <c r="C51" i="8908"/>
  <c r="E51" i="8908"/>
  <c r="F51" i="8908"/>
  <c r="I51" i="8908"/>
  <c r="K51" i="8908"/>
  <c r="C52" i="8908"/>
  <c r="E52" i="8908"/>
  <c r="F52" i="8908"/>
  <c r="I52" i="8908"/>
  <c r="K52" i="8908"/>
  <c r="C53" i="8908"/>
  <c r="E53" i="8908"/>
  <c r="F53" i="8908"/>
  <c r="I53" i="8908"/>
  <c r="K53" i="8908"/>
  <c r="C54" i="8908"/>
  <c r="E54" i="8908"/>
  <c r="F54" i="8908"/>
  <c r="I54" i="8908"/>
  <c r="K54" i="8908"/>
  <c r="C55" i="8908"/>
  <c r="D55" i="8908"/>
  <c r="E55" i="8908"/>
  <c r="F55" i="8908"/>
  <c r="G55" i="8908"/>
  <c r="H55" i="8908"/>
  <c r="I55" i="8908"/>
  <c r="J55" i="8908"/>
  <c r="K55" i="8908"/>
  <c r="L55" i="8908"/>
  <c r="C56" i="8908"/>
  <c r="E56" i="8908"/>
  <c r="F56" i="8908"/>
  <c r="I56" i="8908"/>
  <c r="K56" i="8908"/>
  <c r="C57" i="8908"/>
  <c r="E57" i="8908"/>
  <c r="F57" i="8908"/>
  <c r="I57" i="8908"/>
  <c r="K57" i="8908"/>
  <c r="C58" i="8908"/>
  <c r="E58" i="8908"/>
  <c r="F58" i="8908"/>
  <c r="I58" i="8908"/>
  <c r="K58" i="8908"/>
  <c r="C59" i="8908"/>
  <c r="E59" i="8908"/>
  <c r="F59" i="8908"/>
  <c r="I59" i="8908"/>
  <c r="K59" i="8908"/>
  <c r="C60" i="8908"/>
  <c r="E60" i="8908"/>
  <c r="F60" i="8908"/>
  <c r="I60" i="8908"/>
  <c r="K60" i="8908"/>
  <c r="C61" i="8908"/>
  <c r="E61" i="8908"/>
  <c r="F61" i="8908"/>
  <c r="I61" i="8908"/>
  <c r="K61" i="8908"/>
  <c r="C62" i="8908"/>
  <c r="E62" i="8908"/>
  <c r="F62" i="8908"/>
  <c r="I62" i="8908"/>
  <c r="K62" i="8908"/>
  <c r="C63" i="8908"/>
  <c r="E63" i="8908"/>
  <c r="F63" i="8908"/>
  <c r="I63" i="8908"/>
  <c r="K63" i="8908"/>
  <c r="C64" i="8908"/>
  <c r="E64" i="8908"/>
  <c r="F64" i="8908"/>
  <c r="I64" i="8908"/>
  <c r="K64" i="8908"/>
  <c r="C65" i="8908"/>
  <c r="E65" i="8908"/>
  <c r="F65" i="8908"/>
  <c r="I65" i="8908"/>
  <c r="K65" i="8908"/>
  <c r="C66" i="8908"/>
  <c r="E66" i="8908"/>
  <c r="F66" i="8908"/>
  <c r="I66" i="8908"/>
  <c r="K66" i="8908"/>
  <c r="C67" i="8908"/>
  <c r="D67" i="8908"/>
  <c r="E67" i="8908"/>
  <c r="F67" i="8908"/>
  <c r="G67" i="8908"/>
  <c r="H67" i="8908"/>
  <c r="I67" i="8908"/>
  <c r="J67" i="8908"/>
  <c r="K67" i="8908"/>
  <c r="L67" i="8908"/>
  <c r="C68" i="8908"/>
  <c r="E68" i="8908"/>
  <c r="F68" i="8908"/>
  <c r="I68" i="8908"/>
  <c r="K68" i="8908"/>
  <c r="C69" i="8908"/>
  <c r="E69" i="8908"/>
  <c r="F69" i="8908"/>
  <c r="I69" i="8908"/>
  <c r="K69" i="8908"/>
  <c r="C70" i="8908"/>
  <c r="E70" i="8908"/>
  <c r="F70" i="8908"/>
  <c r="I70" i="8908"/>
  <c r="K70" i="8908"/>
  <c r="C71" i="8908"/>
  <c r="E71" i="8908"/>
  <c r="F71" i="8908"/>
  <c r="I71" i="8908"/>
  <c r="K71" i="8908"/>
  <c r="C72" i="8908"/>
  <c r="E72" i="8908"/>
  <c r="F72" i="8908"/>
  <c r="I72" i="8908"/>
  <c r="K72" i="8908"/>
  <c r="C73" i="8908"/>
  <c r="E73" i="8908"/>
  <c r="F73" i="8908"/>
  <c r="I73" i="8908"/>
  <c r="K73" i="8908"/>
  <c r="C74" i="8908"/>
  <c r="E74" i="8908"/>
  <c r="F74" i="8908"/>
  <c r="I74" i="8908"/>
  <c r="K74" i="8908"/>
  <c r="C75" i="8908"/>
  <c r="E75" i="8908"/>
  <c r="F75" i="8908"/>
  <c r="I75" i="8908"/>
  <c r="K75" i="8908"/>
  <c r="C76" i="8908"/>
  <c r="E76" i="8908"/>
  <c r="F76" i="8908"/>
  <c r="I76" i="8908"/>
  <c r="K76" i="8908"/>
  <c r="C77" i="8908"/>
  <c r="E77" i="8908"/>
  <c r="F77" i="8908"/>
  <c r="I77" i="8908"/>
  <c r="K77" i="8908"/>
  <c r="C78" i="8908"/>
  <c r="E78" i="8908"/>
  <c r="F78" i="8908"/>
  <c r="I78" i="8908"/>
  <c r="K78" i="8908"/>
  <c r="C79" i="8908"/>
  <c r="D79" i="8908"/>
  <c r="E79" i="8908"/>
  <c r="F79" i="8908"/>
  <c r="G79" i="8908"/>
  <c r="H79" i="8908"/>
  <c r="I79" i="8908"/>
  <c r="J79" i="8908"/>
  <c r="K79" i="8908"/>
  <c r="L79" i="8908"/>
  <c r="C80" i="8908"/>
  <c r="E80" i="8908"/>
  <c r="F80" i="8908"/>
  <c r="I80" i="8908"/>
  <c r="K80" i="8908"/>
  <c r="C81" i="8908"/>
  <c r="E81" i="8908"/>
  <c r="F81" i="8908"/>
  <c r="I81" i="8908"/>
  <c r="K81" i="8908"/>
  <c r="C82" i="8908"/>
  <c r="E82" i="8908"/>
  <c r="F82" i="8908"/>
  <c r="I82" i="8908"/>
  <c r="K82" i="8908"/>
  <c r="C83" i="8908"/>
  <c r="E83" i="8908"/>
  <c r="F83" i="8908"/>
  <c r="I83" i="8908"/>
  <c r="K83" i="8908"/>
  <c r="C84" i="8908"/>
  <c r="E84" i="8908"/>
  <c r="F84" i="8908"/>
  <c r="I84" i="8908"/>
  <c r="K84" i="8908"/>
  <c r="C85" i="8908"/>
  <c r="E85" i="8908"/>
  <c r="F85" i="8908"/>
  <c r="I85" i="8908"/>
  <c r="K85" i="8908"/>
  <c r="C86" i="8908"/>
  <c r="E86" i="8908"/>
  <c r="F86" i="8908"/>
  <c r="I86" i="8908"/>
  <c r="K86" i="8908"/>
  <c r="C87" i="8908"/>
  <c r="E87" i="8908"/>
  <c r="F87" i="8908"/>
  <c r="I87" i="8908"/>
  <c r="K87" i="8908"/>
  <c r="C88" i="8908"/>
  <c r="E88" i="8908"/>
  <c r="F88" i="8908"/>
  <c r="I88" i="8908"/>
  <c r="K88" i="8908"/>
  <c r="C89" i="8908"/>
  <c r="E89" i="8908"/>
  <c r="F89" i="8908"/>
  <c r="I89" i="8908"/>
  <c r="K89" i="8908"/>
  <c r="C90" i="8908"/>
  <c r="E90" i="8908"/>
  <c r="F90" i="8908"/>
  <c r="I90" i="8908"/>
  <c r="K90" i="8908"/>
  <c r="C91" i="8908"/>
  <c r="D91" i="8908"/>
  <c r="E91" i="8908"/>
  <c r="F91" i="8908"/>
  <c r="G91" i="8908"/>
  <c r="H91" i="8908"/>
  <c r="I91" i="8908"/>
  <c r="J91" i="8908"/>
  <c r="K91" i="8908"/>
  <c r="L91" i="8908"/>
  <c r="C92" i="8908"/>
  <c r="E92" i="8908"/>
  <c r="F92" i="8908"/>
  <c r="I92" i="8908"/>
  <c r="K92" i="8908"/>
  <c r="C93" i="8908"/>
  <c r="E93" i="8908"/>
  <c r="F93" i="8908"/>
  <c r="I93" i="8908"/>
  <c r="K93" i="8908"/>
  <c r="C94" i="8908"/>
  <c r="E94" i="8908"/>
  <c r="F94" i="8908"/>
  <c r="I94" i="8908"/>
  <c r="K94" i="8908"/>
  <c r="C95" i="8908"/>
  <c r="E95" i="8908"/>
  <c r="F95" i="8908"/>
  <c r="I95" i="8908"/>
  <c r="K95" i="8908"/>
  <c r="C96" i="8908"/>
  <c r="E96" i="8908"/>
  <c r="F96" i="8908"/>
  <c r="I96" i="8908"/>
  <c r="K96" i="8908"/>
  <c r="C97" i="8908"/>
  <c r="E97" i="8908"/>
  <c r="F97" i="8908"/>
  <c r="I97" i="8908"/>
  <c r="K97" i="8908"/>
  <c r="C98" i="8908"/>
  <c r="E98" i="8908"/>
  <c r="F98" i="8908"/>
  <c r="I98" i="8908"/>
  <c r="K98" i="8908"/>
  <c r="C99" i="8908"/>
  <c r="E99" i="8908"/>
  <c r="F99" i="8908"/>
  <c r="I99" i="8908"/>
  <c r="K99" i="8908"/>
  <c r="C100" i="8908"/>
  <c r="E100" i="8908"/>
  <c r="F100" i="8908"/>
  <c r="I100" i="8908"/>
  <c r="K100" i="8908"/>
  <c r="C101" i="8908"/>
  <c r="E101" i="8908"/>
  <c r="F101" i="8908"/>
  <c r="I101" i="8908"/>
  <c r="K101" i="8908"/>
  <c r="C102" i="8908"/>
  <c r="E102" i="8908"/>
  <c r="F102" i="8908"/>
  <c r="I102" i="8908"/>
  <c r="K102" i="8908"/>
  <c r="C103" i="8908"/>
  <c r="D103" i="8908"/>
  <c r="E103" i="8908"/>
  <c r="F103" i="8908"/>
  <c r="G103" i="8908"/>
  <c r="H103" i="8908"/>
  <c r="I103" i="8908"/>
  <c r="J103" i="8908"/>
  <c r="K103" i="8908"/>
  <c r="L103" i="8908"/>
  <c r="C104" i="8908"/>
  <c r="E104" i="8908"/>
  <c r="F104" i="8908"/>
  <c r="I104" i="8908"/>
  <c r="K104" i="8908"/>
  <c r="C105" i="8908"/>
  <c r="E105" i="8908"/>
  <c r="F105" i="8908"/>
  <c r="I105" i="8908"/>
  <c r="K105" i="8908"/>
  <c r="C106" i="8908"/>
  <c r="E106" i="8908"/>
  <c r="F106" i="8908"/>
  <c r="I106" i="8908"/>
  <c r="K106" i="8908"/>
  <c r="C107" i="8908"/>
  <c r="E107" i="8908"/>
  <c r="F107" i="8908"/>
  <c r="I107" i="8908"/>
  <c r="K107" i="8908"/>
  <c r="C108" i="8908"/>
  <c r="E108" i="8908"/>
  <c r="F108" i="8908"/>
  <c r="I108" i="8908"/>
  <c r="K108" i="8908"/>
  <c r="C109" i="8908"/>
  <c r="E109" i="8908"/>
  <c r="F109" i="8908"/>
  <c r="I109" i="8908"/>
  <c r="K109" i="8908"/>
  <c r="C110" i="8908"/>
  <c r="E110" i="8908"/>
  <c r="F110" i="8908"/>
  <c r="I110" i="8908"/>
  <c r="K110" i="8908"/>
  <c r="C111" i="8908"/>
  <c r="E111" i="8908"/>
  <c r="F111" i="8908"/>
  <c r="I111" i="8908"/>
  <c r="K111" i="8908"/>
  <c r="C112" i="8908"/>
  <c r="E112" i="8908"/>
  <c r="F112" i="8908"/>
  <c r="I112" i="8908"/>
  <c r="K112" i="8908"/>
  <c r="C113" i="8908"/>
  <c r="E113" i="8908"/>
  <c r="F113" i="8908"/>
  <c r="I113" i="8908"/>
  <c r="K113" i="8908"/>
  <c r="C114" i="8908"/>
  <c r="E114" i="8908"/>
  <c r="F114" i="8908"/>
  <c r="I114" i="8908"/>
  <c r="K114" i="8908"/>
  <c r="C115" i="8908"/>
  <c r="D115" i="8908"/>
  <c r="E115" i="8908"/>
  <c r="F115" i="8908"/>
  <c r="G115" i="8908"/>
  <c r="H115" i="8908"/>
  <c r="I115" i="8908"/>
  <c r="J115" i="8908"/>
  <c r="K115" i="8908"/>
  <c r="L115" i="8908"/>
  <c r="C116" i="8908"/>
  <c r="E116" i="8908"/>
  <c r="F116" i="8908"/>
  <c r="I116" i="8908"/>
  <c r="K116" i="8908"/>
  <c r="C117" i="8908"/>
  <c r="E117" i="8908"/>
  <c r="F117" i="8908"/>
  <c r="I117" i="8908"/>
  <c r="K117" i="8908"/>
  <c r="C118" i="8908"/>
  <c r="E118" i="8908"/>
  <c r="F118" i="8908"/>
  <c r="I118" i="8908"/>
  <c r="K118" i="8908"/>
  <c r="C119" i="8908"/>
  <c r="E119" i="8908"/>
  <c r="F119" i="8908"/>
  <c r="I119" i="8908"/>
  <c r="K119" i="8908"/>
  <c r="C120" i="8908"/>
  <c r="E120" i="8908"/>
  <c r="F120" i="8908"/>
  <c r="I120" i="8908"/>
  <c r="K120" i="8908"/>
  <c r="C121" i="8908"/>
  <c r="E121" i="8908"/>
  <c r="F121" i="8908"/>
  <c r="I121" i="8908"/>
  <c r="K121" i="8908"/>
  <c r="C122" i="8908"/>
  <c r="E122" i="8908"/>
  <c r="F122" i="8908"/>
  <c r="I122" i="8908"/>
  <c r="K122" i="8908"/>
  <c r="C123" i="8908"/>
  <c r="E123" i="8908"/>
  <c r="F123" i="8908"/>
  <c r="I123" i="8908"/>
  <c r="K123" i="8908"/>
  <c r="C124" i="8908"/>
  <c r="E124" i="8908"/>
  <c r="F124" i="8908"/>
  <c r="I124" i="8908"/>
  <c r="K124" i="8908"/>
  <c r="C125" i="8908"/>
  <c r="E125" i="8908"/>
  <c r="F125" i="8908"/>
  <c r="I125" i="8908"/>
  <c r="K125" i="8908"/>
  <c r="C126" i="8908"/>
  <c r="E126" i="8908"/>
  <c r="F126" i="8908"/>
  <c r="I126" i="8908"/>
  <c r="K126" i="8908"/>
  <c r="C127" i="8908"/>
  <c r="D127" i="8908"/>
  <c r="E127" i="8908"/>
  <c r="F127" i="8908"/>
  <c r="G127" i="8908"/>
  <c r="H127" i="8908"/>
  <c r="I127" i="8908"/>
  <c r="J127" i="8908"/>
  <c r="K127" i="8908"/>
  <c r="L127" i="8908"/>
  <c r="C128" i="8908"/>
  <c r="E128" i="8908"/>
  <c r="F128" i="8908"/>
  <c r="I128" i="8908"/>
  <c r="K128" i="8908"/>
  <c r="C129" i="8908"/>
  <c r="E129" i="8908"/>
  <c r="F129" i="8908"/>
  <c r="I129" i="8908"/>
  <c r="K129" i="8908"/>
  <c r="C130" i="8908"/>
  <c r="E130" i="8908"/>
  <c r="F130" i="8908"/>
  <c r="I130" i="8908"/>
  <c r="K130" i="8908"/>
  <c r="C131" i="8908"/>
  <c r="E131" i="8908"/>
  <c r="F131" i="8908"/>
  <c r="I131" i="8908"/>
  <c r="K131" i="8908"/>
  <c r="C132" i="8908"/>
  <c r="E132" i="8908"/>
  <c r="F132" i="8908"/>
  <c r="I132" i="8908"/>
  <c r="K132" i="8908"/>
  <c r="C133" i="8908"/>
  <c r="E133" i="8908"/>
  <c r="F133" i="8908"/>
  <c r="I133" i="8908"/>
  <c r="K133" i="8908"/>
  <c r="C134" i="8908"/>
  <c r="E134" i="8908"/>
  <c r="F134" i="8908"/>
  <c r="I134" i="8908"/>
  <c r="K134" i="8908"/>
  <c r="C135" i="8908"/>
  <c r="E135" i="8908"/>
  <c r="F135" i="8908"/>
  <c r="I135" i="8908"/>
  <c r="K135" i="8908"/>
  <c r="C136" i="8908"/>
  <c r="E136" i="8908"/>
  <c r="F136" i="8908"/>
  <c r="I136" i="8908"/>
  <c r="K136" i="8908"/>
  <c r="C137" i="8908"/>
  <c r="E137" i="8908"/>
  <c r="F137" i="8908"/>
  <c r="I137" i="8908"/>
  <c r="K137" i="8908"/>
  <c r="C138" i="8908"/>
  <c r="E138" i="8908"/>
  <c r="F138" i="8908"/>
  <c r="I138" i="8908"/>
  <c r="K138" i="8908"/>
  <c r="C139" i="8908"/>
  <c r="D139" i="8908"/>
  <c r="E139" i="8908"/>
  <c r="F139" i="8908"/>
  <c r="G139" i="8908"/>
  <c r="H139" i="8908"/>
  <c r="I139" i="8908"/>
  <c r="J139" i="8908"/>
  <c r="K139" i="8908"/>
  <c r="L139" i="8908"/>
  <c r="C140" i="8908"/>
  <c r="E140" i="8908"/>
  <c r="F140" i="8908"/>
  <c r="I140" i="8908"/>
  <c r="K140" i="8908"/>
  <c r="C141" i="8908"/>
  <c r="E141" i="8908"/>
  <c r="F141" i="8908"/>
  <c r="I141" i="8908"/>
  <c r="K141" i="8908"/>
  <c r="C142" i="8908"/>
  <c r="E142" i="8908"/>
  <c r="F142" i="8908"/>
  <c r="I142" i="8908"/>
  <c r="K142" i="8908"/>
  <c r="C143" i="8908"/>
  <c r="E143" i="8908"/>
  <c r="F143" i="8908"/>
  <c r="I143" i="8908"/>
  <c r="K143" i="8908"/>
  <c r="C144" i="8908"/>
  <c r="E144" i="8908"/>
  <c r="F144" i="8908"/>
  <c r="I144" i="8908"/>
  <c r="K144" i="8908"/>
  <c r="C145" i="8908"/>
  <c r="E145" i="8908"/>
  <c r="F145" i="8908"/>
  <c r="I145" i="8908"/>
  <c r="K145" i="8908"/>
  <c r="C146" i="8908"/>
  <c r="E146" i="8908"/>
  <c r="F146" i="8908"/>
  <c r="I146" i="8908"/>
  <c r="K146" i="8908"/>
  <c r="C147" i="8908"/>
  <c r="E147" i="8908"/>
  <c r="F147" i="8908"/>
  <c r="I147" i="8908"/>
  <c r="K147" i="8908"/>
  <c r="C148" i="8908"/>
  <c r="E148" i="8908"/>
  <c r="F148" i="8908"/>
  <c r="I148" i="8908"/>
  <c r="K148" i="8908"/>
  <c r="C149" i="8908"/>
  <c r="E149" i="8908"/>
  <c r="F149" i="8908"/>
  <c r="I149" i="8908"/>
  <c r="K149" i="8908"/>
  <c r="C150" i="8908"/>
  <c r="E150" i="8908"/>
  <c r="F150" i="8908"/>
  <c r="I150" i="8908"/>
  <c r="K150" i="8908"/>
  <c r="C151" i="8908"/>
  <c r="D151" i="8908"/>
  <c r="E151" i="8908"/>
  <c r="F151" i="8908"/>
  <c r="G151" i="8908"/>
  <c r="H151" i="8908"/>
  <c r="I151" i="8908"/>
  <c r="J151" i="8908"/>
  <c r="K151" i="8908"/>
  <c r="L151" i="8908"/>
  <c r="C152" i="8908"/>
  <c r="E152" i="8908"/>
  <c r="F152" i="8908"/>
  <c r="I152" i="8908"/>
  <c r="K152" i="8908"/>
  <c r="C153" i="8908"/>
  <c r="E153" i="8908"/>
  <c r="F153" i="8908"/>
  <c r="I153" i="8908"/>
  <c r="K153" i="8908"/>
  <c r="C154" i="8908"/>
  <c r="E154" i="8908"/>
  <c r="F154" i="8908"/>
  <c r="I154" i="8908"/>
  <c r="K154" i="8908"/>
  <c r="C155" i="8908"/>
  <c r="E155" i="8908"/>
  <c r="F155" i="8908"/>
  <c r="I155" i="8908"/>
  <c r="K155" i="8908"/>
  <c r="C156" i="8908"/>
  <c r="E156" i="8908"/>
  <c r="F156" i="8908"/>
  <c r="I156" i="8908"/>
  <c r="K156" i="8908"/>
  <c r="C157" i="8908"/>
  <c r="E157" i="8908"/>
  <c r="F157" i="8908"/>
  <c r="I157" i="8908"/>
  <c r="K157" i="8908"/>
  <c r="C158" i="8908"/>
  <c r="E158" i="8908"/>
  <c r="F158" i="8908"/>
  <c r="I158" i="8908"/>
  <c r="K158" i="8908"/>
  <c r="C159" i="8908"/>
  <c r="E159" i="8908"/>
  <c r="F159" i="8908"/>
  <c r="I159" i="8908"/>
  <c r="K159" i="8908"/>
  <c r="C160" i="8908"/>
  <c r="E160" i="8908"/>
  <c r="F160" i="8908"/>
  <c r="I160" i="8908"/>
  <c r="K160" i="8908"/>
  <c r="C161" i="8908"/>
  <c r="E161" i="8908"/>
  <c r="F161" i="8908"/>
  <c r="I161" i="8908"/>
  <c r="K161" i="8908"/>
  <c r="C162" i="8908"/>
  <c r="E162" i="8908"/>
  <c r="F162" i="8908"/>
  <c r="I162" i="8908"/>
  <c r="K162" i="8908"/>
  <c r="C163" i="8908"/>
  <c r="D163" i="8908"/>
  <c r="E163" i="8908"/>
  <c r="F163" i="8908"/>
  <c r="G163" i="8908"/>
  <c r="H163" i="8908"/>
  <c r="I163" i="8908"/>
  <c r="J163" i="8908"/>
  <c r="K163" i="8908"/>
  <c r="L163" i="8908"/>
  <c r="C164" i="8908"/>
  <c r="E164" i="8908"/>
  <c r="F164" i="8908"/>
  <c r="I164" i="8908"/>
  <c r="K164" i="8908"/>
  <c r="C165" i="8908"/>
  <c r="E165" i="8908"/>
  <c r="F165" i="8908"/>
  <c r="I165" i="8908"/>
  <c r="K165" i="8908"/>
  <c r="C166" i="8908"/>
  <c r="E166" i="8908"/>
  <c r="F166" i="8908"/>
  <c r="I166" i="8908"/>
  <c r="K166" i="8908"/>
  <c r="C167" i="8908"/>
  <c r="E167" i="8908"/>
  <c r="F167" i="8908"/>
  <c r="I167" i="8908"/>
  <c r="K167" i="8908"/>
  <c r="C168" i="8908"/>
  <c r="E168" i="8908"/>
  <c r="F168" i="8908"/>
  <c r="I168" i="8908"/>
  <c r="K168" i="8908"/>
  <c r="C169" i="8908"/>
  <c r="E169" i="8908"/>
  <c r="F169" i="8908"/>
  <c r="I169" i="8908"/>
  <c r="K169" i="8908"/>
  <c r="C170" i="8908"/>
  <c r="E170" i="8908"/>
  <c r="F170" i="8908"/>
  <c r="I170" i="8908"/>
  <c r="K170" i="8908"/>
  <c r="C171" i="8908"/>
  <c r="E171" i="8908"/>
  <c r="F171" i="8908"/>
  <c r="I171" i="8908"/>
  <c r="K171" i="8908"/>
  <c r="C172" i="8908"/>
  <c r="E172" i="8908"/>
  <c r="F172" i="8908"/>
  <c r="I172" i="8908"/>
  <c r="K172" i="8908"/>
  <c r="C173" i="8908"/>
  <c r="E173" i="8908"/>
  <c r="F173" i="8908"/>
  <c r="I173" i="8908"/>
  <c r="K173" i="8908"/>
  <c r="C174" i="8908"/>
  <c r="E174" i="8908"/>
  <c r="F174" i="8908"/>
  <c r="I174" i="8908"/>
  <c r="K174" i="8908"/>
  <c r="C175" i="8908"/>
  <c r="D175" i="8908"/>
  <c r="E175" i="8908"/>
  <c r="F175" i="8908"/>
  <c r="G175" i="8908"/>
  <c r="H175" i="8908"/>
  <c r="I175" i="8908"/>
  <c r="J175" i="8908"/>
  <c r="K175" i="8908"/>
  <c r="L175" i="8908"/>
  <c r="C176" i="8908"/>
  <c r="E176" i="8908"/>
  <c r="F176" i="8908"/>
  <c r="I176" i="8908"/>
  <c r="K176" i="8908"/>
  <c r="C177" i="8908"/>
  <c r="E177" i="8908"/>
  <c r="F177" i="8908"/>
  <c r="I177" i="8908"/>
  <c r="K177" i="8908"/>
  <c r="C178" i="8908"/>
  <c r="E178" i="8908"/>
  <c r="F178" i="8908"/>
  <c r="I178" i="8908"/>
  <c r="K178" i="8908"/>
  <c r="C179" i="8908"/>
  <c r="E179" i="8908"/>
  <c r="F179" i="8908"/>
  <c r="I179" i="8908"/>
  <c r="K179" i="8908"/>
  <c r="C180" i="8908"/>
  <c r="E180" i="8908"/>
  <c r="F180" i="8908"/>
  <c r="I180" i="8908"/>
  <c r="K180" i="8908"/>
  <c r="C181" i="8908"/>
  <c r="E181" i="8908"/>
  <c r="F181" i="8908"/>
  <c r="I181" i="8908"/>
  <c r="K181" i="8908"/>
  <c r="C182" i="8908"/>
  <c r="E182" i="8908"/>
  <c r="F182" i="8908"/>
  <c r="I182" i="8908"/>
  <c r="K182" i="8908"/>
  <c r="C183" i="8908"/>
  <c r="E183" i="8908"/>
  <c r="F183" i="8908"/>
  <c r="I183" i="8908"/>
  <c r="K183" i="8908"/>
  <c r="C184" i="8908"/>
  <c r="E184" i="8908"/>
  <c r="F184" i="8908"/>
  <c r="I184" i="8908"/>
  <c r="K184" i="8908"/>
  <c r="C185" i="8908"/>
  <c r="E185" i="8908"/>
  <c r="F185" i="8908"/>
  <c r="I185" i="8908"/>
  <c r="K185" i="8908"/>
  <c r="C186" i="8908"/>
  <c r="E186" i="8908"/>
  <c r="F186" i="8908"/>
  <c r="I186" i="8908"/>
  <c r="K186" i="8908"/>
  <c r="C187" i="8908"/>
  <c r="D187" i="8908"/>
  <c r="E187" i="8908"/>
  <c r="F187" i="8908"/>
  <c r="G187" i="8908"/>
  <c r="H187" i="8908"/>
  <c r="I187" i="8908"/>
  <c r="J187" i="8908"/>
  <c r="K187" i="8908"/>
  <c r="L187" i="8908"/>
  <c r="C188" i="8908"/>
  <c r="E188" i="8908"/>
  <c r="F188" i="8908"/>
  <c r="I188" i="8908"/>
  <c r="K188" i="8908"/>
  <c r="C189" i="8908"/>
  <c r="E189" i="8908"/>
  <c r="F189" i="8908"/>
  <c r="I189" i="8908"/>
  <c r="K189" i="8908"/>
  <c r="C190" i="8908"/>
  <c r="E190" i="8908"/>
  <c r="F190" i="8908"/>
  <c r="I190" i="8908"/>
  <c r="K190" i="8908"/>
  <c r="C191" i="8908"/>
  <c r="E191" i="8908"/>
  <c r="F191" i="8908"/>
  <c r="I191" i="8908"/>
  <c r="K191" i="8908"/>
  <c r="C192" i="8908"/>
  <c r="E192" i="8908"/>
  <c r="F192" i="8908"/>
  <c r="I192" i="8908"/>
  <c r="K192" i="8908"/>
  <c r="C193" i="8908"/>
  <c r="E193" i="8908"/>
  <c r="F193" i="8908"/>
  <c r="I193" i="8908"/>
  <c r="K193" i="8908"/>
  <c r="C194" i="8908"/>
  <c r="E194" i="8908"/>
  <c r="F194" i="8908"/>
  <c r="I194" i="8908"/>
  <c r="K194" i="8908"/>
  <c r="C195" i="8908"/>
  <c r="E195" i="8908"/>
  <c r="F195" i="8908"/>
  <c r="I195" i="8908"/>
  <c r="K195" i="8908"/>
  <c r="C196" i="8908"/>
  <c r="E196" i="8908"/>
  <c r="F196" i="8908"/>
  <c r="I196" i="8908"/>
  <c r="K196" i="8908"/>
  <c r="C197" i="8908"/>
  <c r="E197" i="8908"/>
  <c r="F197" i="8908"/>
  <c r="I197" i="8908"/>
  <c r="K197" i="8908"/>
  <c r="C198" i="8908"/>
  <c r="E198" i="8908"/>
  <c r="F198" i="8908"/>
  <c r="I198" i="8908"/>
  <c r="K198" i="8908"/>
  <c r="C199" i="8908"/>
  <c r="D199" i="8908"/>
  <c r="E199" i="8908"/>
  <c r="F199" i="8908"/>
  <c r="G199" i="8908"/>
  <c r="H199" i="8908"/>
  <c r="I199" i="8908"/>
  <c r="J199" i="8908"/>
  <c r="K199" i="8908"/>
  <c r="L199" i="8908"/>
  <c r="C200" i="8908"/>
  <c r="E200" i="8908"/>
  <c r="F200" i="8908"/>
  <c r="I200" i="8908"/>
  <c r="K200" i="8908"/>
  <c r="C201" i="8908"/>
  <c r="E201" i="8908"/>
  <c r="F201" i="8908"/>
  <c r="I201" i="8908"/>
  <c r="K201" i="8908"/>
  <c r="C202" i="8908"/>
  <c r="E202" i="8908"/>
  <c r="F202" i="8908"/>
  <c r="I202" i="8908"/>
  <c r="K202" i="8908"/>
  <c r="C203" i="8908"/>
  <c r="E203" i="8908"/>
  <c r="F203" i="8908"/>
  <c r="I203" i="8908"/>
  <c r="K203" i="8908"/>
  <c r="C204" i="8908"/>
  <c r="E204" i="8908"/>
  <c r="F204" i="8908"/>
  <c r="I204" i="8908"/>
  <c r="K204" i="8908"/>
  <c r="C205" i="8908"/>
  <c r="E205" i="8908"/>
  <c r="F205" i="8908"/>
  <c r="I205" i="8908"/>
  <c r="K205" i="8908"/>
  <c r="C206" i="8908"/>
  <c r="E206" i="8908"/>
  <c r="F206" i="8908"/>
  <c r="I206" i="8908"/>
  <c r="K206" i="8908"/>
  <c r="C207" i="8908"/>
  <c r="E207" i="8908"/>
  <c r="F207" i="8908"/>
  <c r="I207" i="8908"/>
  <c r="K207" i="8908"/>
  <c r="C208" i="8908"/>
  <c r="E208" i="8908"/>
  <c r="F208" i="8908"/>
  <c r="I208" i="8908"/>
  <c r="K208" i="8908"/>
  <c r="C209" i="8908"/>
  <c r="E209" i="8908"/>
  <c r="F209" i="8908"/>
  <c r="I209" i="8908"/>
  <c r="K209" i="8908"/>
  <c r="C210" i="8908"/>
  <c r="E210" i="8908"/>
  <c r="F210" i="8908"/>
  <c r="I210" i="8908"/>
  <c r="K210" i="8908"/>
  <c r="C211" i="8908"/>
  <c r="D211" i="8908"/>
  <c r="E211" i="8908"/>
  <c r="F211" i="8908"/>
  <c r="G211" i="8908"/>
  <c r="H211" i="8908"/>
  <c r="I211" i="8908"/>
  <c r="J211" i="8908"/>
  <c r="K211" i="8908"/>
  <c r="L211" i="8908"/>
  <c r="C212" i="8908"/>
  <c r="E212" i="8908"/>
  <c r="F212" i="8908"/>
  <c r="I212" i="8908"/>
  <c r="K212" i="8908"/>
  <c r="C213" i="8908"/>
  <c r="E213" i="8908"/>
  <c r="F213" i="8908"/>
  <c r="I213" i="8908"/>
  <c r="K213" i="8908"/>
  <c r="C214" i="8908"/>
  <c r="E214" i="8908"/>
  <c r="F214" i="8908"/>
  <c r="I214" i="8908"/>
  <c r="K214" i="8908"/>
  <c r="C215" i="8908"/>
  <c r="E215" i="8908"/>
  <c r="F215" i="8908"/>
  <c r="I215" i="8908"/>
  <c r="K215" i="8908"/>
  <c r="C216" i="8908"/>
  <c r="E216" i="8908"/>
  <c r="F216" i="8908"/>
  <c r="I216" i="8908"/>
  <c r="K216" i="8908"/>
  <c r="C217" i="8908"/>
  <c r="E217" i="8908"/>
  <c r="F217" i="8908"/>
  <c r="I217" i="8908"/>
  <c r="K217" i="8908"/>
  <c r="C218" i="8908"/>
  <c r="E218" i="8908"/>
  <c r="F218" i="8908"/>
  <c r="I218" i="8908"/>
  <c r="K218" i="8908"/>
  <c r="C219" i="8908"/>
  <c r="E219" i="8908"/>
  <c r="F219" i="8908"/>
  <c r="I219" i="8908"/>
  <c r="K219" i="8908"/>
  <c r="C220" i="8908"/>
  <c r="E220" i="8908"/>
  <c r="F220" i="8908"/>
  <c r="I220" i="8908"/>
  <c r="K220" i="8908"/>
  <c r="C221" i="8908"/>
  <c r="E221" i="8908"/>
  <c r="F221" i="8908"/>
  <c r="I221" i="8908"/>
  <c r="K221" i="8908"/>
  <c r="C222" i="8908"/>
  <c r="E222" i="8908"/>
  <c r="F222" i="8908"/>
  <c r="I222" i="8908"/>
  <c r="K222" i="8908"/>
  <c r="C223" i="8908"/>
  <c r="D223" i="8908"/>
  <c r="E223" i="8908"/>
  <c r="F223" i="8908"/>
  <c r="G223" i="8908"/>
  <c r="H223" i="8908"/>
  <c r="I223" i="8908"/>
  <c r="J223" i="8908"/>
  <c r="K223" i="8908"/>
  <c r="L223" i="8908"/>
  <c r="C224" i="8908"/>
  <c r="E224" i="8908"/>
  <c r="F224" i="8908"/>
  <c r="I224" i="8908"/>
  <c r="K224" i="8908"/>
  <c r="C225" i="8908"/>
  <c r="E225" i="8908"/>
  <c r="F225" i="8908"/>
  <c r="I225" i="8908"/>
  <c r="K225" i="8908"/>
  <c r="C226" i="8908"/>
  <c r="E226" i="8908"/>
  <c r="F226" i="8908"/>
  <c r="I226" i="8908"/>
  <c r="K226" i="8908"/>
  <c r="C227" i="8908"/>
  <c r="E227" i="8908"/>
  <c r="F227" i="8908"/>
  <c r="I227" i="8908"/>
  <c r="K227" i="8908"/>
  <c r="C228" i="8908"/>
  <c r="E228" i="8908"/>
  <c r="F228" i="8908"/>
  <c r="I228" i="8908"/>
  <c r="K228" i="8908"/>
  <c r="C229" i="8908"/>
  <c r="E229" i="8908"/>
  <c r="F229" i="8908"/>
  <c r="I229" i="8908"/>
  <c r="K229" i="8908"/>
  <c r="C230" i="8908"/>
  <c r="E230" i="8908"/>
  <c r="F230" i="8908"/>
  <c r="I230" i="8908"/>
  <c r="K230" i="8908"/>
  <c r="C231" i="8908"/>
  <c r="E231" i="8908"/>
  <c r="F231" i="8908"/>
  <c r="I231" i="8908"/>
  <c r="K231" i="8908"/>
  <c r="C232" i="8908"/>
  <c r="E232" i="8908"/>
  <c r="F232" i="8908"/>
  <c r="I232" i="8908"/>
  <c r="K232" i="8908"/>
  <c r="C233" i="8908"/>
  <c r="E233" i="8908"/>
  <c r="F233" i="8908"/>
  <c r="I233" i="8908"/>
  <c r="K233" i="8908"/>
  <c r="C234" i="8908"/>
  <c r="E234" i="8908"/>
  <c r="F234" i="8908"/>
  <c r="I234" i="8908"/>
  <c r="K234" i="8908"/>
  <c r="C235" i="8908"/>
  <c r="D235" i="8908"/>
  <c r="E235" i="8908"/>
  <c r="F235" i="8908"/>
  <c r="G235" i="8908"/>
  <c r="H235" i="8908"/>
  <c r="I235" i="8908"/>
  <c r="J235" i="8908"/>
  <c r="K235" i="8908"/>
  <c r="L235" i="8908"/>
  <c r="C236" i="8908"/>
  <c r="E236" i="8908"/>
  <c r="F236" i="8908"/>
  <c r="I236" i="8908"/>
  <c r="K236" i="8908"/>
  <c r="C237" i="8908"/>
  <c r="E237" i="8908"/>
  <c r="F237" i="8908"/>
  <c r="I237" i="8908"/>
  <c r="K237" i="8908"/>
  <c r="C238" i="8908"/>
  <c r="E238" i="8908"/>
  <c r="F238" i="8908"/>
  <c r="I238" i="8908"/>
  <c r="K238" i="8908"/>
  <c r="C239" i="8908"/>
  <c r="E239" i="8908"/>
  <c r="F239" i="8908"/>
  <c r="I239" i="8908"/>
  <c r="K239" i="8908"/>
  <c r="C240" i="8908"/>
  <c r="E240" i="8908"/>
  <c r="F240" i="8908"/>
  <c r="I240" i="8908"/>
  <c r="K240" i="8908"/>
  <c r="C241" i="8908"/>
  <c r="E241" i="8908"/>
  <c r="F241" i="8908"/>
  <c r="I241" i="8908"/>
  <c r="K241" i="8908"/>
  <c r="C242" i="8908"/>
  <c r="E242" i="8908"/>
  <c r="F242" i="8908"/>
  <c r="I242" i="8908"/>
  <c r="K242" i="8908"/>
  <c r="C243" i="8908"/>
  <c r="E243" i="8908"/>
  <c r="F243" i="8908"/>
  <c r="I243" i="8908"/>
  <c r="K243" i="8908"/>
  <c r="C244" i="8908"/>
  <c r="E244" i="8908"/>
  <c r="F244" i="8908"/>
  <c r="I244" i="8908"/>
  <c r="K244" i="8908"/>
  <c r="C245" i="8908"/>
  <c r="E245" i="8908"/>
  <c r="F245" i="8908"/>
  <c r="I245" i="8908"/>
  <c r="K245" i="8908"/>
  <c r="C246" i="8908"/>
  <c r="E246" i="8908"/>
  <c r="F246" i="8908"/>
  <c r="I246" i="8908"/>
  <c r="K246" i="8908"/>
  <c r="C247" i="8908"/>
  <c r="D247" i="8908"/>
  <c r="E247" i="8908"/>
  <c r="F247" i="8908"/>
  <c r="G247" i="8908"/>
  <c r="H247" i="8908"/>
  <c r="I247" i="8908"/>
  <c r="J247" i="8908"/>
  <c r="K247" i="8908"/>
  <c r="L247" i="8908"/>
  <c r="C248" i="8908"/>
  <c r="E248" i="8908"/>
  <c r="F248" i="8908"/>
  <c r="I248" i="8908"/>
  <c r="K248" i="8908"/>
  <c r="C249" i="8908"/>
  <c r="E249" i="8908"/>
  <c r="F249" i="8908"/>
  <c r="I249" i="8908"/>
  <c r="K249" i="8908"/>
  <c r="C250" i="8908"/>
  <c r="E250" i="8908"/>
  <c r="F250" i="8908"/>
  <c r="I250" i="8908"/>
  <c r="K250" i="8908"/>
  <c r="C251" i="8908"/>
  <c r="E251" i="8908"/>
  <c r="F251" i="8908"/>
  <c r="I251" i="8908"/>
  <c r="K251" i="8908"/>
  <c r="C252" i="8908"/>
  <c r="E252" i="8908"/>
  <c r="F252" i="8908"/>
  <c r="I252" i="8908"/>
  <c r="K252" i="8908"/>
  <c r="C253" i="8908"/>
  <c r="E253" i="8908"/>
  <c r="F253" i="8908"/>
  <c r="I253" i="8908"/>
  <c r="K253" i="8908"/>
  <c r="C254" i="8908"/>
  <c r="E254" i="8908"/>
  <c r="F254" i="8908"/>
  <c r="I254" i="8908"/>
  <c r="K254" i="8908"/>
  <c r="C255" i="8908"/>
  <c r="E255" i="8908"/>
  <c r="F255" i="8908"/>
  <c r="I255" i="8908"/>
  <c r="K255" i="8908"/>
  <c r="C256" i="8908"/>
  <c r="E256" i="8908"/>
  <c r="F256" i="8908"/>
  <c r="I256" i="8908"/>
  <c r="K256" i="8908"/>
  <c r="C257" i="8908"/>
  <c r="E257" i="8908"/>
  <c r="F257" i="8908"/>
  <c r="I257" i="8908"/>
  <c r="K257" i="8908"/>
  <c r="C258" i="8908"/>
  <c r="E258" i="8908"/>
  <c r="F258" i="8908"/>
  <c r="I258" i="8908"/>
  <c r="K258" i="8908"/>
  <c r="C259" i="8908"/>
  <c r="D259" i="8908"/>
  <c r="E259" i="8908"/>
  <c r="F259" i="8908"/>
  <c r="G259" i="8908"/>
  <c r="H259" i="8908"/>
  <c r="I259" i="8908"/>
  <c r="J259" i="8908"/>
  <c r="K259" i="8908"/>
  <c r="L259" i="8908"/>
  <c r="G260" i="8908"/>
  <c r="H260" i="8908"/>
  <c r="H261" i="8908"/>
  <c r="C272" i="8908"/>
  <c r="C273" i="8908"/>
  <c r="C274" i="8908"/>
  <c r="C275" i="8908"/>
  <c r="C276" i="8908"/>
  <c r="C277" i="8908"/>
  <c r="C278" i="8908"/>
  <c r="C279" i="8908"/>
  <c r="C280" i="8908"/>
  <c r="C281" i="8908"/>
  <c r="C282" i="8908"/>
  <c r="C283" i="8908"/>
  <c r="D283" i="8908"/>
  <c r="D2" i="11407"/>
  <c r="E2" i="11407"/>
  <c r="K2" i="11407"/>
  <c r="D11" i="11407"/>
  <c r="E11" i="11407"/>
  <c r="F11" i="11407"/>
  <c r="G11" i="11407"/>
  <c r="H11" i="11407"/>
  <c r="O11" i="11407"/>
  <c r="A12" i="11407"/>
  <c r="D12" i="11407"/>
  <c r="E12" i="11407"/>
  <c r="F12" i="11407"/>
  <c r="G12" i="11407"/>
  <c r="H12" i="11407"/>
  <c r="O12" i="11407"/>
  <c r="A13" i="11407"/>
  <c r="D13" i="11407"/>
  <c r="E13" i="11407"/>
  <c r="F13" i="11407"/>
  <c r="G13" i="11407"/>
  <c r="H13" i="11407"/>
  <c r="O13" i="11407"/>
  <c r="A14" i="11407"/>
  <c r="D14" i="11407"/>
  <c r="E14" i="11407"/>
  <c r="F14" i="11407"/>
  <c r="G14" i="11407"/>
  <c r="H14" i="11407"/>
  <c r="O14" i="11407"/>
  <c r="A15" i="11407"/>
  <c r="D15" i="11407"/>
  <c r="E15" i="11407"/>
  <c r="F15" i="11407"/>
  <c r="G15" i="11407"/>
  <c r="H15" i="11407"/>
  <c r="O15" i="11407"/>
  <c r="A16" i="11407"/>
  <c r="D16" i="11407"/>
  <c r="E16" i="11407"/>
  <c r="F16" i="11407"/>
  <c r="G16" i="11407"/>
  <c r="H16" i="11407"/>
  <c r="O16" i="11407"/>
  <c r="A17" i="11407"/>
  <c r="D17" i="11407"/>
  <c r="E17" i="11407"/>
  <c r="F17" i="11407"/>
  <c r="G17" i="11407"/>
  <c r="H17" i="11407"/>
  <c r="O17" i="11407"/>
  <c r="A18" i="11407"/>
  <c r="D18" i="11407"/>
  <c r="E18" i="11407"/>
  <c r="F18" i="11407"/>
  <c r="G18" i="11407"/>
  <c r="H18" i="11407"/>
  <c r="K18" i="11407"/>
  <c r="L18" i="11407"/>
  <c r="M18" i="11407"/>
  <c r="O18" i="11407"/>
  <c r="A19" i="11407"/>
  <c r="D19" i="11407"/>
  <c r="E19" i="11407"/>
  <c r="F19" i="11407"/>
  <c r="G19" i="11407"/>
  <c r="H19" i="11407"/>
  <c r="K19" i="11407"/>
  <c r="L19" i="11407"/>
  <c r="M19" i="11407"/>
  <c r="O19" i="11407"/>
  <c r="A20" i="11407"/>
  <c r="D20" i="11407"/>
  <c r="E20" i="11407"/>
  <c r="F20" i="11407"/>
  <c r="G20" i="11407"/>
  <c r="H20" i="11407"/>
  <c r="K20" i="11407"/>
  <c r="L20" i="11407"/>
  <c r="M20" i="11407"/>
  <c r="O20" i="11407"/>
  <c r="A21" i="11407"/>
  <c r="D21" i="11407"/>
  <c r="E21" i="11407"/>
  <c r="F21" i="11407"/>
  <c r="G21" i="11407"/>
  <c r="H21" i="11407"/>
  <c r="K21" i="11407"/>
  <c r="L21" i="11407"/>
  <c r="M21" i="11407"/>
  <c r="O21" i="11407"/>
  <c r="A22" i="11407"/>
  <c r="D22" i="11407"/>
  <c r="E22" i="11407"/>
  <c r="F22" i="11407"/>
  <c r="G22" i="11407"/>
  <c r="H22" i="11407"/>
  <c r="K22" i="11407"/>
  <c r="L22" i="11407"/>
  <c r="M22" i="11407"/>
  <c r="O22" i="11407"/>
  <c r="A23" i="11407"/>
  <c r="D23" i="11407"/>
  <c r="E23" i="11407"/>
  <c r="F23" i="11407"/>
  <c r="G23" i="11407"/>
  <c r="H23" i="11407"/>
  <c r="K23" i="11407"/>
  <c r="L23" i="11407"/>
  <c r="M23" i="11407"/>
  <c r="O23" i="11407"/>
  <c r="A24" i="11407"/>
  <c r="D24" i="11407"/>
  <c r="E24" i="11407"/>
  <c r="F24" i="11407"/>
  <c r="G24" i="11407"/>
  <c r="H24" i="11407"/>
  <c r="K24" i="11407"/>
  <c r="L24" i="11407"/>
  <c r="M24" i="11407"/>
  <c r="O24" i="11407"/>
  <c r="A25" i="11407"/>
  <c r="D25" i="11407"/>
  <c r="E25" i="11407"/>
  <c r="F25" i="11407"/>
  <c r="G25" i="11407"/>
  <c r="H25" i="11407"/>
  <c r="K25" i="11407"/>
  <c r="L25" i="11407"/>
  <c r="M25" i="11407"/>
  <c r="O25" i="11407"/>
  <c r="A26" i="11407"/>
  <c r="D26" i="11407"/>
  <c r="E26" i="11407"/>
  <c r="F26" i="11407"/>
  <c r="G26" i="11407"/>
  <c r="H26" i="11407"/>
  <c r="K26" i="11407"/>
  <c r="L26" i="11407"/>
  <c r="M26" i="11407"/>
  <c r="O26" i="11407"/>
  <c r="A27" i="11407"/>
  <c r="D27" i="11407"/>
  <c r="E27" i="11407"/>
  <c r="F27" i="11407"/>
  <c r="G27" i="11407"/>
  <c r="H27" i="11407"/>
  <c r="K27" i="11407"/>
  <c r="L27" i="11407"/>
  <c r="M27" i="11407"/>
  <c r="O27" i="11407"/>
  <c r="A28" i="11407"/>
  <c r="D28" i="11407"/>
  <c r="E28" i="11407"/>
  <c r="F28" i="11407"/>
  <c r="G28" i="11407"/>
  <c r="H28" i="11407"/>
  <c r="K28" i="11407"/>
  <c r="L28" i="11407"/>
  <c r="M28" i="11407"/>
  <c r="O28" i="11407"/>
  <c r="A29" i="11407"/>
  <c r="D29" i="11407"/>
  <c r="E29" i="11407"/>
  <c r="F29" i="11407"/>
  <c r="G29" i="11407"/>
  <c r="H29" i="11407"/>
  <c r="K29" i="11407"/>
  <c r="L29" i="11407"/>
  <c r="M29" i="11407"/>
  <c r="O29" i="11407"/>
  <c r="A30" i="11407"/>
  <c r="D30" i="11407"/>
  <c r="E30" i="11407"/>
  <c r="F30" i="11407"/>
  <c r="G30" i="11407"/>
  <c r="H30" i="11407"/>
  <c r="K30" i="11407"/>
  <c r="L30" i="11407"/>
  <c r="M30" i="11407"/>
  <c r="O30" i="11407"/>
  <c r="A31" i="11407"/>
  <c r="D31" i="11407"/>
  <c r="E31" i="11407"/>
  <c r="F31" i="11407"/>
  <c r="G31" i="11407"/>
  <c r="H31" i="11407"/>
  <c r="K31" i="11407"/>
  <c r="L31" i="11407"/>
  <c r="M31" i="11407"/>
  <c r="O31" i="11407"/>
  <c r="A32" i="11407"/>
  <c r="D32" i="11407"/>
  <c r="E32" i="11407"/>
  <c r="F32" i="11407"/>
  <c r="G32" i="11407"/>
  <c r="H32" i="11407"/>
  <c r="K32" i="11407"/>
  <c r="L32" i="11407"/>
  <c r="M32" i="11407"/>
  <c r="O32" i="11407"/>
  <c r="A33" i="11407"/>
  <c r="D33" i="11407"/>
  <c r="E33" i="11407"/>
  <c r="F33" i="11407"/>
  <c r="G33" i="11407"/>
  <c r="H33" i="11407"/>
  <c r="K33" i="11407"/>
  <c r="L33" i="11407"/>
  <c r="M33" i="11407"/>
  <c r="O33" i="11407"/>
  <c r="A34" i="11407"/>
  <c r="D34" i="11407"/>
  <c r="E34" i="11407"/>
  <c r="F34" i="11407"/>
  <c r="G34" i="11407"/>
  <c r="H34" i="11407"/>
  <c r="K34" i="11407"/>
  <c r="L34" i="11407"/>
  <c r="M34" i="11407"/>
  <c r="O34" i="11407"/>
  <c r="A35" i="11407"/>
  <c r="D35" i="11407"/>
  <c r="E35" i="11407"/>
  <c r="F35" i="11407"/>
  <c r="G35" i="11407"/>
  <c r="H35" i="11407"/>
  <c r="K35" i="11407"/>
  <c r="L35" i="11407"/>
  <c r="M35" i="11407"/>
  <c r="O35" i="11407"/>
  <c r="A36" i="11407"/>
  <c r="D36" i="11407"/>
  <c r="E36" i="11407"/>
  <c r="F36" i="11407"/>
  <c r="G36" i="11407"/>
  <c r="H36" i="11407"/>
  <c r="K36" i="11407"/>
  <c r="L36" i="11407"/>
  <c r="M36" i="11407"/>
  <c r="O36" i="11407"/>
  <c r="A37" i="11407"/>
  <c r="D37" i="11407"/>
  <c r="E37" i="11407"/>
  <c r="F37" i="11407"/>
  <c r="G37" i="11407"/>
  <c r="H37" i="11407"/>
  <c r="K37" i="11407"/>
  <c r="L37" i="11407"/>
  <c r="M37" i="11407"/>
  <c r="O37" i="11407"/>
  <c r="A38" i="11407"/>
  <c r="D38" i="11407"/>
  <c r="E38" i="11407"/>
  <c r="F38" i="11407"/>
  <c r="G38" i="11407"/>
  <c r="H38" i="11407"/>
  <c r="K38" i="11407"/>
  <c r="L38" i="11407"/>
  <c r="M38" i="11407"/>
  <c r="O38" i="11407"/>
  <c r="A39" i="11407"/>
  <c r="D39" i="11407"/>
  <c r="E39" i="11407"/>
  <c r="F39" i="11407"/>
  <c r="G39" i="11407"/>
  <c r="H39" i="11407"/>
  <c r="K39" i="11407"/>
  <c r="L39" i="11407"/>
  <c r="M39" i="11407"/>
  <c r="O39" i="11407"/>
  <c r="A40" i="11407"/>
  <c r="D40" i="11407"/>
  <c r="E40" i="11407"/>
  <c r="F40" i="11407"/>
  <c r="G40" i="11407"/>
  <c r="H40" i="11407"/>
  <c r="K40" i="11407"/>
  <c r="L40" i="11407"/>
  <c r="M40" i="11407"/>
  <c r="O40" i="11407"/>
  <c r="A41" i="11407"/>
  <c r="D41" i="11407"/>
  <c r="E41" i="11407"/>
  <c r="F41" i="11407"/>
  <c r="G41" i="11407"/>
  <c r="H41" i="11407"/>
  <c r="K41" i="11407"/>
  <c r="L41" i="11407"/>
  <c r="M41" i="11407"/>
  <c r="O41" i="11407"/>
  <c r="A42" i="11407"/>
  <c r="D42" i="11407"/>
  <c r="E42" i="11407"/>
  <c r="F42" i="11407"/>
  <c r="G42" i="11407"/>
  <c r="H42" i="11407"/>
  <c r="K42" i="11407"/>
  <c r="L42" i="11407"/>
  <c r="M42" i="11407"/>
  <c r="O42" i="11407"/>
  <c r="A43" i="11407"/>
  <c r="D43" i="11407"/>
  <c r="E43" i="11407"/>
  <c r="F43" i="11407"/>
  <c r="G43" i="11407"/>
  <c r="H43" i="11407"/>
  <c r="K43" i="11407"/>
  <c r="L43" i="11407"/>
  <c r="M43" i="11407"/>
  <c r="O43" i="11407"/>
  <c r="A44" i="11407"/>
  <c r="D44" i="11407"/>
  <c r="E44" i="11407"/>
  <c r="F44" i="11407"/>
  <c r="G44" i="11407"/>
  <c r="H44" i="11407"/>
  <c r="K44" i="11407"/>
  <c r="L44" i="11407"/>
  <c r="M44" i="11407"/>
  <c r="O44" i="11407"/>
  <c r="A45" i="11407"/>
  <c r="D45" i="11407"/>
  <c r="E45" i="11407"/>
  <c r="F45" i="11407"/>
  <c r="G45" i="11407"/>
  <c r="H45" i="11407"/>
  <c r="K45" i="11407"/>
  <c r="L45" i="11407"/>
  <c r="M45" i="11407"/>
  <c r="O45" i="11407"/>
  <c r="A46" i="11407"/>
  <c r="D46" i="11407"/>
  <c r="E46" i="11407"/>
  <c r="F46" i="11407"/>
  <c r="G46" i="11407"/>
  <c r="H46" i="11407"/>
  <c r="K46" i="11407"/>
  <c r="L46" i="11407"/>
  <c r="M46" i="11407"/>
  <c r="O46" i="11407"/>
  <c r="A47" i="11407"/>
  <c r="D47" i="11407"/>
  <c r="E47" i="11407"/>
  <c r="F47" i="11407"/>
  <c r="G47" i="11407"/>
  <c r="H47" i="11407"/>
  <c r="K47" i="11407"/>
  <c r="L47" i="11407"/>
  <c r="M47" i="11407"/>
  <c r="O47" i="11407"/>
  <c r="A48" i="11407"/>
  <c r="D48" i="11407"/>
  <c r="E48" i="11407"/>
  <c r="F48" i="11407"/>
  <c r="G48" i="11407"/>
  <c r="H48" i="11407"/>
  <c r="K48" i="11407"/>
  <c r="L48" i="11407"/>
  <c r="M48" i="11407"/>
  <c r="O48" i="11407"/>
  <c r="A49" i="11407"/>
  <c r="D49" i="11407"/>
  <c r="E49" i="11407"/>
  <c r="F49" i="11407"/>
  <c r="G49" i="11407"/>
  <c r="H49" i="11407"/>
  <c r="K49" i="11407"/>
  <c r="L49" i="11407"/>
  <c r="M49" i="11407"/>
  <c r="O49" i="11407"/>
  <c r="A50" i="11407"/>
  <c r="D50" i="11407"/>
  <c r="E50" i="11407"/>
  <c r="F50" i="11407"/>
  <c r="G50" i="11407"/>
  <c r="H50" i="11407"/>
  <c r="K50" i="11407"/>
  <c r="L50" i="11407"/>
  <c r="M50" i="11407"/>
  <c r="O50" i="11407"/>
  <c r="A51" i="11407"/>
  <c r="D51" i="11407"/>
  <c r="E51" i="11407"/>
  <c r="F51" i="11407"/>
  <c r="G51" i="11407"/>
  <c r="H51" i="11407"/>
  <c r="K51" i="11407"/>
  <c r="L51" i="11407"/>
  <c r="M51" i="11407"/>
  <c r="O51" i="11407"/>
  <c r="A52" i="11407"/>
  <c r="D52" i="11407"/>
  <c r="E52" i="11407"/>
  <c r="F52" i="11407"/>
  <c r="G52" i="11407"/>
  <c r="H52" i="11407"/>
  <c r="K52" i="11407"/>
  <c r="L52" i="11407"/>
  <c r="M52" i="11407"/>
  <c r="O52" i="11407"/>
  <c r="A53" i="11407"/>
  <c r="D53" i="11407"/>
  <c r="E53" i="11407"/>
  <c r="F53" i="11407"/>
  <c r="G53" i="11407"/>
  <c r="H53" i="11407"/>
  <c r="K53" i="11407"/>
  <c r="L53" i="11407"/>
  <c r="M53" i="11407"/>
  <c r="O53" i="11407"/>
  <c r="A54" i="11407"/>
  <c r="D54" i="11407"/>
  <c r="E54" i="11407"/>
  <c r="F54" i="11407"/>
  <c r="G54" i="11407"/>
  <c r="H54" i="11407"/>
  <c r="K54" i="11407"/>
  <c r="L54" i="11407"/>
  <c r="M54" i="11407"/>
  <c r="O54" i="11407"/>
  <c r="A55" i="11407"/>
  <c r="D55" i="11407"/>
  <c r="E55" i="11407"/>
  <c r="F55" i="11407"/>
  <c r="G55" i="11407"/>
  <c r="H55" i="11407"/>
  <c r="K55" i="11407"/>
  <c r="L55" i="11407"/>
  <c r="M55" i="11407"/>
  <c r="O55" i="11407"/>
  <c r="A56" i="11407"/>
  <c r="D56" i="11407"/>
  <c r="E56" i="11407"/>
  <c r="F56" i="11407"/>
  <c r="G56" i="11407"/>
  <c r="H56" i="11407"/>
  <c r="K56" i="11407"/>
  <c r="L56" i="11407"/>
  <c r="M56" i="11407"/>
  <c r="O56" i="11407"/>
  <c r="A57" i="11407"/>
  <c r="D57" i="11407"/>
  <c r="E57" i="11407"/>
  <c r="F57" i="11407"/>
  <c r="G57" i="11407"/>
  <c r="H57" i="11407"/>
  <c r="K57" i="11407"/>
  <c r="L57" i="11407"/>
  <c r="M57" i="11407"/>
  <c r="O57" i="11407"/>
  <c r="A58" i="11407"/>
  <c r="D58" i="11407"/>
  <c r="E58" i="11407"/>
  <c r="F58" i="11407"/>
  <c r="G58" i="11407"/>
  <c r="H58" i="11407"/>
  <c r="K58" i="11407"/>
  <c r="L58" i="11407"/>
  <c r="M58" i="11407"/>
  <c r="O58" i="11407"/>
  <c r="A59" i="11407"/>
  <c r="D59" i="11407"/>
  <c r="E59" i="11407"/>
  <c r="F59" i="11407"/>
  <c r="G59" i="11407"/>
  <c r="H59" i="11407"/>
  <c r="K59" i="11407"/>
  <c r="L59" i="11407"/>
  <c r="M59" i="11407"/>
  <c r="O59" i="11407"/>
  <c r="A60" i="11407"/>
  <c r="D60" i="11407"/>
  <c r="E60" i="11407"/>
  <c r="F60" i="11407"/>
  <c r="G60" i="11407"/>
  <c r="H60" i="11407"/>
  <c r="K60" i="11407"/>
  <c r="L60" i="11407"/>
  <c r="M60" i="11407"/>
  <c r="O60" i="11407"/>
  <c r="A61" i="11407"/>
  <c r="D61" i="11407"/>
  <c r="E61" i="11407"/>
  <c r="F61" i="11407"/>
  <c r="G61" i="11407"/>
  <c r="H61" i="11407"/>
  <c r="K61" i="11407"/>
  <c r="L61" i="11407"/>
  <c r="M61" i="11407"/>
  <c r="O61" i="11407"/>
  <c r="A62" i="11407"/>
  <c r="D62" i="11407"/>
  <c r="E62" i="11407"/>
  <c r="F62" i="11407"/>
  <c r="G62" i="11407"/>
  <c r="H62" i="11407"/>
  <c r="K62" i="11407"/>
  <c r="L62" i="11407"/>
  <c r="M62" i="11407"/>
  <c r="O62" i="11407"/>
  <c r="A63" i="11407"/>
  <c r="D63" i="11407"/>
  <c r="E63" i="11407"/>
  <c r="F63" i="11407"/>
  <c r="G63" i="11407"/>
  <c r="H63" i="11407"/>
  <c r="K63" i="11407"/>
  <c r="L63" i="11407"/>
  <c r="M63" i="11407"/>
  <c r="O63" i="11407"/>
  <c r="A64" i="11407"/>
  <c r="D64" i="11407"/>
  <c r="E64" i="11407"/>
  <c r="F64" i="11407"/>
  <c r="G64" i="11407"/>
  <c r="H64" i="11407"/>
  <c r="K64" i="11407"/>
  <c r="L64" i="11407"/>
  <c r="M64" i="11407"/>
  <c r="O64" i="11407"/>
  <c r="A65" i="11407"/>
  <c r="D65" i="11407"/>
  <c r="E65" i="11407"/>
  <c r="F65" i="11407"/>
  <c r="G65" i="11407"/>
  <c r="H65" i="11407"/>
  <c r="K65" i="11407"/>
  <c r="L65" i="11407"/>
  <c r="M65" i="11407"/>
  <c r="O65" i="11407"/>
  <c r="A66" i="11407"/>
  <c r="D66" i="11407"/>
  <c r="E66" i="11407"/>
  <c r="F66" i="11407"/>
  <c r="G66" i="11407"/>
  <c r="H66" i="11407"/>
  <c r="K66" i="11407"/>
  <c r="L66" i="11407"/>
  <c r="M66" i="11407"/>
  <c r="O66" i="11407"/>
  <c r="A67" i="11407"/>
  <c r="D67" i="11407"/>
  <c r="E67" i="11407"/>
  <c r="F67" i="11407"/>
  <c r="G67" i="11407"/>
  <c r="H67" i="11407"/>
  <c r="K67" i="11407"/>
  <c r="L67" i="11407"/>
  <c r="M67" i="11407"/>
  <c r="O67" i="11407"/>
  <c r="A68" i="11407"/>
  <c r="D68" i="11407"/>
  <c r="E68" i="11407"/>
  <c r="F68" i="11407"/>
  <c r="G68" i="11407"/>
  <c r="H68" i="11407"/>
  <c r="K68" i="11407"/>
  <c r="L68" i="11407"/>
  <c r="M68" i="11407"/>
  <c r="O68" i="11407"/>
  <c r="A69" i="11407"/>
  <c r="D69" i="11407"/>
  <c r="E69" i="11407"/>
  <c r="F69" i="11407"/>
  <c r="G69" i="11407"/>
  <c r="H69" i="11407"/>
  <c r="K69" i="11407"/>
  <c r="L69" i="11407"/>
  <c r="M69" i="11407"/>
  <c r="O69" i="11407"/>
  <c r="A70" i="11407"/>
  <c r="D70" i="11407"/>
  <c r="E70" i="11407"/>
  <c r="F70" i="11407"/>
  <c r="G70" i="11407"/>
  <c r="H70" i="11407"/>
  <c r="K70" i="11407"/>
  <c r="L70" i="11407"/>
  <c r="M70" i="11407"/>
  <c r="O70" i="11407"/>
  <c r="A71" i="11407"/>
  <c r="D71" i="11407"/>
  <c r="E71" i="11407"/>
  <c r="F71" i="11407"/>
  <c r="G71" i="11407"/>
  <c r="H71" i="11407"/>
  <c r="K71" i="11407"/>
  <c r="L71" i="11407"/>
  <c r="M71" i="11407"/>
  <c r="O71" i="11407"/>
  <c r="A72" i="11407"/>
  <c r="D72" i="11407"/>
  <c r="E72" i="11407"/>
  <c r="F72" i="11407"/>
  <c r="G72" i="11407"/>
  <c r="H72" i="11407"/>
  <c r="K72" i="11407"/>
  <c r="L72" i="11407"/>
  <c r="M72" i="11407"/>
  <c r="O72" i="11407"/>
  <c r="A73" i="11407"/>
  <c r="D73" i="11407"/>
  <c r="E73" i="11407"/>
  <c r="F73" i="11407"/>
  <c r="G73" i="11407"/>
  <c r="H73" i="11407"/>
  <c r="K73" i="11407"/>
  <c r="L73" i="11407"/>
  <c r="M73" i="11407"/>
  <c r="O73" i="11407"/>
  <c r="A74" i="11407"/>
  <c r="D74" i="11407"/>
  <c r="E74" i="11407"/>
  <c r="F74" i="11407"/>
  <c r="G74" i="11407"/>
  <c r="H74" i="11407"/>
  <c r="K74" i="11407"/>
  <c r="L74" i="11407"/>
  <c r="M74" i="11407"/>
  <c r="O74" i="11407"/>
  <c r="A75" i="11407"/>
  <c r="D75" i="11407"/>
  <c r="E75" i="11407"/>
  <c r="F75" i="11407"/>
  <c r="G75" i="11407"/>
  <c r="H75" i="11407"/>
  <c r="K75" i="11407"/>
  <c r="L75" i="11407"/>
  <c r="M75" i="11407"/>
  <c r="O75" i="11407"/>
  <c r="A76" i="11407"/>
  <c r="D76" i="11407"/>
  <c r="E76" i="11407"/>
  <c r="F76" i="11407"/>
  <c r="G76" i="11407"/>
  <c r="H76" i="11407"/>
  <c r="K76" i="11407"/>
  <c r="L76" i="11407"/>
  <c r="M76" i="11407"/>
  <c r="O76" i="11407"/>
  <c r="A77" i="11407"/>
  <c r="D77" i="11407"/>
  <c r="E77" i="11407"/>
  <c r="F77" i="11407"/>
  <c r="G77" i="11407"/>
  <c r="H77" i="11407"/>
  <c r="K77" i="11407"/>
  <c r="L77" i="11407"/>
  <c r="M77" i="11407"/>
  <c r="O77" i="11407"/>
  <c r="A78" i="11407"/>
  <c r="D78" i="11407"/>
  <c r="E78" i="11407"/>
  <c r="F78" i="11407"/>
  <c r="G78" i="11407"/>
  <c r="H78" i="11407"/>
  <c r="K78" i="11407"/>
  <c r="L78" i="11407"/>
  <c r="M78" i="11407"/>
  <c r="O78" i="11407"/>
  <c r="A79" i="11407"/>
  <c r="D79" i="11407"/>
  <c r="E79" i="11407"/>
  <c r="F79" i="11407"/>
  <c r="G79" i="11407"/>
  <c r="H79" i="11407"/>
  <c r="K79" i="11407"/>
  <c r="L79" i="11407"/>
  <c r="M79" i="11407"/>
  <c r="O79" i="11407"/>
  <c r="A80" i="11407"/>
  <c r="D80" i="11407"/>
  <c r="E80" i="11407"/>
  <c r="F80" i="11407"/>
  <c r="G80" i="11407"/>
  <c r="H80" i="11407"/>
  <c r="K80" i="11407"/>
  <c r="L80" i="11407"/>
  <c r="M80" i="11407"/>
  <c r="O80" i="11407"/>
  <c r="A81" i="11407"/>
  <c r="D81" i="11407"/>
  <c r="E81" i="11407"/>
  <c r="F81" i="11407"/>
  <c r="G81" i="11407"/>
  <c r="H81" i="11407"/>
  <c r="K81" i="11407"/>
  <c r="L81" i="11407"/>
  <c r="M81" i="11407"/>
  <c r="O81" i="11407"/>
  <c r="A82" i="11407"/>
  <c r="D82" i="11407"/>
  <c r="E82" i="11407"/>
  <c r="F82" i="11407"/>
  <c r="G82" i="11407"/>
  <c r="H82" i="11407"/>
  <c r="K82" i="11407"/>
  <c r="L82" i="11407"/>
  <c r="M82" i="11407"/>
  <c r="O82" i="11407"/>
  <c r="A83" i="11407"/>
  <c r="D83" i="11407"/>
  <c r="E83" i="11407"/>
  <c r="F83" i="11407"/>
  <c r="G83" i="11407"/>
  <c r="H83" i="11407"/>
  <c r="K83" i="11407"/>
  <c r="L83" i="11407"/>
  <c r="M83" i="11407"/>
  <c r="O83" i="11407"/>
  <c r="A84" i="11407"/>
  <c r="D84" i="11407"/>
  <c r="E84" i="11407"/>
  <c r="F84" i="11407"/>
  <c r="G84" i="11407"/>
  <c r="H84" i="11407"/>
  <c r="K84" i="11407"/>
  <c r="L84" i="11407"/>
  <c r="M84" i="11407"/>
  <c r="O84" i="11407"/>
  <c r="A85" i="11407"/>
  <c r="D85" i="11407"/>
  <c r="E85" i="11407"/>
  <c r="F85" i="11407"/>
  <c r="G85" i="11407"/>
  <c r="H85" i="11407"/>
  <c r="K85" i="11407"/>
  <c r="L85" i="11407"/>
  <c r="M85" i="11407"/>
  <c r="O85" i="11407"/>
  <c r="A86" i="11407"/>
  <c r="D86" i="11407"/>
  <c r="E86" i="11407"/>
  <c r="F86" i="11407"/>
  <c r="G86" i="11407"/>
  <c r="H86" i="11407"/>
  <c r="K86" i="11407"/>
  <c r="L86" i="11407"/>
  <c r="M86" i="11407"/>
  <c r="O86" i="11407"/>
  <c r="A87" i="11407"/>
  <c r="D87" i="11407"/>
  <c r="E87" i="11407"/>
  <c r="F87" i="11407"/>
  <c r="G87" i="11407"/>
  <c r="H87" i="11407"/>
  <c r="K87" i="11407"/>
  <c r="L87" i="11407"/>
  <c r="M87" i="11407"/>
  <c r="O87" i="11407"/>
  <c r="A88" i="11407"/>
  <c r="D88" i="11407"/>
  <c r="E88" i="11407"/>
  <c r="F88" i="11407"/>
  <c r="G88" i="11407"/>
  <c r="H88" i="11407"/>
  <c r="K88" i="11407"/>
  <c r="L88" i="11407"/>
  <c r="M88" i="11407"/>
  <c r="O88" i="11407"/>
  <c r="A89" i="11407"/>
  <c r="D89" i="11407"/>
  <c r="E89" i="11407"/>
  <c r="F89" i="11407"/>
  <c r="G89" i="11407"/>
  <c r="H89" i="11407"/>
  <c r="K89" i="11407"/>
  <c r="L89" i="11407"/>
  <c r="M89" i="11407"/>
  <c r="O89" i="11407"/>
  <c r="A90" i="11407"/>
  <c r="D90" i="11407"/>
  <c r="E90" i="11407"/>
  <c r="F90" i="11407"/>
  <c r="G90" i="11407"/>
  <c r="H90" i="11407"/>
  <c r="K90" i="11407"/>
  <c r="L90" i="11407"/>
  <c r="M90" i="11407"/>
  <c r="O90" i="11407"/>
  <c r="A91" i="11407"/>
  <c r="D91" i="11407"/>
  <c r="E91" i="11407"/>
  <c r="F91" i="11407"/>
  <c r="G91" i="11407"/>
  <c r="H91" i="11407"/>
  <c r="K91" i="11407"/>
  <c r="L91" i="11407"/>
  <c r="M91" i="11407"/>
  <c r="O91" i="11407"/>
  <c r="A92" i="11407"/>
  <c r="D92" i="11407"/>
  <c r="E92" i="11407"/>
  <c r="F92" i="11407"/>
  <c r="G92" i="11407"/>
  <c r="H92" i="11407"/>
  <c r="K92" i="11407"/>
  <c r="L92" i="11407"/>
  <c r="M92" i="11407"/>
  <c r="O92" i="11407"/>
  <c r="A93" i="11407"/>
  <c r="D93" i="11407"/>
  <c r="E93" i="11407"/>
  <c r="F93" i="11407"/>
  <c r="G93" i="11407"/>
  <c r="H93" i="11407"/>
  <c r="K93" i="11407"/>
  <c r="L93" i="11407"/>
  <c r="M93" i="11407"/>
  <c r="O93" i="11407"/>
  <c r="A94" i="11407"/>
  <c r="D94" i="11407"/>
  <c r="E94" i="11407"/>
  <c r="F94" i="11407"/>
  <c r="G94" i="11407"/>
  <c r="H94" i="11407"/>
  <c r="K94" i="11407"/>
  <c r="L94" i="11407"/>
  <c r="M94" i="11407"/>
  <c r="O94" i="11407"/>
  <c r="A95" i="11407"/>
  <c r="D95" i="11407"/>
  <c r="E95" i="11407"/>
  <c r="F95" i="11407"/>
  <c r="G95" i="11407"/>
  <c r="H95" i="11407"/>
  <c r="K95" i="11407"/>
  <c r="L95" i="11407"/>
  <c r="M95" i="11407"/>
  <c r="O95" i="11407"/>
  <c r="A96" i="11407"/>
  <c r="D96" i="11407"/>
  <c r="E96" i="11407"/>
  <c r="F96" i="11407"/>
  <c r="G96" i="11407"/>
  <c r="H96" i="11407"/>
  <c r="K96" i="11407"/>
  <c r="L96" i="11407"/>
  <c r="M96" i="11407"/>
  <c r="O96" i="11407"/>
  <c r="A97" i="11407"/>
  <c r="D97" i="11407"/>
  <c r="E97" i="11407"/>
  <c r="F97" i="11407"/>
  <c r="G97" i="11407"/>
  <c r="H97" i="11407"/>
  <c r="K97" i="11407"/>
  <c r="L97" i="11407"/>
  <c r="M97" i="11407"/>
  <c r="O97" i="11407"/>
  <c r="A98" i="11407"/>
  <c r="D98" i="11407"/>
  <c r="E98" i="11407"/>
  <c r="F98" i="11407"/>
  <c r="G98" i="11407"/>
  <c r="H98" i="11407"/>
  <c r="K98" i="11407"/>
  <c r="L98" i="11407"/>
  <c r="M98" i="11407"/>
  <c r="O98" i="11407"/>
  <c r="A99" i="11407"/>
  <c r="D99" i="11407"/>
  <c r="E99" i="11407"/>
  <c r="F99" i="11407"/>
  <c r="G99" i="11407"/>
  <c r="H99" i="11407"/>
  <c r="K99" i="11407"/>
  <c r="L99" i="11407"/>
  <c r="M99" i="11407"/>
  <c r="O99" i="11407"/>
  <c r="A100" i="11407"/>
  <c r="D100" i="11407"/>
  <c r="E100" i="11407"/>
  <c r="F100" i="11407"/>
  <c r="G100" i="11407"/>
  <c r="H100" i="11407"/>
  <c r="K100" i="11407"/>
  <c r="L100" i="11407"/>
  <c r="M100" i="11407"/>
  <c r="O100" i="11407"/>
  <c r="A101" i="11407"/>
  <c r="D101" i="11407"/>
  <c r="E101" i="11407"/>
  <c r="F101" i="11407"/>
  <c r="G101" i="11407"/>
  <c r="H101" i="11407"/>
  <c r="K101" i="11407"/>
  <c r="L101" i="11407"/>
  <c r="M101" i="11407"/>
  <c r="O101" i="11407"/>
  <c r="A102" i="11407"/>
  <c r="D102" i="11407"/>
  <c r="E102" i="11407"/>
  <c r="F102" i="11407"/>
  <c r="G102" i="11407"/>
  <c r="H102" i="11407"/>
  <c r="K102" i="11407"/>
  <c r="L102" i="11407"/>
  <c r="M102" i="11407"/>
  <c r="O102" i="11407"/>
  <c r="A103" i="11407"/>
  <c r="D103" i="11407"/>
  <c r="E103" i="11407"/>
  <c r="F103" i="11407"/>
  <c r="G103" i="11407"/>
  <c r="H103" i="11407"/>
  <c r="K103" i="11407"/>
  <c r="L103" i="11407"/>
  <c r="M103" i="11407"/>
  <c r="O103" i="11407"/>
  <c r="A104" i="11407"/>
  <c r="D104" i="11407"/>
  <c r="E104" i="11407"/>
  <c r="F104" i="11407"/>
  <c r="G104" i="11407"/>
  <c r="H104" i="11407"/>
  <c r="K104" i="11407"/>
  <c r="L104" i="11407"/>
  <c r="M104" i="11407"/>
  <c r="O104" i="11407"/>
  <c r="A105" i="11407"/>
  <c r="D105" i="11407"/>
  <c r="E105" i="11407"/>
  <c r="F105" i="11407"/>
  <c r="G105" i="11407"/>
  <c r="H105" i="11407"/>
  <c r="K105" i="11407"/>
  <c r="L105" i="11407"/>
  <c r="M105" i="11407"/>
  <c r="O105" i="11407"/>
  <c r="A106" i="11407"/>
  <c r="D106" i="11407"/>
  <c r="E106" i="11407"/>
  <c r="F106" i="11407"/>
  <c r="G106" i="11407"/>
  <c r="H106" i="11407"/>
  <c r="K106" i="11407"/>
  <c r="L106" i="11407"/>
  <c r="M106" i="11407"/>
  <c r="O106" i="11407"/>
  <c r="A107" i="11407"/>
  <c r="D107" i="11407"/>
  <c r="E107" i="11407"/>
  <c r="F107" i="11407"/>
  <c r="G107" i="11407"/>
  <c r="H107" i="11407"/>
  <c r="K107" i="11407"/>
  <c r="L107" i="11407"/>
  <c r="M107" i="11407"/>
  <c r="O107" i="11407"/>
  <c r="A108" i="11407"/>
  <c r="D108" i="11407"/>
  <c r="E108" i="11407"/>
  <c r="F108" i="11407"/>
  <c r="G108" i="11407"/>
  <c r="H108" i="11407"/>
  <c r="K108" i="11407"/>
  <c r="L108" i="11407"/>
  <c r="M108" i="11407"/>
  <c r="O108" i="11407"/>
  <c r="A109" i="11407"/>
  <c r="D109" i="11407"/>
  <c r="E109" i="11407"/>
  <c r="F109" i="11407"/>
  <c r="G109" i="11407"/>
  <c r="H109" i="11407"/>
  <c r="K109" i="11407"/>
  <c r="L109" i="11407"/>
  <c r="M109" i="11407"/>
  <c r="O109" i="11407"/>
  <c r="A110" i="11407"/>
  <c r="D110" i="11407"/>
  <c r="E110" i="11407"/>
  <c r="F110" i="11407"/>
  <c r="G110" i="11407"/>
  <c r="H110" i="11407"/>
  <c r="K110" i="11407"/>
  <c r="L110" i="11407"/>
  <c r="M110" i="11407"/>
  <c r="O110" i="11407"/>
  <c r="A111" i="11407"/>
  <c r="D111" i="11407"/>
  <c r="E111" i="11407"/>
  <c r="F111" i="11407"/>
  <c r="G111" i="11407"/>
  <c r="H111" i="11407"/>
  <c r="K111" i="11407"/>
  <c r="L111" i="11407"/>
  <c r="M111" i="11407"/>
  <c r="O111" i="11407"/>
  <c r="A112" i="11407"/>
  <c r="D112" i="11407"/>
  <c r="E112" i="11407"/>
  <c r="F112" i="11407"/>
  <c r="G112" i="11407"/>
  <c r="H112" i="11407"/>
  <c r="K112" i="11407"/>
  <c r="L112" i="11407"/>
  <c r="M112" i="11407"/>
  <c r="O112" i="11407"/>
  <c r="A113" i="11407"/>
  <c r="D113" i="11407"/>
  <c r="E113" i="11407"/>
  <c r="F113" i="11407"/>
  <c r="G113" i="11407"/>
  <c r="H113" i="11407"/>
  <c r="K113" i="11407"/>
  <c r="L113" i="11407"/>
  <c r="M113" i="11407"/>
  <c r="O113" i="11407"/>
  <c r="A114" i="11407"/>
  <c r="D114" i="11407"/>
  <c r="E114" i="11407"/>
  <c r="F114" i="11407"/>
  <c r="G114" i="11407"/>
  <c r="H114" i="11407"/>
  <c r="K114" i="11407"/>
  <c r="L114" i="11407"/>
  <c r="M114" i="11407"/>
  <c r="O114" i="11407"/>
  <c r="A115" i="11407"/>
  <c r="D115" i="11407"/>
  <c r="E115" i="11407"/>
  <c r="F115" i="11407"/>
  <c r="G115" i="11407"/>
  <c r="H115" i="11407"/>
  <c r="K115" i="11407"/>
  <c r="L115" i="11407"/>
  <c r="M115" i="11407"/>
  <c r="O115" i="11407"/>
  <c r="A116" i="11407"/>
  <c r="D116" i="11407"/>
  <c r="E116" i="11407"/>
  <c r="F116" i="11407"/>
  <c r="G116" i="11407"/>
  <c r="H116" i="11407"/>
  <c r="K116" i="11407"/>
  <c r="L116" i="11407"/>
  <c r="M116" i="11407"/>
  <c r="O116" i="11407"/>
  <c r="A117" i="11407"/>
  <c r="D117" i="11407"/>
  <c r="E117" i="11407"/>
  <c r="F117" i="11407"/>
  <c r="G117" i="11407"/>
  <c r="H117" i="11407"/>
  <c r="K117" i="11407"/>
  <c r="L117" i="11407"/>
  <c r="M117" i="11407"/>
  <c r="O117" i="11407"/>
  <c r="A118" i="11407"/>
  <c r="D118" i="11407"/>
  <c r="E118" i="11407"/>
  <c r="F118" i="11407"/>
  <c r="G118" i="11407"/>
  <c r="H118" i="11407"/>
  <c r="K118" i="11407"/>
  <c r="L118" i="11407"/>
  <c r="M118" i="11407"/>
  <c r="O118" i="11407"/>
  <c r="A119" i="11407"/>
  <c r="D119" i="11407"/>
  <c r="E119" i="11407"/>
  <c r="F119" i="11407"/>
  <c r="G119" i="11407"/>
  <c r="H119" i="11407"/>
  <c r="K119" i="11407"/>
  <c r="L119" i="11407"/>
  <c r="M119" i="11407"/>
  <c r="O119" i="11407"/>
  <c r="A120" i="11407"/>
  <c r="D120" i="11407"/>
  <c r="E120" i="11407"/>
  <c r="F120" i="11407"/>
  <c r="G120" i="11407"/>
  <c r="H120" i="11407"/>
  <c r="K120" i="11407"/>
  <c r="L120" i="11407"/>
  <c r="M120" i="11407"/>
  <c r="O120" i="11407"/>
  <c r="A121" i="11407"/>
  <c r="D121" i="11407"/>
  <c r="E121" i="11407"/>
  <c r="F121" i="11407"/>
  <c r="G121" i="11407"/>
  <c r="H121" i="11407"/>
  <c r="K121" i="11407"/>
  <c r="L121" i="11407"/>
  <c r="M121" i="11407"/>
  <c r="O121" i="11407"/>
  <c r="A122" i="11407"/>
  <c r="D122" i="11407"/>
  <c r="E122" i="11407"/>
  <c r="F122" i="11407"/>
  <c r="G122" i="11407"/>
  <c r="H122" i="11407"/>
  <c r="K122" i="11407"/>
  <c r="L122" i="11407"/>
  <c r="M122" i="11407"/>
  <c r="O122" i="11407"/>
  <c r="A123" i="11407"/>
  <c r="D123" i="11407"/>
  <c r="E123" i="11407"/>
  <c r="F123" i="11407"/>
  <c r="G123" i="11407"/>
  <c r="H123" i="11407"/>
  <c r="K123" i="11407"/>
  <c r="L123" i="11407"/>
  <c r="M123" i="11407"/>
  <c r="O123" i="11407"/>
  <c r="A124" i="11407"/>
  <c r="D124" i="11407"/>
  <c r="E124" i="11407"/>
  <c r="F124" i="11407"/>
  <c r="G124" i="11407"/>
  <c r="H124" i="11407"/>
  <c r="K124" i="11407"/>
  <c r="L124" i="11407"/>
  <c r="M124" i="11407"/>
  <c r="O124" i="11407"/>
  <c r="A125" i="11407"/>
  <c r="D125" i="11407"/>
  <c r="E125" i="11407"/>
  <c r="F125" i="11407"/>
  <c r="G125" i="11407"/>
  <c r="H125" i="11407"/>
  <c r="K125" i="11407"/>
  <c r="L125" i="11407"/>
  <c r="M125" i="11407"/>
  <c r="O125" i="11407"/>
  <c r="A126" i="11407"/>
  <c r="D126" i="11407"/>
  <c r="E126" i="11407"/>
  <c r="F126" i="11407"/>
  <c r="G126" i="11407"/>
  <c r="H126" i="11407"/>
  <c r="K126" i="11407"/>
  <c r="L126" i="11407"/>
  <c r="M126" i="11407"/>
  <c r="O126" i="11407"/>
  <c r="A127" i="11407"/>
  <c r="D127" i="11407"/>
  <c r="E127" i="11407"/>
  <c r="F127" i="11407"/>
  <c r="G127" i="11407"/>
  <c r="H127" i="11407"/>
  <c r="K127" i="11407"/>
  <c r="L127" i="11407"/>
  <c r="M127" i="11407"/>
  <c r="O127" i="11407"/>
  <c r="A128" i="11407"/>
  <c r="D128" i="11407"/>
  <c r="E128" i="11407"/>
  <c r="F128" i="11407"/>
  <c r="G128" i="11407"/>
  <c r="H128" i="11407"/>
  <c r="K128" i="11407"/>
  <c r="L128" i="11407"/>
  <c r="M128" i="11407"/>
  <c r="O128" i="11407"/>
  <c r="A129" i="11407"/>
  <c r="D129" i="11407"/>
  <c r="E129" i="11407"/>
  <c r="F129" i="11407"/>
  <c r="G129" i="11407"/>
  <c r="H129" i="11407"/>
  <c r="K129" i="11407"/>
  <c r="L129" i="11407"/>
  <c r="M129" i="11407"/>
  <c r="O129" i="11407"/>
  <c r="A130" i="11407"/>
  <c r="D130" i="11407"/>
  <c r="E130" i="11407"/>
  <c r="F130" i="11407"/>
  <c r="G130" i="11407"/>
  <c r="H130" i="11407"/>
  <c r="K130" i="11407"/>
  <c r="L130" i="11407"/>
  <c r="M130" i="11407"/>
  <c r="O130" i="11407"/>
  <c r="A131" i="11407"/>
  <c r="D131" i="11407"/>
  <c r="E131" i="11407"/>
  <c r="F131" i="11407"/>
  <c r="G131" i="11407"/>
  <c r="H131" i="11407"/>
  <c r="K131" i="11407"/>
  <c r="L131" i="11407"/>
  <c r="M131" i="11407"/>
  <c r="O131" i="11407"/>
  <c r="A132" i="11407"/>
  <c r="D132" i="11407"/>
  <c r="E132" i="11407"/>
  <c r="F132" i="11407"/>
  <c r="G132" i="11407"/>
  <c r="H132" i="11407"/>
  <c r="K132" i="11407"/>
  <c r="L132" i="11407"/>
  <c r="M132" i="11407"/>
  <c r="O132" i="11407"/>
  <c r="A133" i="11407"/>
  <c r="D133" i="11407"/>
  <c r="E133" i="11407"/>
  <c r="F133" i="11407"/>
  <c r="G133" i="11407"/>
  <c r="H133" i="11407"/>
  <c r="K133" i="11407"/>
  <c r="L133" i="11407"/>
  <c r="M133" i="11407"/>
  <c r="O133" i="11407"/>
  <c r="A134" i="11407"/>
  <c r="D134" i="11407"/>
  <c r="E134" i="11407"/>
  <c r="F134" i="11407"/>
  <c r="G134" i="11407"/>
  <c r="H134" i="11407"/>
  <c r="K134" i="11407"/>
  <c r="L134" i="11407"/>
  <c r="M134" i="11407"/>
  <c r="O134" i="11407"/>
  <c r="A135" i="11407"/>
  <c r="D135" i="11407"/>
  <c r="E135" i="11407"/>
  <c r="F135" i="11407"/>
  <c r="G135" i="11407"/>
  <c r="H135" i="11407"/>
  <c r="K135" i="11407"/>
  <c r="L135" i="11407"/>
  <c r="M135" i="11407"/>
  <c r="O135" i="11407"/>
  <c r="A136" i="11407"/>
  <c r="D136" i="11407"/>
  <c r="E136" i="11407"/>
  <c r="F136" i="11407"/>
  <c r="G136" i="11407"/>
  <c r="H136" i="11407"/>
  <c r="K136" i="11407"/>
  <c r="L136" i="11407"/>
  <c r="M136" i="11407"/>
  <c r="O136" i="11407"/>
  <c r="A137" i="11407"/>
  <c r="D137" i="11407"/>
  <c r="E137" i="11407"/>
  <c r="F137" i="11407"/>
  <c r="G137" i="11407"/>
  <c r="H137" i="11407"/>
  <c r="K137" i="11407"/>
  <c r="L137" i="11407"/>
  <c r="M137" i="11407"/>
  <c r="O137" i="11407"/>
  <c r="A138" i="11407"/>
  <c r="D138" i="11407"/>
  <c r="E138" i="11407"/>
  <c r="F138" i="11407"/>
  <c r="G138" i="11407"/>
  <c r="H138" i="11407"/>
  <c r="K138" i="11407"/>
  <c r="L138" i="11407"/>
  <c r="M138" i="11407"/>
  <c r="O138" i="11407"/>
  <c r="A139" i="11407"/>
  <c r="D139" i="11407"/>
  <c r="E139" i="11407"/>
  <c r="F139" i="11407"/>
  <c r="G139" i="11407"/>
  <c r="H139" i="11407"/>
  <c r="K139" i="11407"/>
  <c r="L139" i="11407"/>
  <c r="M139" i="11407"/>
  <c r="O139" i="11407"/>
  <c r="A140" i="11407"/>
  <c r="D140" i="11407"/>
  <c r="E140" i="11407"/>
  <c r="F140" i="11407"/>
  <c r="G140" i="11407"/>
  <c r="H140" i="11407"/>
  <c r="K140" i="11407"/>
  <c r="L140" i="11407"/>
  <c r="M140" i="11407"/>
  <c r="O140" i="11407"/>
  <c r="A141" i="11407"/>
  <c r="D141" i="11407"/>
  <c r="E141" i="11407"/>
  <c r="F141" i="11407"/>
  <c r="G141" i="11407"/>
  <c r="H141" i="11407"/>
  <c r="K141" i="11407"/>
  <c r="L141" i="11407"/>
  <c r="M141" i="11407"/>
  <c r="O141" i="11407"/>
  <c r="A142" i="11407"/>
  <c r="D142" i="11407"/>
  <c r="E142" i="11407"/>
  <c r="F142" i="11407"/>
  <c r="G142" i="11407"/>
  <c r="H142" i="11407"/>
  <c r="K142" i="11407"/>
  <c r="L142" i="11407"/>
  <c r="M142" i="11407"/>
  <c r="O142" i="11407"/>
  <c r="A143" i="11407"/>
  <c r="D143" i="11407"/>
  <c r="E143" i="11407"/>
  <c r="F143" i="11407"/>
  <c r="G143" i="11407"/>
  <c r="H143" i="11407"/>
  <c r="K143" i="11407"/>
  <c r="L143" i="11407"/>
  <c r="M143" i="11407"/>
  <c r="O143" i="11407"/>
  <c r="A144" i="11407"/>
  <c r="D144" i="11407"/>
  <c r="E144" i="11407"/>
  <c r="F144" i="11407"/>
  <c r="G144" i="11407"/>
  <c r="H144" i="11407"/>
  <c r="K144" i="11407"/>
  <c r="L144" i="11407"/>
  <c r="M144" i="11407"/>
  <c r="O144" i="11407"/>
  <c r="A145" i="11407"/>
  <c r="D145" i="11407"/>
  <c r="E145" i="11407"/>
  <c r="F145" i="11407"/>
  <c r="G145" i="11407"/>
  <c r="H145" i="11407"/>
  <c r="K145" i="11407"/>
  <c r="L145" i="11407"/>
  <c r="M145" i="11407"/>
  <c r="O145" i="11407"/>
  <c r="A146" i="11407"/>
  <c r="D146" i="11407"/>
  <c r="E146" i="11407"/>
  <c r="F146" i="11407"/>
  <c r="G146" i="11407"/>
  <c r="H146" i="11407"/>
  <c r="K146" i="11407"/>
  <c r="L146" i="11407"/>
  <c r="M146" i="11407"/>
  <c r="O146" i="11407"/>
  <c r="A147" i="11407"/>
  <c r="D147" i="11407"/>
  <c r="E147" i="11407"/>
  <c r="F147" i="11407"/>
  <c r="G147" i="11407"/>
  <c r="H147" i="11407"/>
  <c r="K147" i="11407"/>
  <c r="L147" i="11407"/>
  <c r="M147" i="11407"/>
  <c r="O147" i="11407"/>
  <c r="A148" i="11407"/>
  <c r="D148" i="11407"/>
  <c r="E148" i="11407"/>
  <c r="F148" i="11407"/>
  <c r="G148" i="11407"/>
  <c r="H148" i="11407"/>
  <c r="K148" i="11407"/>
  <c r="L148" i="11407"/>
  <c r="M148" i="11407"/>
  <c r="O148" i="11407"/>
  <c r="A149" i="11407"/>
  <c r="D149" i="11407"/>
  <c r="E149" i="11407"/>
  <c r="F149" i="11407"/>
  <c r="G149" i="11407"/>
  <c r="H149" i="11407"/>
  <c r="K149" i="11407"/>
  <c r="L149" i="11407"/>
  <c r="M149" i="11407"/>
  <c r="O149" i="11407"/>
  <c r="A150" i="11407"/>
  <c r="D150" i="11407"/>
  <c r="E150" i="11407"/>
  <c r="F150" i="11407"/>
  <c r="G150" i="11407"/>
  <c r="H150" i="11407"/>
  <c r="K150" i="11407"/>
  <c r="L150" i="11407"/>
  <c r="M150" i="11407"/>
  <c r="O150" i="11407"/>
  <c r="A151" i="11407"/>
  <c r="D151" i="11407"/>
  <c r="E151" i="11407"/>
  <c r="F151" i="11407"/>
  <c r="G151" i="11407"/>
  <c r="H151" i="11407"/>
  <c r="K151" i="11407"/>
  <c r="L151" i="11407"/>
  <c r="M151" i="11407"/>
  <c r="O151" i="11407"/>
  <c r="A152" i="11407"/>
  <c r="D152" i="11407"/>
  <c r="E152" i="11407"/>
  <c r="F152" i="11407"/>
  <c r="G152" i="11407"/>
  <c r="H152" i="11407"/>
  <c r="K152" i="11407"/>
  <c r="L152" i="11407"/>
  <c r="M152" i="11407"/>
  <c r="O152" i="11407"/>
  <c r="A153" i="11407"/>
  <c r="D153" i="11407"/>
  <c r="E153" i="11407"/>
  <c r="F153" i="11407"/>
  <c r="G153" i="11407"/>
  <c r="H153" i="11407"/>
  <c r="K153" i="11407"/>
  <c r="L153" i="11407"/>
  <c r="M153" i="11407"/>
  <c r="O153" i="11407"/>
  <c r="A154" i="11407"/>
  <c r="D154" i="11407"/>
  <c r="E154" i="11407"/>
  <c r="F154" i="11407"/>
  <c r="G154" i="11407"/>
  <c r="H154" i="11407"/>
  <c r="K154" i="11407"/>
  <c r="L154" i="11407"/>
  <c r="M154" i="11407"/>
  <c r="O154" i="11407"/>
  <c r="A155" i="11407"/>
  <c r="D155" i="11407"/>
  <c r="E155" i="11407"/>
  <c r="F155" i="11407"/>
  <c r="G155" i="11407"/>
  <c r="H155" i="11407"/>
  <c r="K155" i="11407"/>
  <c r="L155" i="11407"/>
  <c r="M155" i="11407"/>
  <c r="O155" i="11407"/>
  <c r="A156" i="11407"/>
  <c r="D156" i="11407"/>
  <c r="E156" i="11407"/>
  <c r="F156" i="11407"/>
  <c r="G156" i="11407"/>
  <c r="H156" i="11407"/>
  <c r="K156" i="11407"/>
  <c r="L156" i="11407"/>
  <c r="M156" i="11407"/>
  <c r="O156" i="11407"/>
  <c r="A157" i="11407"/>
  <c r="D157" i="11407"/>
  <c r="E157" i="11407"/>
  <c r="F157" i="11407"/>
  <c r="G157" i="11407"/>
  <c r="H157" i="11407"/>
  <c r="K157" i="11407"/>
  <c r="L157" i="11407"/>
  <c r="M157" i="11407"/>
  <c r="O157" i="11407"/>
  <c r="A158" i="11407"/>
  <c r="D158" i="11407"/>
  <c r="E158" i="11407"/>
  <c r="F158" i="11407"/>
  <c r="G158" i="11407"/>
  <c r="H158" i="11407"/>
  <c r="K158" i="11407"/>
  <c r="L158" i="11407"/>
  <c r="M158" i="11407"/>
  <c r="O158" i="11407"/>
  <c r="A159" i="11407"/>
  <c r="D159" i="11407"/>
  <c r="E159" i="11407"/>
  <c r="F159" i="11407"/>
  <c r="G159" i="11407"/>
  <c r="H159" i="11407"/>
  <c r="K159" i="11407"/>
  <c r="L159" i="11407"/>
  <c r="M159" i="11407"/>
  <c r="O159" i="11407"/>
  <c r="A160" i="11407"/>
  <c r="D160" i="11407"/>
  <c r="E160" i="11407"/>
  <c r="F160" i="11407"/>
  <c r="G160" i="11407"/>
  <c r="H160" i="11407"/>
  <c r="K160" i="11407"/>
  <c r="L160" i="11407"/>
  <c r="M160" i="11407"/>
  <c r="O160" i="11407"/>
  <c r="A161" i="11407"/>
  <c r="D161" i="11407"/>
  <c r="E161" i="11407"/>
  <c r="F161" i="11407"/>
  <c r="G161" i="11407"/>
  <c r="H161" i="11407"/>
  <c r="K161" i="11407"/>
  <c r="L161" i="11407"/>
  <c r="M161" i="11407"/>
  <c r="O161" i="11407"/>
  <c r="A162" i="11407"/>
  <c r="D162" i="11407"/>
  <c r="E162" i="11407"/>
  <c r="F162" i="11407"/>
  <c r="G162" i="11407"/>
  <c r="H162" i="11407"/>
  <c r="K162" i="11407"/>
  <c r="L162" i="11407"/>
  <c r="M162" i="11407"/>
  <c r="O162" i="11407"/>
  <c r="A163" i="11407"/>
  <c r="D163" i="11407"/>
  <c r="E163" i="11407"/>
  <c r="F163" i="11407"/>
  <c r="G163" i="11407"/>
  <c r="H163" i="11407"/>
  <c r="K163" i="11407"/>
  <c r="L163" i="11407"/>
  <c r="M163" i="11407"/>
  <c r="O163" i="11407"/>
  <c r="A164" i="11407"/>
  <c r="D164" i="11407"/>
  <c r="E164" i="11407"/>
  <c r="F164" i="11407"/>
  <c r="G164" i="11407"/>
  <c r="H164" i="11407"/>
  <c r="K164" i="11407"/>
  <c r="L164" i="11407"/>
  <c r="M164" i="11407"/>
  <c r="O164" i="11407"/>
  <c r="A165" i="11407"/>
  <c r="D165" i="11407"/>
  <c r="E165" i="11407"/>
  <c r="F165" i="11407"/>
  <c r="G165" i="11407"/>
  <c r="H165" i="11407"/>
  <c r="K165" i="11407"/>
  <c r="L165" i="11407"/>
  <c r="M165" i="11407"/>
  <c r="O165" i="11407"/>
  <c r="A166" i="11407"/>
  <c r="D166" i="11407"/>
  <c r="E166" i="11407"/>
  <c r="F166" i="11407"/>
  <c r="G166" i="11407"/>
  <c r="H166" i="11407"/>
  <c r="K166" i="11407"/>
  <c r="L166" i="11407"/>
  <c r="M166" i="11407"/>
  <c r="O166" i="11407"/>
  <c r="A167" i="11407"/>
  <c r="D167" i="11407"/>
  <c r="E167" i="11407"/>
  <c r="F167" i="11407"/>
  <c r="G167" i="11407"/>
  <c r="H167" i="11407"/>
  <c r="K167" i="11407"/>
  <c r="L167" i="11407"/>
  <c r="M167" i="11407"/>
  <c r="O167" i="11407"/>
  <c r="A168" i="11407"/>
  <c r="D168" i="11407"/>
  <c r="E168" i="11407"/>
  <c r="F168" i="11407"/>
  <c r="G168" i="11407"/>
  <c r="H168" i="11407"/>
  <c r="K168" i="11407"/>
  <c r="L168" i="11407"/>
  <c r="M168" i="11407"/>
  <c r="O168" i="11407"/>
  <c r="A169" i="11407"/>
  <c r="D169" i="11407"/>
  <c r="E169" i="11407"/>
  <c r="F169" i="11407"/>
  <c r="G169" i="11407"/>
  <c r="H169" i="11407"/>
  <c r="K169" i="11407"/>
  <c r="L169" i="11407"/>
  <c r="M169" i="11407"/>
  <c r="O169" i="11407"/>
  <c r="A170" i="11407"/>
  <c r="D170" i="11407"/>
  <c r="E170" i="11407"/>
  <c r="F170" i="11407"/>
  <c r="G170" i="11407"/>
  <c r="H170" i="11407"/>
  <c r="K170" i="11407"/>
  <c r="L170" i="11407"/>
  <c r="M170" i="11407"/>
  <c r="O170" i="11407"/>
  <c r="A171" i="11407"/>
  <c r="D171" i="11407"/>
  <c r="E171" i="11407"/>
  <c r="F171" i="11407"/>
  <c r="G171" i="11407"/>
  <c r="H171" i="11407"/>
  <c r="K171" i="11407"/>
  <c r="L171" i="11407"/>
  <c r="M171" i="11407"/>
  <c r="O171" i="11407"/>
  <c r="A172" i="11407"/>
  <c r="D172" i="11407"/>
  <c r="E172" i="11407"/>
  <c r="F172" i="11407"/>
  <c r="G172" i="11407"/>
  <c r="H172" i="11407"/>
  <c r="K172" i="11407"/>
  <c r="L172" i="11407"/>
  <c r="M172" i="11407"/>
  <c r="O172" i="11407"/>
  <c r="A173" i="11407"/>
  <c r="D173" i="11407"/>
  <c r="E173" i="11407"/>
  <c r="F173" i="11407"/>
  <c r="G173" i="11407"/>
  <c r="H173" i="11407"/>
  <c r="K173" i="11407"/>
  <c r="L173" i="11407"/>
  <c r="M173" i="11407"/>
  <c r="O173" i="11407"/>
  <c r="A174" i="11407"/>
  <c r="D174" i="11407"/>
  <c r="E174" i="11407"/>
  <c r="F174" i="11407"/>
  <c r="G174" i="11407"/>
  <c r="H174" i="11407"/>
  <c r="K174" i="11407"/>
  <c r="L174" i="11407"/>
  <c r="M174" i="11407"/>
  <c r="O174" i="11407"/>
  <c r="A175" i="11407"/>
  <c r="D175" i="11407"/>
  <c r="E175" i="11407"/>
  <c r="F175" i="11407"/>
  <c r="G175" i="11407"/>
  <c r="H175" i="11407"/>
  <c r="K175" i="11407"/>
  <c r="L175" i="11407"/>
  <c r="M175" i="11407"/>
  <c r="O175" i="11407"/>
  <c r="A176" i="11407"/>
  <c r="D176" i="11407"/>
  <c r="E176" i="11407"/>
  <c r="F176" i="11407"/>
  <c r="G176" i="11407"/>
  <c r="H176" i="11407"/>
  <c r="K176" i="11407"/>
  <c r="L176" i="11407"/>
  <c r="M176" i="11407"/>
  <c r="O176" i="11407"/>
  <c r="A177" i="11407"/>
  <c r="D177" i="11407"/>
  <c r="E177" i="11407"/>
  <c r="F177" i="11407"/>
  <c r="G177" i="11407"/>
  <c r="H177" i="11407"/>
  <c r="K177" i="11407"/>
  <c r="L177" i="11407"/>
  <c r="M177" i="11407"/>
  <c r="O177" i="11407"/>
  <c r="A178" i="11407"/>
  <c r="D178" i="11407"/>
  <c r="E178" i="11407"/>
  <c r="F178" i="11407"/>
  <c r="G178" i="11407"/>
  <c r="H178" i="11407"/>
  <c r="K178" i="11407"/>
  <c r="L178" i="11407"/>
  <c r="M178" i="11407"/>
  <c r="O178" i="11407"/>
  <c r="A179" i="11407"/>
  <c r="D179" i="11407"/>
  <c r="E179" i="11407"/>
  <c r="F179" i="11407"/>
  <c r="G179" i="11407"/>
  <c r="H179" i="11407"/>
  <c r="K179" i="11407"/>
  <c r="L179" i="11407"/>
  <c r="M179" i="11407"/>
  <c r="O179" i="11407"/>
  <c r="A180" i="11407"/>
  <c r="D180" i="11407"/>
  <c r="E180" i="11407"/>
  <c r="F180" i="11407"/>
  <c r="G180" i="11407"/>
  <c r="H180" i="11407"/>
  <c r="K180" i="11407"/>
  <c r="L180" i="11407"/>
  <c r="M180" i="11407"/>
  <c r="O180" i="11407"/>
  <c r="A181" i="11407"/>
  <c r="D181" i="11407"/>
  <c r="E181" i="11407"/>
  <c r="F181" i="11407"/>
  <c r="G181" i="11407"/>
  <c r="H181" i="11407"/>
  <c r="K181" i="11407"/>
  <c r="L181" i="11407"/>
  <c r="M181" i="11407"/>
  <c r="O181" i="11407"/>
  <c r="A182" i="11407"/>
  <c r="D182" i="11407"/>
  <c r="E182" i="11407"/>
  <c r="F182" i="11407"/>
  <c r="G182" i="11407"/>
  <c r="H182" i="11407"/>
  <c r="K182" i="11407"/>
  <c r="L182" i="11407"/>
  <c r="M182" i="11407"/>
  <c r="O182" i="11407"/>
  <c r="A183" i="11407"/>
  <c r="D183" i="11407"/>
  <c r="E183" i="11407"/>
  <c r="F183" i="11407"/>
  <c r="G183" i="11407"/>
  <c r="H183" i="11407"/>
  <c r="K183" i="11407"/>
  <c r="L183" i="11407"/>
  <c r="M183" i="11407"/>
  <c r="O183" i="11407"/>
  <c r="A184" i="11407"/>
  <c r="D184" i="11407"/>
  <c r="E184" i="11407"/>
  <c r="F184" i="11407"/>
  <c r="G184" i="11407"/>
  <c r="H184" i="11407"/>
  <c r="K184" i="11407"/>
  <c r="L184" i="11407"/>
  <c r="M184" i="11407"/>
  <c r="O184" i="11407"/>
  <c r="A185" i="11407"/>
  <c r="D185" i="11407"/>
  <c r="E185" i="11407"/>
  <c r="F185" i="11407"/>
  <c r="G185" i="11407"/>
  <c r="H185" i="11407"/>
  <c r="K185" i="11407"/>
  <c r="L185" i="11407"/>
  <c r="M185" i="11407"/>
  <c r="O185" i="11407"/>
  <c r="A186" i="11407"/>
  <c r="D186" i="11407"/>
  <c r="E186" i="11407"/>
  <c r="F186" i="11407"/>
  <c r="G186" i="11407"/>
  <c r="H186" i="11407"/>
  <c r="K186" i="11407"/>
  <c r="L186" i="11407"/>
  <c r="M186" i="11407"/>
  <c r="O186" i="11407"/>
  <c r="A187" i="11407"/>
  <c r="D187" i="11407"/>
  <c r="E187" i="11407"/>
  <c r="F187" i="11407"/>
  <c r="G187" i="11407"/>
  <c r="H187" i="11407"/>
  <c r="K187" i="11407"/>
  <c r="L187" i="11407"/>
  <c r="M187" i="11407"/>
  <c r="O187" i="11407"/>
  <c r="A188" i="11407"/>
  <c r="D188" i="11407"/>
  <c r="E188" i="11407"/>
  <c r="F188" i="11407"/>
  <c r="G188" i="11407"/>
  <c r="H188" i="11407"/>
  <c r="K188" i="11407"/>
  <c r="L188" i="11407"/>
  <c r="M188" i="11407"/>
  <c r="O188" i="11407"/>
  <c r="A189" i="11407"/>
  <c r="D189" i="11407"/>
  <c r="E189" i="11407"/>
  <c r="F189" i="11407"/>
  <c r="G189" i="11407"/>
  <c r="H189" i="11407"/>
  <c r="K189" i="11407"/>
  <c r="L189" i="11407"/>
  <c r="M189" i="11407"/>
  <c r="O189" i="11407"/>
  <c r="A190" i="11407"/>
  <c r="D190" i="11407"/>
  <c r="E190" i="11407"/>
  <c r="F190" i="11407"/>
  <c r="G190" i="11407"/>
  <c r="H190" i="11407"/>
  <c r="K190" i="11407"/>
  <c r="L190" i="11407"/>
  <c r="M190" i="11407"/>
  <c r="O190" i="11407"/>
  <c r="A191" i="11407"/>
  <c r="D191" i="11407"/>
  <c r="E191" i="11407"/>
  <c r="F191" i="11407"/>
  <c r="G191" i="11407"/>
  <c r="H191" i="11407"/>
  <c r="K191" i="11407"/>
  <c r="L191" i="11407"/>
  <c r="M191" i="11407"/>
  <c r="O191" i="11407"/>
  <c r="A192" i="11407"/>
  <c r="D192" i="11407"/>
  <c r="E192" i="11407"/>
  <c r="F192" i="11407"/>
  <c r="G192" i="11407"/>
  <c r="H192" i="11407"/>
  <c r="K192" i="11407"/>
  <c r="L192" i="11407"/>
  <c r="M192" i="11407"/>
  <c r="O192" i="11407"/>
  <c r="A193" i="11407"/>
  <c r="D193" i="11407"/>
  <c r="E193" i="11407"/>
  <c r="F193" i="11407"/>
  <c r="G193" i="11407"/>
  <c r="H193" i="11407"/>
  <c r="K193" i="11407"/>
  <c r="L193" i="11407"/>
  <c r="M193" i="11407"/>
  <c r="O193" i="11407"/>
  <c r="A194" i="11407"/>
  <c r="D194" i="11407"/>
  <c r="E194" i="11407"/>
  <c r="F194" i="11407"/>
  <c r="G194" i="11407"/>
  <c r="H194" i="11407"/>
  <c r="K194" i="11407"/>
  <c r="L194" i="11407"/>
  <c r="M194" i="11407"/>
  <c r="O194" i="11407"/>
  <c r="A195" i="11407"/>
  <c r="D195" i="11407"/>
  <c r="E195" i="11407"/>
  <c r="F195" i="11407"/>
  <c r="G195" i="11407"/>
  <c r="H195" i="11407"/>
  <c r="K195" i="11407"/>
  <c r="L195" i="11407"/>
  <c r="M195" i="11407"/>
  <c r="O195" i="11407"/>
  <c r="A196" i="11407"/>
  <c r="D196" i="11407"/>
  <c r="E196" i="11407"/>
  <c r="F196" i="11407"/>
  <c r="G196" i="11407"/>
  <c r="H196" i="11407"/>
  <c r="K196" i="11407"/>
  <c r="L196" i="11407"/>
  <c r="M196" i="11407"/>
  <c r="O196" i="11407"/>
  <c r="A197" i="11407"/>
  <c r="D197" i="11407"/>
  <c r="E197" i="11407"/>
  <c r="F197" i="11407"/>
  <c r="G197" i="11407"/>
  <c r="H197" i="11407"/>
  <c r="K197" i="11407"/>
  <c r="L197" i="11407"/>
  <c r="M197" i="11407"/>
  <c r="O197" i="11407"/>
  <c r="A198" i="11407"/>
  <c r="D198" i="11407"/>
  <c r="E198" i="11407"/>
  <c r="F198" i="11407"/>
  <c r="G198" i="11407"/>
  <c r="H198" i="11407"/>
  <c r="K198" i="11407"/>
  <c r="L198" i="11407"/>
  <c r="M198" i="11407"/>
  <c r="O198" i="11407"/>
  <c r="A199" i="11407"/>
  <c r="D199" i="11407"/>
  <c r="E199" i="11407"/>
  <c r="F199" i="11407"/>
  <c r="G199" i="11407"/>
  <c r="H199" i="11407"/>
  <c r="K199" i="11407"/>
  <c r="L199" i="11407"/>
  <c r="M199" i="11407"/>
  <c r="O199" i="11407"/>
  <c r="A200" i="11407"/>
  <c r="D200" i="11407"/>
  <c r="E200" i="11407"/>
  <c r="F200" i="11407"/>
  <c r="G200" i="11407"/>
  <c r="H200" i="11407"/>
  <c r="K200" i="11407"/>
  <c r="L200" i="11407"/>
  <c r="M200" i="11407"/>
  <c r="O200" i="11407"/>
  <c r="A201" i="11407"/>
  <c r="D201" i="11407"/>
  <c r="E201" i="11407"/>
  <c r="F201" i="11407"/>
  <c r="G201" i="11407"/>
  <c r="H201" i="11407"/>
  <c r="K201" i="11407"/>
  <c r="L201" i="11407"/>
  <c r="M201" i="11407"/>
  <c r="O201" i="11407"/>
  <c r="A202" i="11407"/>
  <c r="D202" i="11407"/>
  <c r="E202" i="11407"/>
  <c r="F202" i="11407"/>
  <c r="G202" i="11407"/>
  <c r="H202" i="11407"/>
  <c r="K202" i="11407"/>
  <c r="L202" i="11407"/>
  <c r="M202" i="11407"/>
  <c r="O202" i="11407"/>
  <c r="A203" i="11407"/>
  <c r="D203" i="11407"/>
  <c r="E203" i="11407"/>
  <c r="F203" i="11407"/>
  <c r="G203" i="11407"/>
  <c r="H203" i="11407"/>
  <c r="K203" i="11407"/>
  <c r="L203" i="11407"/>
  <c r="M203" i="11407"/>
  <c r="O203" i="11407"/>
  <c r="A204" i="11407"/>
  <c r="D204" i="11407"/>
  <c r="E204" i="11407"/>
  <c r="F204" i="11407"/>
  <c r="G204" i="11407"/>
  <c r="H204" i="11407"/>
  <c r="K204" i="11407"/>
  <c r="L204" i="11407"/>
  <c r="M204" i="11407"/>
  <c r="O204" i="11407"/>
  <c r="A205" i="11407"/>
  <c r="D205" i="11407"/>
  <c r="E205" i="11407"/>
  <c r="F205" i="11407"/>
  <c r="G205" i="11407"/>
  <c r="H205" i="11407"/>
  <c r="K205" i="11407"/>
  <c r="L205" i="11407"/>
  <c r="M205" i="11407"/>
  <c r="O205" i="11407"/>
  <c r="A206" i="11407"/>
  <c r="D206" i="11407"/>
  <c r="E206" i="11407"/>
  <c r="F206" i="11407"/>
  <c r="G206" i="11407"/>
  <c r="H206" i="11407"/>
  <c r="K206" i="11407"/>
  <c r="L206" i="11407"/>
  <c r="M206" i="11407"/>
  <c r="O206" i="11407"/>
  <c r="A207" i="11407"/>
  <c r="D207" i="11407"/>
  <c r="E207" i="11407"/>
  <c r="F207" i="11407"/>
  <c r="G207" i="11407"/>
  <c r="H207" i="11407"/>
  <c r="K207" i="11407"/>
  <c r="L207" i="11407"/>
  <c r="M207" i="11407"/>
  <c r="O207" i="11407"/>
  <c r="A208" i="11407"/>
  <c r="D208" i="11407"/>
  <c r="E208" i="11407"/>
  <c r="F208" i="11407"/>
  <c r="G208" i="11407"/>
  <c r="H208" i="11407"/>
  <c r="K208" i="11407"/>
  <c r="L208" i="11407"/>
  <c r="M208" i="11407"/>
  <c r="O208" i="11407"/>
  <c r="A209" i="11407"/>
  <c r="D209" i="11407"/>
  <c r="E209" i="11407"/>
  <c r="F209" i="11407"/>
  <c r="G209" i="11407"/>
  <c r="H209" i="11407"/>
  <c r="K209" i="11407"/>
  <c r="L209" i="11407"/>
  <c r="M209" i="11407"/>
  <c r="O209" i="11407"/>
  <c r="A210" i="11407"/>
  <c r="D210" i="11407"/>
  <c r="E210" i="11407"/>
  <c r="F210" i="11407"/>
  <c r="G210" i="11407"/>
  <c r="H210" i="11407"/>
  <c r="K210" i="11407"/>
  <c r="L210" i="11407"/>
  <c r="M210" i="11407"/>
  <c r="O210" i="11407"/>
  <c r="A211" i="11407"/>
  <c r="D211" i="11407"/>
  <c r="E211" i="11407"/>
  <c r="F211" i="11407"/>
  <c r="G211" i="11407"/>
  <c r="H211" i="11407"/>
  <c r="K211" i="11407"/>
  <c r="L211" i="11407"/>
  <c r="M211" i="11407"/>
  <c r="O211" i="11407"/>
  <c r="A212" i="11407"/>
  <c r="D212" i="11407"/>
  <c r="E212" i="11407"/>
  <c r="F212" i="11407"/>
  <c r="G212" i="11407"/>
  <c r="H212" i="11407"/>
  <c r="K212" i="11407"/>
  <c r="L212" i="11407"/>
  <c r="M212" i="11407"/>
  <c r="O212" i="11407"/>
  <c r="A213" i="11407"/>
  <c r="D213" i="11407"/>
  <c r="E213" i="11407"/>
  <c r="F213" i="11407"/>
  <c r="G213" i="11407"/>
  <c r="H213" i="11407"/>
  <c r="K213" i="11407"/>
  <c r="L213" i="11407"/>
  <c r="M213" i="11407"/>
  <c r="O213" i="11407"/>
  <c r="A214" i="11407"/>
  <c r="D214" i="11407"/>
  <c r="E214" i="11407"/>
  <c r="F214" i="11407"/>
  <c r="G214" i="11407"/>
  <c r="H214" i="11407"/>
  <c r="K214" i="11407"/>
  <c r="L214" i="11407"/>
  <c r="M214" i="11407"/>
  <c r="O214" i="11407"/>
  <c r="A215" i="11407"/>
  <c r="D215" i="11407"/>
  <c r="E215" i="11407"/>
  <c r="F215" i="11407"/>
  <c r="G215" i="11407"/>
  <c r="H215" i="11407"/>
  <c r="K215" i="11407"/>
  <c r="L215" i="11407"/>
  <c r="M215" i="11407"/>
  <c r="O215" i="11407"/>
  <c r="A216" i="11407"/>
  <c r="D216" i="11407"/>
  <c r="E216" i="11407"/>
  <c r="F216" i="11407"/>
  <c r="G216" i="11407"/>
  <c r="H216" i="11407"/>
  <c r="K216" i="11407"/>
  <c r="L216" i="11407"/>
  <c r="M216" i="11407"/>
  <c r="O216" i="11407"/>
  <c r="A217" i="11407"/>
  <c r="D217" i="11407"/>
  <c r="E217" i="11407"/>
  <c r="F217" i="11407"/>
  <c r="G217" i="11407"/>
  <c r="H217" i="11407"/>
  <c r="K217" i="11407"/>
  <c r="L217" i="11407"/>
  <c r="M217" i="11407"/>
  <c r="O217" i="11407"/>
  <c r="A218" i="11407"/>
  <c r="D218" i="11407"/>
  <c r="E218" i="11407"/>
  <c r="F218" i="11407"/>
  <c r="G218" i="11407"/>
  <c r="H218" i="11407"/>
  <c r="K218" i="11407"/>
  <c r="L218" i="11407"/>
  <c r="M218" i="11407"/>
  <c r="O218" i="11407"/>
  <c r="A219" i="11407"/>
  <c r="D219" i="11407"/>
  <c r="E219" i="11407"/>
  <c r="F219" i="11407"/>
  <c r="G219" i="11407"/>
  <c r="H219" i="11407"/>
  <c r="K219" i="11407"/>
  <c r="L219" i="11407"/>
  <c r="M219" i="11407"/>
  <c r="O219" i="11407"/>
  <c r="A220" i="11407"/>
  <c r="D220" i="11407"/>
  <c r="E220" i="11407"/>
  <c r="F220" i="11407"/>
  <c r="G220" i="11407"/>
  <c r="H220" i="11407"/>
  <c r="K220" i="11407"/>
  <c r="L220" i="11407"/>
  <c r="M220" i="11407"/>
  <c r="O220" i="11407"/>
  <c r="A221" i="11407"/>
  <c r="D221" i="11407"/>
  <c r="E221" i="11407"/>
  <c r="F221" i="11407"/>
  <c r="G221" i="11407"/>
  <c r="H221" i="11407"/>
  <c r="K221" i="11407"/>
  <c r="L221" i="11407"/>
  <c r="M221" i="11407"/>
  <c r="O221" i="11407"/>
  <c r="A222" i="11407"/>
  <c r="D222" i="11407"/>
  <c r="E222" i="11407"/>
  <c r="F222" i="11407"/>
  <c r="G222" i="11407"/>
  <c r="H222" i="11407"/>
  <c r="K222" i="11407"/>
  <c r="L222" i="11407"/>
  <c r="M222" i="11407"/>
  <c r="O222" i="11407"/>
  <c r="A223" i="11407"/>
  <c r="D223" i="11407"/>
  <c r="E223" i="11407"/>
  <c r="F223" i="11407"/>
  <c r="G223" i="11407"/>
  <c r="H223" i="11407"/>
  <c r="K223" i="11407"/>
  <c r="L223" i="11407"/>
  <c r="M223" i="11407"/>
  <c r="O223" i="11407"/>
  <c r="A224" i="11407"/>
  <c r="D224" i="11407"/>
  <c r="E224" i="11407"/>
  <c r="F224" i="11407"/>
  <c r="G224" i="11407"/>
  <c r="H224" i="11407"/>
  <c r="K224" i="11407"/>
  <c r="L224" i="11407"/>
  <c r="M224" i="11407"/>
  <c r="O224" i="11407"/>
  <c r="A225" i="11407"/>
  <c r="D225" i="11407"/>
  <c r="E225" i="11407"/>
  <c r="F225" i="11407"/>
  <c r="G225" i="11407"/>
  <c r="H225" i="11407"/>
  <c r="K225" i="11407"/>
  <c r="L225" i="11407"/>
  <c r="M225" i="11407"/>
  <c r="O225" i="11407"/>
  <c r="A226" i="11407"/>
  <c r="D226" i="11407"/>
  <c r="E226" i="11407"/>
  <c r="F226" i="11407"/>
  <c r="G226" i="11407"/>
  <c r="H226" i="11407"/>
  <c r="K226" i="11407"/>
  <c r="L226" i="11407"/>
  <c r="M226" i="11407"/>
  <c r="O226" i="11407"/>
  <c r="A227" i="11407"/>
  <c r="D227" i="11407"/>
  <c r="E227" i="11407"/>
  <c r="F227" i="11407"/>
  <c r="G227" i="11407"/>
  <c r="H227" i="11407"/>
  <c r="K227" i="11407"/>
  <c r="L227" i="11407"/>
  <c r="M227" i="11407"/>
  <c r="O227" i="11407"/>
  <c r="A228" i="11407"/>
  <c r="D228" i="11407"/>
  <c r="E228" i="11407"/>
  <c r="F228" i="11407"/>
  <c r="G228" i="11407"/>
  <c r="H228" i="11407"/>
  <c r="K228" i="11407"/>
  <c r="L228" i="11407"/>
  <c r="M228" i="11407"/>
  <c r="O228" i="11407"/>
  <c r="A229" i="11407"/>
  <c r="D229" i="11407"/>
  <c r="E229" i="11407"/>
  <c r="F229" i="11407"/>
  <c r="G229" i="11407"/>
  <c r="H229" i="11407"/>
  <c r="K229" i="11407"/>
  <c r="L229" i="11407"/>
  <c r="M229" i="11407"/>
  <c r="O229" i="11407"/>
  <c r="A230" i="11407"/>
  <c r="D230" i="11407"/>
  <c r="E230" i="11407"/>
  <c r="F230" i="11407"/>
  <c r="G230" i="11407"/>
  <c r="H230" i="11407"/>
  <c r="K230" i="11407"/>
  <c r="L230" i="11407"/>
  <c r="M230" i="11407"/>
  <c r="O230" i="11407"/>
  <c r="A231" i="11407"/>
  <c r="D231" i="11407"/>
  <c r="E231" i="11407"/>
  <c r="F231" i="11407"/>
  <c r="G231" i="11407"/>
  <c r="H231" i="11407"/>
  <c r="K231" i="11407"/>
  <c r="L231" i="11407"/>
  <c r="M231" i="11407"/>
  <c r="O231" i="11407"/>
  <c r="A232" i="11407"/>
  <c r="D232" i="11407"/>
  <c r="E232" i="11407"/>
  <c r="F232" i="11407"/>
  <c r="G232" i="11407"/>
  <c r="H232" i="11407"/>
  <c r="K232" i="11407"/>
  <c r="L232" i="11407"/>
  <c r="M232" i="11407"/>
  <c r="O232" i="11407"/>
  <c r="A233" i="11407"/>
  <c r="D233" i="11407"/>
  <c r="E233" i="11407"/>
  <c r="F233" i="11407"/>
  <c r="G233" i="11407"/>
  <c r="H233" i="11407"/>
  <c r="K233" i="11407"/>
  <c r="L233" i="11407"/>
  <c r="M233" i="11407"/>
  <c r="O233" i="11407"/>
  <c r="A234" i="11407"/>
  <c r="D234" i="11407"/>
  <c r="E234" i="11407"/>
  <c r="F234" i="11407"/>
  <c r="G234" i="11407"/>
  <c r="H234" i="11407"/>
  <c r="K234" i="11407"/>
  <c r="L234" i="11407"/>
  <c r="M234" i="11407"/>
  <c r="O234" i="11407"/>
  <c r="A235" i="11407"/>
  <c r="D235" i="11407"/>
  <c r="E235" i="11407"/>
  <c r="F235" i="11407"/>
  <c r="G235" i="11407"/>
  <c r="H235" i="11407"/>
  <c r="K235" i="11407"/>
  <c r="L235" i="11407"/>
  <c r="M235" i="11407"/>
  <c r="O235" i="11407"/>
  <c r="A236" i="11407"/>
  <c r="D236" i="11407"/>
  <c r="E236" i="11407"/>
  <c r="F236" i="11407"/>
  <c r="G236" i="11407"/>
  <c r="H236" i="11407"/>
  <c r="K236" i="11407"/>
  <c r="L236" i="11407"/>
  <c r="M236" i="11407"/>
  <c r="O236" i="11407"/>
  <c r="A237" i="11407"/>
  <c r="D237" i="11407"/>
  <c r="E237" i="11407"/>
  <c r="F237" i="11407"/>
  <c r="G237" i="11407"/>
  <c r="H237" i="11407"/>
  <c r="K237" i="11407"/>
  <c r="L237" i="11407"/>
  <c r="M237" i="11407"/>
  <c r="O237" i="11407"/>
  <c r="A238" i="11407"/>
  <c r="D238" i="11407"/>
  <c r="E238" i="11407"/>
  <c r="F238" i="11407"/>
  <c r="G238" i="11407"/>
  <c r="H238" i="11407"/>
  <c r="K238" i="11407"/>
  <c r="L238" i="11407"/>
  <c r="M238" i="11407"/>
  <c r="O238" i="11407"/>
  <c r="A239" i="11407"/>
  <c r="D239" i="11407"/>
  <c r="E239" i="11407"/>
  <c r="F239" i="11407"/>
  <c r="G239" i="11407"/>
  <c r="H239" i="11407"/>
  <c r="K239" i="11407"/>
  <c r="L239" i="11407"/>
  <c r="M239" i="11407"/>
  <c r="O239" i="11407"/>
  <c r="A240" i="11407"/>
  <c r="D240" i="11407"/>
  <c r="E240" i="11407"/>
  <c r="F240" i="11407"/>
  <c r="G240" i="11407"/>
  <c r="H240" i="11407"/>
  <c r="K240" i="11407"/>
  <c r="L240" i="11407"/>
  <c r="M240" i="11407"/>
  <c r="O240" i="11407"/>
  <c r="A241" i="11407"/>
  <c r="D241" i="11407"/>
  <c r="E241" i="11407"/>
  <c r="F241" i="11407"/>
  <c r="G241" i="11407"/>
  <c r="H241" i="11407"/>
  <c r="K241" i="11407"/>
  <c r="L241" i="11407"/>
  <c r="M241" i="11407"/>
  <c r="O241" i="11407"/>
  <c r="A242" i="11407"/>
  <c r="D242" i="11407"/>
  <c r="E242" i="11407"/>
  <c r="F242" i="11407"/>
  <c r="G242" i="11407"/>
  <c r="H242" i="11407"/>
  <c r="K242" i="11407"/>
  <c r="L242" i="11407"/>
  <c r="M242" i="11407"/>
  <c r="O242" i="11407"/>
  <c r="A243" i="11407"/>
  <c r="D243" i="11407"/>
  <c r="E243" i="11407"/>
  <c r="F243" i="11407"/>
  <c r="G243" i="11407"/>
  <c r="H243" i="11407"/>
  <c r="K243" i="11407"/>
  <c r="L243" i="11407"/>
  <c r="M243" i="11407"/>
  <c r="O243" i="11407"/>
  <c r="A244" i="11407"/>
  <c r="D244" i="11407"/>
  <c r="E244" i="11407"/>
  <c r="F244" i="11407"/>
  <c r="G244" i="11407"/>
  <c r="H244" i="11407"/>
  <c r="K244" i="11407"/>
  <c r="L244" i="11407"/>
  <c r="M244" i="11407"/>
  <c r="O244" i="11407"/>
  <c r="A245" i="11407"/>
  <c r="D245" i="11407"/>
  <c r="E245" i="11407"/>
  <c r="F245" i="11407"/>
  <c r="G245" i="11407"/>
  <c r="H245" i="11407"/>
  <c r="K245" i="11407"/>
  <c r="L245" i="11407"/>
  <c r="M245" i="11407"/>
  <c r="O245" i="11407"/>
  <c r="A246" i="11407"/>
  <c r="D246" i="11407"/>
  <c r="E246" i="11407"/>
  <c r="F246" i="11407"/>
  <c r="G246" i="11407"/>
  <c r="H246" i="11407"/>
  <c r="K246" i="11407"/>
  <c r="L246" i="11407"/>
  <c r="M246" i="11407"/>
  <c r="O246" i="11407"/>
  <c r="A247" i="11407"/>
  <c r="D247" i="11407"/>
  <c r="E247" i="11407"/>
  <c r="F247" i="11407"/>
  <c r="G247" i="11407"/>
  <c r="H247" i="11407"/>
  <c r="K247" i="11407"/>
  <c r="L247" i="11407"/>
  <c r="M247" i="11407"/>
  <c r="O247" i="11407"/>
  <c r="A248" i="11407"/>
  <c r="D248" i="11407"/>
  <c r="E248" i="11407"/>
  <c r="F248" i="11407"/>
  <c r="G248" i="11407"/>
  <c r="H248" i="11407"/>
  <c r="K248" i="11407"/>
  <c r="L248" i="11407"/>
  <c r="M248" i="11407"/>
  <c r="O248" i="11407"/>
  <c r="A249" i="11407"/>
  <c r="D249" i="11407"/>
  <c r="E249" i="11407"/>
  <c r="F249" i="11407"/>
  <c r="G249" i="11407"/>
  <c r="H249" i="11407"/>
  <c r="K249" i="11407"/>
  <c r="L249" i="11407"/>
  <c r="M249" i="11407"/>
  <c r="O249" i="11407"/>
  <c r="A250" i="11407"/>
  <c r="D250" i="11407"/>
  <c r="E250" i="11407"/>
  <c r="F250" i="11407"/>
  <c r="G250" i="11407"/>
  <c r="H250" i="11407"/>
  <c r="K250" i="11407"/>
  <c r="L250" i="11407"/>
  <c r="M250" i="11407"/>
  <c r="O250" i="11407"/>
  <c r="A251" i="11407"/>
  <c r="D251" i="11407"/>
  <c r="E251" i="11407"/>
  <c r="F251" i="11407"/>
  <c r="G251" i="11407"/>
  <c r="H251" i="11407"/>
  <c r="K251" i="11407"/>
  <c r="L251" i="11407"/>
  <c r="M251" i="11407"/>
  <c r="O251" i="11407"/>
  <c r="A252" i="11407"/>
  <c r="D252" i="11407"/>
  <c r="E252" i="11407"/>
  <c r="F252" i="11407"/>
  <c r="G252" i="11407"/>
  <c r="H252" i="11407"/>
  <c r="K252" i="11407"/>
  <c r="L252" i="11407"/>
  <c r="M252" i="11407"/>
  <c r="O252" i="11407"/>
  <c r="A253" i="11407"/>
  <c r="D253" i="11407"/>
  <c r="E253" i="11407"/>
  <c r="F253" i="11407"/>
  <c r="G253" i="11407"/>
  <c r="H253" i="11407"/>
  <c r="K253" i="11407"/>
  <c r="L253" i="11407"/>
  <c r="M253" i="11407"/>
  <c r="O253" i="11407"/>
  <c r="A254" i="11407"/>
  <c r="D254" i="11407"/>
  <c r="E254" i="11407"/>
  <c r="F254" i="11407"/>
  <c r="G254" i="11407"/>
  <c r="H254" i="11407"/>
  <c r="K254" i="11407"/>
  <c r="L254" i="11407"/>
  <c r="M254" i="11407"/>
  <c r="O254" i="11407"/>
  <c r="A255" i="11407"/>
  <c r="D255" i="11407"/>
  <c r="E255" i="11407"/>
  <c r="F255" i="11407"/>
  <c r="G255" i="11407"/>
  <c r="H255" i="11407"/>
  <c r="K255" i="11407"/>
  <c r="L255" i="11407"/>
  <c r="M255" i="11407"/>
  <c r="O255" i="11407"/>
  <c r="A256" i="11407"/>
  <c r="D256" i="11407"/>
  <c r="E256" i="11407"/>
  <c r="F256" i="11407"/>
  <c r="G256" i="11407"/>
  <c r="H256" i="11407"/>
  <c r="K256" i="11407"/>
  <c r="L256" i="11407"/>
  <c r="M256" i="11407"/>
  <c r="O256" i="11407"/>
  <c r="A257" i="11407"/>
  <c r="D257" i="11407"/>
  <c r="E257" i="11407"/>
  <c r="F257" i="11407"/>
  <c r="G257" i="11407"/>
  <c r="H257" i="11407"/>
  <c r="K257" i="11407"/>
  <c r="L257" i="11407"/>
  <c r="M257" i="11407"/>
  <c r="O257" i="11407"/>
  <c r="C258" i="11407"/>
  <c r="C1" i="11405"/>
  <c r="D1" i="11405"/>
  <c r="I1" i="11405"/>
  <c r="K1" i="11405"/>
  <c r="AE1" i="11405"/>
  <c r="AF1" i="11405"/>
  <c r="Q3" i="11405"/>
  <c r="B4" i="11405"/>
  <c r="C4" i="11405"/>
  <c r="D4" i="11405"/>
  <c r="F4" i="11405"/>
  <c r="G4" i="11405"/>
  <c r="I4" i="11405"/>
  <c r="K4" i="11405"/>
  <c r="L4" i="11405"/>
  <c r="P4" i="11405"/>
  <c r="Q4" i="11405"/>
  <c r="S4" i="11405"/>
  <c r="T4" i="11405"/>
  <c r="U4" i="11405"/>
  <c r="X4" i="11405"/>
  <c r="AA4" i="11405"/>
  <c r="AC4" i="11405"/>
  <c r="AE4" i="11405"/>
  <c r="AF4" i="11405"/>
  <c r="AG4" i="11405"/>
  <c r="AJ4" i="11405"/>
  <c r="AK4" i="11405"/>
  <c r="B5" i="11405"/>
  <c r="C5" i="11405"/>
  <c r="D5" i="11405"/>
  <c r="F5" i="11405"/>
  <c r="G5" i="11405"/>
  <c r="I5" i="11405"/>
  <c r="K5" i="11405"/>
  <c r="L5" i="11405"/>
  <c r="O5" i="11405"/>
  <c r="P5" i="11405"/>
  <c r="Q5" i="11405"/>
  <c r="S5" i="11405"/>
  <c r="T5" i="11405"/>
  <c r="U5" i="11405"/>
  <c r="X5" i="11405"/>
  <c r="AA5" i="11405"/>
  <c r="AC5" i="11405"/>
  <c r="AE5" i="11405"/>
  <c r="AF5" i="11405"/>
  <c r="AG5" i="11405"/>
  <c r="AJ5" i="11405"/>
  <c r="AK5" i="11405"/>
  <c r="B6" i="11405"/>
  <c r="C6" i="11405"/>
  <c r="D6" i="11405"/>
  <c r="F6" i="11405"/>
  <c r="G6" i="11405"/>
  <c r="I6" i="11405"/>
  <c r="K6" i="11405"/>
  <c r="L6" i="11405"/>
  <c r="O6" i="11405"/>
  <c r="P6" i="11405"/>
  <c r="Q6" i="11405"/>
  <c r="S6" i="11405"/>
  <c r="T6" i="11405"/>
  <c r="U6" i="11405"/>
  <c r="X6" i="11405"/>
  <c r="AA6" i="11405"/>
  <c r="AC6" i="11405"/>
  <c r="AE6" i="11405"/>
  <c r="AF6" i="11405"/>
  <c r="AG6" i="11405"/>
  <c r="AJ6" i="11405"/>
  <c r="AK6" i="11405"/>
  <c r="B7" i="11405"/>
  <c r="C7" i="11405"/>
  <c r="D7" i="11405"/>
  <c r="F7" i="11405"/>
  <c r="G7" i="11405"/>
  <c r="I7" i="11405"/>
  <c r="K7" i="11405"/>
  <c r="L7" i="11405"/>
  <c r="O7" i="11405"/>
  <c r="P7" i="11405"/>
  <c r="Q7" i="11405"/>
  <c r="S7" i="11405"/>
  <c r="T7" i="11405"/>
  <c r="U7" i="11405"/>
  <c r="X7" i="11405"/>
  <c r="AA7" i="11405"/>
  <c r="AC7" i="11405"/>
  <c r="AE7" i="11405"/>
  <c r="AF7" i="11405"/>
  <c r="AG7" i="11405"/>
  <c r="AJ7" i="11405"/>
  <c r="AK7" i="11405"/>
  <c r="B8" i="11405"/>
  <c r="C8" i="11405"/>
  <c r="D8" i="11405"/>
  <c r="F8" i="11405"/>
  <c r="G8" i="11405"/>
  <c r="I8" i="11405"/>
  <c r="K8" i="11405"/>
  <c r="L8" i="11405"/>
  <c r="O8" i="11405"/>
  <c r="P8" i="11405"/>
  <c r="Q8" i="11405"/>
  <c r="S8" i="11405"/>
  <c r="T8" i="11405"/>
  <c r="U8" i="11405"/>
  <c r="AA8" i="11405"/>
  <c r="AC8" i="11405"/>
  <c r="AE8" i="11405"/>
  <c r="AF8" i="11405"/>
  <c r="AG8" i="11405"/>
  <c r="AJ8" i="11405"/>
  <c r="AK8" i="11405"/>
  <c r="B9" i="11405"/>
  <c r="C9" i="11405"/>
  <c r="D9" i="11405"/>
  <c r="F9" i="11405"/>
  <c r="G9" i="11405"/>
  <c r="I9" i="11405"/>
  <c r="K9" i="11405"/>
  <c r="L9" i="11405"/>
  <c r="O9" i="11405"/>
  <c r="P9" i="11405"/>
  <c r="Q9" i="11405"/>
  <c r="S9" i="11405"/>
  <c r="T9" i="11405"/>
  <c r="U9" i="11405"/>
  <c r="AA9" i="11405"/>
  <c r="AC9" i="11405"/>
  <c r="AE9" i="11405"/>
  <c r="AF9" i="11405"/>
  <c r="AG9" i="11405"/>
  <c r="AJ9" i="11405"/>
  <c r="AK9" i="11405"/>
  <c r="B10" i="11405"/>
  <c r="C10" i="11405"/>
  <c r="D10" i="11405"/>
  <c r="F10" i="11405"/>
  <c r="G10" i="11405"/>
  <c r="I10" i="11405"/>
  <c r="K10" i="11405"/>
  <c r="L10" i="11405"/>
  <c r="M10" i="11405"/>
  <c r="N10" i="11405"/>
  <c r="O10" i="11405"/>
  <c r="P10" i="11405"/>
  <c r="Q10" i="11405"/>
  <c r="S10" i="11405"/>
  <c r="T10" i="11405"/>
  <c r="U10" i="11405"/>
  <c r="AA10" i="11405"/>
  <c r="AC10" i="11405"/>
  <c r="AE10" i="11405"/>
  <c r="AF10" i="11405"/>
  <c r="AG10" i="11405"/>
  <c r="AH10" i="11405"/>
  <c r="AJ10" i="11405"/>
  <c r="AK10" i="11405"/>
  <c r="AL10" i="11405"/>
  <c r="B11" i="11405"/>
  <c r="C11" i="11405"/>
  <c r="D11" i="11405"/>
  <c r="F11" i="11405"/>
  <c r="G11" i="11405"/>
  <c r="H11" i="11405"/>
  <c r="I11" i="11405"/>
  <c r="K11" i="11405"/>
  <c r="L11" i="11405"/>
  <c r="O11" i="11405"/>
  <c r="P11" i="11405"/>
  <c r="Q11" i="11405"/>
  <c r="S11" i="11405"/>
  <c r="T11" i="11405"/>
  <c r="U11" i="11405"/>
  <c r="AA11" i="11405"/>
  <c r="AC11" i="11405"/>
  <c r="AD11" i="11405"/>
  <c r="AE11" i="11405"/>
  <c r="AF11" i="11405"/>
  <c r="AG11" i="11405"/>
  <c r="AJ11" i="11405"/>
  <c r="AK11" i="11405"/>
  <c r="B12" i="11405"/>
  <c r="C12" i="11405"/>
  <c r="D12" i="11405"/>
  <c r="F12" i="11405"/>
  <c r="G12" i="11405"/>
  <c r="H12" i="11405"/>
  <c r="I12" i="11405"/>
  <c r="K12" i="11405"/>
  <c r="L12" i="11405"/>
  <c r="O12" i="11405"/>
  <c r="P12" i="11405"/>
  <c r="Q12" i="11405"/>
  <c r="S12" i="11405"/>
  <c r="T12" i="11405"/>
  <c r="U12" i="11405"/>
  <c r="AA12" i="11405"/>
  <c r="AC12" i="11405"/>
  <c r="AD12" i="11405"/>
  <c r="AE12" i="11405"/>
  <c r="AF12" i="11405"/>
  <c r="AG12" i="11405"/>
  <c r="AJ12" i="11405"/>
  <c r="AK12" i="11405"/>
  <c r="B13" i="11405"/>
  <c r="C13" i="11405"/>
  <c r="D13" i="11405"/>
  <c r="F13" i="11405"/>
  <c r="G13" i="11405"/>
  <c r="H13" i="11405"/>
  <c r="I13" i="11405"/>
  <c r="K13" i="11405"/>
  <c r="L13" i="11405"/>
  <c r="O13" i="11405"/>
  <c r="P13" i="11405"/>
  <c r="Q13" i="11405"/>
  <c r="S13" i="11405"/>
  <c r="T13" i="11405"/>
  <c r="U13" i="11405"/>
  <c r="AA13" i="11405"/>
  <c r="AC13" i="11405"/>
  <c r="AD13" i="11405"/>
  <c r="AE13" i="11405"/>
  <c r="AF13" i="11405"/>
  <c r="AG13" i="11405"/>
  <c r="AJ13" i="11405"/>
  <c r="AK13" i="11405"/>
  <c r="B14" i="11405"/>
  <c r="C14" i="11405"/>
  <c r="D14" i="11405"/>
  <c r="F14" i="11405"/>
  <c r="G14" i="11405"/>
  <c r="H14" i="11405"/>
  <c r="I14" i="11405"/>
  <c r="K14" i="11405"/>
  <c r="L14" i="11405"/>
  <c r="O14" i="11405"/>
  <c r="P14" i="11405"/>
  <c r="Q14" i="11405"/>
  <c r="S14" i="11405"/>
  <c r="T14" i="11405"/>
  <c r="U14" i="11405"/>
  <c r="AA14" i="11405"/>
  <c r="AC14" i="11405"/>
  <c r="AD14" i="11405"/>
  <c r="AE14" i="11405"/>
  <c r="AF14" i="11405"/>
  <c r="AG14" i="11405"/>
  <c r="AJ14" i="11405"/>
  <c r="AK14" i="11405"/>
  <c r="B15" i="11405"/>
  <c r="C15" i="11405"/>
  <c r="D15" i="11405"/>
  <c r="F15" i="11405"/>
  <c r="G15" i="11405"/>
  <c r="H15" i="11405"/>
  <c r="I15" i="11405"/>
  <c r="K15" i="11405"/>
  <c r="L15" i="11405"/>
  <c r="O15" i="11405"/>
  <c r="P15" i="11405"/>
  <c r="Q15" i="11405"/>
  <c r="S15" i="11405"/>
  <c r="T15" i="11405"/>
  <c r="U15" i="11405"/>
  <c r="AA15" i="11405"/>
  <c r="AC15" i="11405"/>
  <c r="AD15" i="11405"/>
  <c r="AE15" i="11405"/>
  <c r="AF15" i="11405"/>
  <c r="AG15" i="11405"/>
  <c r="AJ15" i="11405"/>
  <c r="AK15" i="11405"/>
  <c r="B16" i="11405"/>
  <c r="C16" i="11405"/>
  <c r="D16" i="11405"/>
  <c r="F16" i="11405"/>
  <c r="G16" i="11405"/>
  <c r="H16" i="11405"/>
  <c r="I16" i="11405"/>
  <c r="K16" i="11405"/>
  <c r="L16" i="11405"/>
  <c r="O16" i="11405"/>
  <c r="P16" i="11405"/>
  <c r="Q16" i="11405"/>
  <c r="S16" i="11405"/>
  <c r="T16" i="11405"/>
  <c r="U16" i="11405"/>
  <c r="AA16" i="11405"/>
  <c r="AC16" i="11405"/>
  <c r="AD16" i="11405"/>
  <c r="AE16" i="11405"/>
  <c r="AF16" i="11405"/>
  <c r="AG16" i="11405"/>
  <c r="AJ16" i="11405"/>
  <c r="AK16" i="11405"/>
  <c r="B17" i="11405"/>
  <c r="C17" i="11405"/>
  <c r="D17" i="11405"/>
  <c r="F17" i="11405"/>
  <c r="G17" i="11405"/>
  <c r="H17" i="11405"/>
  <c r="I17" i="11405"/>
  <c r="K17" i="11405"/>
  <c r="L17" i="11405"/>
  <c r="O17" i="11405"/>
  <c r="P17" i="11405"/>
  <c r="Q17" i="11405"/>
  <c r="S17" i="11405"/>
  <c r="T17" i="11405"/>
  <c r="U17" i="11405"/>
  <c r="AA17" i="11405"/>
  <c r="AC17" i="11405"/>
  <c r="AD17" i="11405"/>
  <c r="AE17" i="11405"/>
  <c r="AF17" i="11405"/>
  <c r="AG17" i="11405"/>
  <c r="AJ17" i="11405"/>
  <c r="AK17" i="11405"/>
  <c r="B18" i="11405"/>
  <c r="C18" i="11405"/>
  <c r="D18" i="11405"/>
  <c r="F18" i="11405"/>
  <c r="G18" i="11405"/>
  <c r="H18" i="11405"/>
  <c r="I18" i="11405"/>
  <c r="K18" i="11405"/>
  <c r="L18" i="11405"/>
  <c r="O18" i="11405"/>
  <c r="P18" i="11405"/>
  <c r="Q18" i="11405"/>
  <c r="S18" i="11405"/>
  <c r="T18" i="11405"/>
  <c r="U18" i="11405"/>
  <c r="AA18" i="11405"/>
  <c r="AC18" i="11405"/>
  <c r="AD18" i="11405"/>
  <c r="AE18" i="11405"/>
  <c r="AF18" i="11405"/>
  <c r="AG18" i="11405"/>
  <c r="AJ18" i="11405"/>
  <c r="AK18" i="11405"/>
  <c r="B19" i="11405"/>
  <c r="C19" i="11405"/>
  <c r="D19" i="11405"/>
  <c r="F19" i="11405"/>
  <c r="G19" i="11405"/>
  <c r="H19" i="11405"/>
  <c r="I19" i="11405"/>
  <c r="K19" i="11405"/>
  <c r="L19" i="11405"/>
  <c r="O19" i="11405"/>
  <c r="P19" i="11405"/>
  <c r="Q19" i="11405"/>
  <c r="S19" i="11405"/>
  <c r="T19" i="11405"/>
  <c r="U19" i="11405"/>
  <c r="AA19" i="11405"/>
  <c r="AC19" i="11405"/>
  <c r="AD19" i="11405"/>
  <c r="AE19" i="11405"/>
  <c r="AF19" i="11405"/>
  <c r="AG19" i="11405"/>
  <c r="AJ19" i="11405"/>
  <c r="AK19" i="11405"/>
  <c r="B20" i="11405"/>
  <c r="C20" i="11405"/>
  <c r="D20" i="11405"/>
  <c r="F20" i="11405"/>
  <c r="G20" i="11405"/>
  <c r="H20" i="11405"/>
  <c r="I20" i="11405"/>
  <c r="K20" i="11405"/>
  <c r="L20" i="11405"/>
  <c r="O20" i="11405"/>
  <c r="P20" i="11405"/>
  <c r="Q20" i="11405"/>
  <c r="S20" i="11405"/>
  <c r="T20" i="11405"/>
  <c r="U20" i="11405"/>
  <c r="AA20" i="11405"/>
  <c r="AC20" i="11405"/>
  <c r="AD20" i="11405"/>
  <c r="AE20" i="11405"/>
  <c r="AF20" i="11405"/>
  <c r="AG20" i="11405"/>
  <c r="AJ20" i="11405"/>
  <c r="AK20" i="11405"/>
  <c r="B21" i="11405"/>
  <c r="C21" i="11405"/>
  <c r="D21" i="11405"/>
  <c r="F21" i="11405"/>
  <c r="G21" i="11405"/>
  <c r="H21" i="11405"/>
  <c r="I21" i="11405"/>
  <c r="K21" i="11405"/>
  <c r="L21" i="11405"/>
  <c r="O21" i="11405"/>
  <c r="P21" i="11405"/>
  <c r="Q21" i="11405"/>
  <c r="S21" i="11405"/>
  <c r="T21" i="11405"/>
  <c r="U21" i="11405"/>
  <c r="AA21" i="11405"/>
  <c r="AC21" i="11405"/>
  <c r="AD21" i="11405"/>
  <c r="AE21" i="11405"/>
  <c r="AF21" i="11405"/>
  <c r="AG21" i="11405"/>
  <c r="AJ21" i="11405"/>
  <c r="AK21" i="11405"/>
  <c r="B22" i="11405"/>
  <c r="C22" i="11405"/>
  <c r="D22" i="11405"/>
  <c r="F22" i="11405"/>
  <c r="G22" i="11405"/>
  <c r="H22" i="11405"/>
  <c r="I22" i="11405"/>
  <c r="K22" i="11405"/>
  <c r="L22" i="11405"/>
  <c r="M22" i="11405"/>
  <c r="N22" i="11405"/>
  <c r="O22" i="11405"/>
  <c r="P22" i="11405"/>
  <c r="Q22" i="11405"/>
  <c r="S22" i="11405"/>
  <c r="T22" i="11405"/>
  <c r="U22" i="11405"/>
  <c r="AA22" i="11405"/>
  <c r="AC22" i="11405"/>
  <c r="AD22" i="11405"/>
  <c r="AE22" i="11405"/>
  <c r="AF22" i="11405"/>
  <c r="AG22" i="11405"/>
  <c r="AH22" i="11405"/>
  <c r="AJ22" i="11405"/>
  <c r="AK22" i="11405"/>
  <c r="AL22" i="11405"/>
  <c r="B23" i="11405"/>
  <c r="C23" i="11405"/>
  <c r="D23" i="11405"/>
  <c r="F23" i="11405"/>
  <c r="G23" i="11405"/>
  <c r="H23" i="11405"/>
  <c r="I23" i="11405"/>
  <c r="K23" i="11405"/>
  <c r="L23" i="11405"/>
  <c r="O23" i="11405"/>
  <c r="P23" i="11405"/>
  <c r="Q23" i="11405"/>
  <c r="S23" i="11405"/>
  <c r="T23" i="11405"/>
  <c r="U23" i="11405"/>
  <c r="AA23" i="11405"/>
  <c r="AC23" i="11405"/>
  <c r="AD23" i="11405"/>
  <c r="AE23" i="11405"/>
  <c r="AF23" i="11405"/>
  <c r="AG23" i="11405"/>
  <c r="AJ23" i="11405"/>
  <c r="AK23" i="11405"/>
  <c r="B24" i="11405"/>
  <c r="C24" i="11405"/>
  <c r="D24" i="11405"/>
  <c r="F24" i="11405"/>
  <c r="G24" i="11405"/>
  <c r="H24" i="11405"/>
  <c r="I24" i="11405"/>
  <c r="K24" i="11405"/>
  <c r="L24" i="11405"/>
  <c r="O24" i="11405"/>
  <c r="P24" i="11405"/>
  <c r="Q24" i="11405"/>
  <c r="S24" i="11405"/>
  <c r="T24" i="11405"/>
  <c r="U24" i="11405"/>
  <c r="AA24" i="11405"/>
  <c r="AC24" i="11405"/>
  <c r="AD24" i="11405"/>
  <c r="AE24" i="11405"/>
  <c r="AF24" i="11405"/>
  <c r="AG24" i="11405"/>
  <c r="AJ24" i="11405"/>
  <c r="AK24" i="11405"/>
  <c r="B25" i="11405"/>
  <c r="C25" i="11405"/>
  <c r="D25" i="11405"/>
  <c r="F25" i="11405"/>
  <c r="G25" i="11405"/>
  <c r="H25" i="11405"/>
  <c r="I25" i="11405"/>
  <c r="K25" i="11405"/>
  <c r="L25" i="11405"/>
  <c r="AC25" i="11405"/>
  <c r="AD25" i="11405"/>
  <c r="AE25" i="11405"/>
  <c r="AF25" i="11405"/>
  <c r="AG25" i="11405"/>
  <c r="AJ25" i="11405"/>
  <c r="AK25" i="11405"/>
  <c r="B26" i="11405"/>
  <c r="C26" i="11405"/>
  <c r="D26" i="11405"/>
  <c r="F26" i="11405"/>
  <c r="G26" i="11405"/>
  <c r="H26" i="11405"/>
  <c r="I26" i="11405"/>
  <c r="K26" i="11405"/>
  <c r="L26" i="11405"/>
  <c r="AC26" i="11405"/>
  <c r="AD26" i="11405"/>
  <c r="AE26" i="11405"/>
  <c r="AF26" i="11405"/>
  <c r="AG26" i="11405"/>
  <c r="AJ26" i="11405"/>
  <c r="AK26" i="11405"/>
  <c r="B27" i="11405"/>
  <c r="C27" i="11405"/>
  <c r="D27" i="11405"/>
  <c r="F27" i="11405"/>
  <c r="G27" i="11405"/>
  <c r="H27" i="11405"/>
  <c r="I27" i="11405"/>
  <c r="K27" i="11405"/>
  <c r="L27" i="11405"/>
  <c r="AC27" i="11405"/>
  <c r="AD27" i="11405"/>
  <c r="AE27" i="11405"/>
  <c r="AF27" i="11405"/>
  <c r="AG27" i="11405"/>
  <c r="AJ27" i="11405"/>
  <c r="AK27" i="11405"/>
  <c r="B28" i="11405"/>
  <c r="C28" i="11405"/>
  <c r="D28" i="11405"/>
  <c r="F28" i="11405"/>
  <c r="G28" i="11405"/>
  <c r="H28" i="11405"/>
  <c r="I28" i="11405"/>
  <c r="K28" i="11405"/>
  <c r="L28" i="11405"/>
  <c r="AC28" i="11405"/>
  <c r="AD28" i="11405"/>
  <c r="AE28" i="11405"/>
  <c r="AF28" i="11405"/>
  <c r="AG28" i="11405"/>
  <c r="AJ28" i="11405"/>
  <c r="AK28" i="11405"/>
  <c r="B29" i="11405"/>
  <c r="C29" i="11405"/>
  <c r="D29" i="11405"/>
  <c r="F29" i="11405"/>
  <c r="G29" i="11405"/>
  <c r="H29" i="11405"/>
  <c r="I29" i="11405"/>
  <c r="K29" i="11405"/>
  <c r="L29" i="11405"/>
  <c r="AC29" i="11405"/>
  <c r="AD29" i="11405"/>
  <c r="AE29" i="11405"/>
  <c r="AF29" i="11405"/>
  <c r="AG29" i="11405"/>
  <c r="AJ29" i="11405"/>
  <c r="AK29" i="11405"/>
  <c r="B30" i="11405"/>
  <c r="C30" i="11405"/>
  <c r="D30" i="11405"/>
  <c r="F30" i="11405"/>
  <c r="G30" i="11405"/>
  <c r="H30" i="11405"/>
  <c r="I30" i="11405"/>
  <c r="K30" i="11405"/>
  <c r="L30" i="11405"/>
  <c r="AC30" i="11405"/>
  <c r="AD30" i="11405"/>
  <c r="AE30" i="11405"/>
  <c r="AF30" i="11405"/>
  <c r="AG30" i="11405"/>
  <c r="AJ30" i="11405"/>
  <c r="AK30" i="11405"/>
  <c r="B31" i="11405"/>
  <c r="C31" i="11405"/>
  <c r="D31" i="11405"/>
  <c r="F31" i="11405"/>
  <c r="G31" i="11405"/>
  <c r="H31" i="11405"/>
  <c r="I31" i="11405"/>
  <c r="K31" i="11405"/>
  <c r="L31" i="11405"/>
  <c r="AC31" i="11405"/>
  <c r="AD31" i="11405"/>
  <c r="AE31" i="11405"/>
  <c r="AF31" i="11405"/>
  <c r="AG31" i="11405"/>
  <c r="AJ31" i="11405"/>
  <c r="AK31" i="11405"/>
  <c r="B32" i="11405"/>
  <c r="C32" i="11405"/>
  <c r="D32" i="11405"/>
  <c r="F32" i="11405"/>
  <c r="G32" i="11405"/>
  <c r="H32" i="11405"/>
  <c r="I32" i="11405"/>
  <c r="K32" i="11405"/>
  <c r="L32" i="11405"/>
  <c r="AC32" i="11405"/>
  <c r="AD32" i="11405"/>
  <c r="AE32" i="11405"/>
  <c r="AF32" i="11405"/>
  <c r="AG32" i="11405"/>
  <c r="AJ32" i="11405"/>
  <c r="AK32" i="11405"/>
  <c r="B33" i="11405"/>
  <c r="C33" i="11405"/>
  <c r="D33" i="11405"/>
  <c r="F33" i="11405"/>
  <c r="G33" i="11405"/>
  <c r="H33" i="11405"/>
  <c r="I33" i="11405"/>
  <c r="K33" i="11405"/>
  <c r="L33" i="11405"/>
  <c r="AC33" i="11405"/>
  <c r="AD33" i="11405"/>
  <c r="AE33" i="11405"/>
  <c r="AF33" i="11405"/>
  <c r="AG33" i="11405"/>
  <c r="AJ33" i="11405"/>
  <c r="AK33" i="11405"/>
  <c r="B34" i="11405"/>
  <c r="C34" i="11405"/>
  <c r="D34" i="11405"/>
  <c r="F34" i="11405"/>
  <c r="G34" i="11405"/>
  <c r="H34" i="11405"/>
  <c r="I34" i="11405"/>
  <c r="K34" i="11405"/>
  <c r="L34" i="11405"/>
  <c r="M34" i="11405"/>
  <c r="N34" i="11405"/>
  <c r="AC34" i="11405"/>
  <c r="AD34" i="11405"/>
  <c r="AE34" i="11405"/>
  <c r="AF34" i="11405"/>
  <c r="AG34" i="11405"/>
  <c r="AH34" i="11405"/>
  <c r="AJ34" i="11405"/>
  <c r="AK34" i="11405"/>
  <c r="AL34" i="11405"/>
  <c r="B35" i="11405"/>
  <c r="C35" i="11405"/>
  <c r="D35" i="11405"/>
  <c r="F35" i="11405"/>
  <c r="G35" i="11405"/>
  <c r="H35" i="11405"/>
  <c r="I35" i="11405"/>
  <c r="K35" i="11405"/>
  <c r="L35" i="11405"/>
  <c r="AC35" i="11405"/>
  <c r="AD35" i="11405"/>
  <c r="AE35" i="11405"/>
  <c r="AF35" i="11405"/>
  <c r="AG35" i="11405"/>
  <c r="AJ35" i="11405"/>
  <c r="AK35" i="11405"/>
  <c r="B36" i="11405"/>
  <c r="C36" i="11405"/>
  <c r="D36" i="11405"/>
  <c r="F36" i="11405"/>
  <c r="G36" i="11405"/>
  <c r="H36" i="11405"/>
  <c r="I36" i="11405"/>
  <c r="K36" i="11405"/>
  <c r="L36" i="11405"/>
  <c r="AC36" i="11405"/>
  <c r="AD36" i="11405"/>
  <c r="AE36" i="11405"/>
  <c r="AF36" i="11405"/>
  <c r="AG36" i="11405"/>
  <c r="AJ36" i="11405"/>
  <c r="AK36" i="11405"/>
  <c r="B37" i="11405"/>
  <c r="C37" i="11405"/>
  <c r="D37" i="11405"/>
  <c r="F37" i="11405"/>
  <c r="G37" i="11405"/>
  <c r="H37" i="11405"/>
  <c r="I37" i="11405"/>
  <c r="K37" i="11405"/>
  <c r="L37" i="11405"/>
  <c r="AC37" i="11405"/>
  <c r="AD37" i="11405"/>
  <c r="AE37" i="11405"/>
  <c r="AF37" i="11405"/>
  <c r="AG37" i="11405"/>
  <c r="AJ37" i="11405"/>
  <c r="AK37" i="11405"/>
  <c r="B38" i="11405"/>
  <c r="C38" i="11405"/>
  <c r="D38" i="11405"/>
  <c r="F38" i="11405"/>
  <c r="G38" i="11405"/>
  <c r="H38" i="11405"/>
  <c r="I38" i="11405"/>
  <c r="K38" i="11405"/>
  <c r="L38" i="11405"/>
  <c r="AC38" i="11405"/>
  <c r="AD38" i="11405"/>
  <c r="AE38" i="11405"/>
  <c r="AF38" i="11405"/>
  <c r="AG38" i="11405"/>
  <c r="AJ38" i="11405"/>
  <c r="AK38" i="11405"/>
  <c r="B39" i="11405"/>
  <c r="C39" i="11405"/>
  <c r="D39" i="11405"/>
  <c r="F39" i="11405"/>
  <c r="G39" i="11405"/>
  <c r="H39" i="11405"/>
  <c r="I39" i="11405"/>
  <c r="K39" i="11405"/>
  <c r="L39" i="11405"/>
  <c r="AC39" i="11405"/>
  <c r="AD39" i="11405"/>
  <c r="AE39" i="11405"/>
  <c r="AF39" i="11405"/>
  <c r="AG39" i="11405"/>
  <c r="AJ39" i="11405"/>
  <c r="AK39" i="11405"/>
  <c r="B40" i="11405"/>
  <c r="C40" i="11405"/>
  <c r="D40" i="11405"/>
  <c r="F40" i="11405"/>
  <c r="G40" i="11405"/>
  <c r="H40" i="11405"/>
  <c r="I40" i="11405"/>
  <c r="K40" i="11405"/>
  <c r="L40" i="11405"/>
  <c r="AC40" i="11405"/>
  <c r="AD40" i="11405"/>
  <c r="AE40" i="11405"/>
  <c r="AF40" i="11405"/>
  <c r="AG40" i="11405"/>
  <c r="AJ40" i="11405"/>
  <c r="AK40" i="11405"/>
  <c r="B41" i="11405"/>
  <c r="C41" i="11405"/>
  <c r="D41" i="11405"/>
  <c r="F41" i="11405"/>
  <c r="G41" i="11405"/>
  <c r="H41" i="11405"/>
  <c r="I41" i="11405"/>
  <c r="K41" i="11405"/>
  <c r="L41" i="11405"/>
  <c r="AC41" i="11405"/>
  <c r="AD41" i="11405"/>
  <c r="AE41" i="11405"/>
  <c r="AF41" i="11405"/>
  <c r="AG41" i="11405"/>
  <c r="AJ41" i="11405"/>
  <c r="AK41" i="11405"/>
  <c r="B42" i="11405"/>
  <c r="C42" i="11405"/>
  <c r="D42" i="11405"/>
  <c r="F42" i="11405"/>
  <c r="G42" i="11405"/>
  <c r="H42" i="11405"/>
  <c r="I42" i="11405"/>
  <c r="K42" i="11405"/>
  <c r="L42" i="11405"/>
  <c r="AC42" i="11405"/>
  <c r="AD42" i="11405"/>
  <c r="AE42" i="11405"/>
  <c r="AF42" i="11405"/>
  <c r="AG42" i="11405"/>
  <c r="AJ42" i="11405"/>
  <c r="AK42" i="11405"/>
  <c r="B43" i="11405"/>
  <c r="C43" i="11405"/>
  <c r="D43" i="11405"/>
  <c r="F43" i="11405"/>
  <c r="G43" i="11405"/>
  <c r="H43" i="11405"/>
  <c r="I43" i="11405"/>
  <c r="K43" i="11405"/>
  <c r="L43" i="11405"/>
  <c r="AC43" i="11405"/>
  <c r="AD43" i="11405"/>
  <c r="AE43" i="11405"/>
  <c r="AF43" i="11405"/>
  <c r="AG43" i="11405"/>
  <c r="AJ43" i="11405"/>
  <c r="AK43" i="11405"/>
  <c r="B44" i="11405"/>
  <c r="C44" i="11405"/>
  <c r="D44" i="11405"/>
  <c r="F44" i="11405"/>
  <c r="G44" i="11405"/>
  <c r="H44" i="11405"/>
  <c r="I44" i="11405"/>
  <c r="K44" i="11405"/>
  <c r="L44" i="11405"/>
  <c r="AC44" i="11405"/>
  <c r="AD44" i="11405"/>
  <c r="AE44" i="11405"/>
  <c r="AF44" i="11405"/>
  <c r="AG44" i="11405"/>
  <c r="AJ44" i="11405"/>
  <c r="AK44" i="11405"/>
  <c r="B45" i="11405"/>
  <c r="C45" i="11405"/>
  <c r="D45" i="11405"/>
  <c r="F45" i="11405"/>
  <c r="G45" i="11405"/>
  <c r="H45" i="11405"/>
  <c r="I45" i="11405"/>
  <c r="K45" i="11405"/>
  <c r="L45" i="11405"/>
  <c r="AC45" i="11405"/>
  <c r="AD45" i="11405"/>
  <c r="AE45" i="11405"/>
  <c r="AF45" i="11405"/>
  <c r="AG45" i="11405"/>
  <c r="AJ45" i="11405"/>
  <c r="AK45" i="11405"/>
  <c r="B46" i="11405"/>
  <c r="C46" i="11405"/>
  <c r="D46" i="11405"/>
  <c r="F46" i="11405"/>
  <c r="G46" i="11405"/>
  <c r="H46" i="11405"/>
  <c r="I46" i="11405"/>
  <c r="K46" i="11405"/>
  <c r="L46" i="11405"/>
  <c r="M46" i="11405"/>
  <c r="N46" i="11405"/>
  <c r="AC46" i="11405"/>
  <c r="AD46" i="11405"/>
  <c r="AE46" i="11405"/>
  <c r="AF46" i="11405"/>
  <c r="AG46" i="11405"/>
  <c r="AH46" i="11405"/>
  <c r="AJ46" i="11405"/>
  <c r="AK46" i="11405"/>
  <c r="AL46" i="11405"/>
  <c r="B47" i="11405"/>
  <c r="C47" i="11405"/>
  <c r="D47" i="11405"/>
  <c r="F47" i="11405"/>
  <c r="G47" i="11405"/>
  <c r="H47" i="11405"/>
  <c r="I47" i="11405"/>
  <c r="K47" i="11405"/>
  <c r="L47" i="11405"/>
  <c r="AC47" i="11405"/>
  <c r="AD47" i="11405"/>
  <c r="AE47" i="11405"/>
  <c r="AF47" i="11405"/>
  <c r="AG47" i="11405"/>
  <c r="AJ47" i="11405"/>
  <c r="AK47" i="11405"/>
  <c r="B48" i="11405"/>
  <c r="C48" i="11405"/>
  <c r="D48" i="11405"/>
  <c r="F48" i="11405"/>
  <c r="G48" i="11405"/>
  <c r="H48" i="11405"/>
  <c r="I48" i="11405"/>
  <c r="K48" i="11405"/>
  <c r="L48" i="11405"/>
  <c r="AC48" i="11405"/>
  <c r="AD48" i="11405"/>
  <c r="AE48" i="11405"/>
  <c r="AF48" i="11405"/>
  <c r="AG48" i="11405"/>
  <c r="AJ48" i="11405"/>
  <c r="AK48" i="11405"/>
  <c r="B49" i="11405"/>
  <c r="C49" i="11405"/>
  <c r="D49" i="11405"/>
  <c r="F49" i="11405"/>
  <c r="G49" i="11405"/>
  <c r="H49" i="11405"/>
  <c r="I49" i="11405"/>
  <c r="K49" i="11405"/>
  <c r="L49" i="11405"/>
  <c r="AC49" i="11405"/>
  <c r="AD49" i="11405"/>
  <c r="AE49" i="11405"/>
  <c r="AF49" i="11405"/>
  <c r="AG49" i="11405"/>
  <c r="AJ49" i="11405"/>
  <c r="AK49" i="11405"/>
  <c r="B50" i="11405"/>
  <c r="C50" i="11405"/>
  <c r="D50" i="11405"/>
  <c r="F50" i="11405"/>
  <c r="G50" i="11405"/>
  <c r="H50" i="11405"/>
  <c r="I50" i="11405"/>
  <c r="K50" i="11405"/>
  <c r="L50" i="11405"/>
  <c r="AC50" i="11405"/>
  <c r="AD50" i="11405"/>
  <c r="AE50" i="11405"/>
  <c r="AF50" i="11405"/>
  <c r="AG50" i="11405"/>
  <c r="AJ50" i="11405"/>
  <c r="AK50" i="11405"/>
  <c r="B51" i="11405"/>
  <c r="C51" i="11405"/>
  <c r="D51" i="11405"/>
  <c r="F51" i="11405"/>
  <c r="G51" i="11405"/>
  <c r="H51" i="11405"/>
  <c r="I51" i="11405"/>
  <c r="K51" i="11405"/>
  <c r="L51" i="11405"/>
  <c r="AC51" i="11405"/>
  <c r="AD51" i="11405"/>
  <c r="AE51" i="11405"/>
  <c r="AF51" i="11405"/>
  <c r="AG51" i="11405"/>
  <c r="AJ51" i="11405"/>
  <c r="AK51" i="11405"/>
  <c r="B52" i="11405"/>
  <c r="C52" i="11405"/>
  <c r="D52" i="11405"/>
  <c r="F52" i="11405"/>
  <c r="G52" i="11405"/>
  <c r="H52" i="11405"/>
  <c r="I52" i="11405"/>
  <c r="K52" i="11405"/>
  <c r="L52" i="11405"/>
  <c r="AC52" i="11405"/>
  <c r="AD52" i="11405"/>
  <c r="AE52" i="11405"/>
  <c r="AF52" i="11405"/>
  <c r="AG52" i="11405"/>
  <c r="AJ52" i="11405"/>
  <c r="AK52" i="11405"/>
  <c r="B53" i="11405"/>
  <c r="C53" i="11405"/>
  <c r="D53" i="11405"/>
  <c r="F53" i="11405"/>
  <c r="G53" i="11405"/>
  <c r="H53" i="11405"/>
  <c r="I53" i="11405"/>
  <c r="K53" i="11405"/>
  <c r="L53" i="11405"/>
  <c r="AC53" i="11405"/>
  <c r="AD53" i="11405"/>
  <c r="AE53" i="11405"/>
  <c r="AF53" i="11405"/>
  <c r="AG53" i="11405"/>
  <c r="AJ53" i="11405"/>
  <c r="AK53" i="11405"/>
  <c r="B54" i="11405"/>
  <c r="C54" i="11405"/>
  <c r="D54" i="11405"/>
  <c r="F54" i="11405"/>
  <c r="G54" i="11405"/>
  <c r="H54" i="11405"/>
  <c r="I54" i="11405"/>
  <c r="K54" i="11405"/>
  <c r="L54" i="11405"/>
  <c r="AC54" i="11405"/>
  <c r="AD54" i="11405"/>
  <c r="AE54" i="11405"/>
  <c r="AF54" i="11405"/>
  <c r="AG54" i="11405"/>
  <c r="AJ54" i="11405"/>
  <c r="AK54" i="11405"/>
  <c r="B55" i="11405"/>
  <c r="C55" i="11405"/>
  <c r="D55" i="11405"/>
  <c r="F55" i="11405"/>
  <c r="G55" i="11405"/>
  <c r="H55" i="11405"/>
  <c r="I55" i="11405"/>
  <c r="K55" i="11405"/>
  <c r="L55" i="11405"/>
  <c r="AC55" i="11405"/>
  <c r="AD55" i="11405"/>
  <c r="AE55" i="11405"/>
  <c r="AF55" i="11405"/>
  <c r="AG55" i="11405"/>
  <c r="AJ55" i="11405"/>
  <c r="AK55" i="11405"/>
  <c r="B56" i="11405"/>
  <c r="C56" i="11405"/>
  <c r="D56" i="11405"/>
  <c r="F56" i="11405"/>
  <c r="G56" i="11405"/>
  <c r="H56" i="11405"/>
  <c r="I56" i="11405"/>
  <c r="K56" i="11405"/>
  <c r="L56" i="11405"/>
  <c r="AC56" i="11405"/>
  <c r="AD56" i="11405"/>
  <c r="AE56" i="11405"/>
  <c r="AF56" i="11405"/>
  <c r="AG56" i="11405"/>
  <c r="AJ56" i="11405"/>
  <c r="AK56" i="11405"/>
  <c r="B57" i="11405"/>
  <c r="C57" i="11405"/>
  <c r="D57" i="11405"/>
  <c r="F57" i="11405"/>
  <c r="G57" i="11405"/>
  <c r="H57" i="11405"/>
  <c r="I57" i="11405"/>
  <c r="K57" i="11405"/>
  <c r="L57" i="11405"/>
  <c r="AC57" i="11405"/>
  <c r="AD57" i="11405"/>
  <c r="AE57" i="11405"/>
  <c r="AF57" i="11405"/>
  <c r="AG57" i="11405"/>
  <c r="AJ57" i="11405"/>
  <c r="AK57" i="11405"/>
  <c r="B58" i="11405"/>
  <c r="C58" i="11405"/>
  <c r="D58" i="11405"/>
  <c r="F58" i="11405"/>
  <c r="G58" i="11405"/>
  <c r="H58" i="11405"/>
  <c r="I58" i="11405"/>
  <c r="K58" i="11405"/>
  <c r="L58" i="11405"/>
  <c r="M58" i="11405"/>
  <c r="N58" i="11405"/>
  <c r="AC58" i="11405"/>
  <c r="AD58" i="11405"/>
  <c r="AE58" i="11405"/>
  <c r="AF58" i="11405"/>
  <c r="AG58" i="11405"/>
  <c r="AH58" i="11405"/>
  <c r="AJ58" i="11405"/>
  <c r="AK58" i="11405"/>
  <c r="AL58" i="11405"/>
  <c r="B59" i="11405"/>
  <c r="C59" i="11405"/>
  <c r="D59" i="11405"/>
  <c r="F59" i="11405"/>
  <c r="G59" i="11405"/>
  <c r="H59" i="11405"/>
  <c r="I59" i="11405"/>
  <c r="K59" i="11405"/>
  <c r="L59" i="11405"/>
  <c r="AC59" i="11405"/>
  <c r="AD59" i="11405"/>
  <c r="AE59" i="11405"/>
  <c r="AF59" i="11405"/>
  <c r="AG59" i="11405"/>
  <c r="AJ59" i="11405"/>
  <c r="AK59" i="11405"/>
  <c r="B60" i="11405"/>
  <c r="C60" i="11405"/>
  <c r="D60" i="11405"/>
  <c r="F60" i="11405"/>
  <c r="G60" i="11405"/>
  <c r="H60" i="11405"/>
  <c r="I60" i="11405"/>
  <c r="K60" i="11405"/>
  <c r="L60" i="11405"/>
  <c r="AC60" i="11405"/>
  <c r="AD60" i="11405"/>
  <c r="AE60" i="11405"/>
  <c r="AF60" i="11405"/>
  <c r="AG60" i="11405"/>
  <c r="AJ60" i="11405"/>
  <c r="AK60" i="11405"/>
  <c r="B61" i="11405"/>
  <c r="C61" i="11405"/>
  <c r="D61" i="11405"/>
  <c r="F61" i="11405"/>
  <c r="G61" i="11405"/>
  <c r="H61" i="11405"/>
  <c r="I61" i="11405"/>
  <c r="K61" i="11405"/>
  <c r="L61" i="11405"/>
  <c r="AC61" i="11405"/>
  <c r="AD61" i="11405"/>
  <c r="AE61" i="11405"/>
  <c r="AF61" i="11405"/>
  <c r="AG61" i="11405"/>
  <c r="AJ61" i="11405"/>
  <c r="AK61" i="11405"/>
  <c r="B62" i="11405"/>
  <c r="C62" i="11405"/>
  <c r="D62" i="11405"/>
  <c r="F62" i="11405"/>
  <c r="G62" i="11405"/>
  <c r="H62" i="11405"/>
  <c r="I62" i="11405"/>
  <c r="K62" i="11405"/>
  <c r="L62" i="11405"/>
  <c r="AC62" i="11405"/>
  <c r="AD62" i="11405"/>
  <c r="AE62" i="11405"/>
  <c r="AF62" i="11405"/>
  <c r="AG62" i="11405"/>
  <c r="AJ62" i="11405"/>
  <c r="AK62" i="11405"/>
  <c r="B63" i="11405"/>
  <c r="C63" i="11405"/>
  <c r="D63" i="11405"/>
  <c r="F63" i="11405"/>
  <c r="G63" i="11405"/>
  <c r="H63" i="11405"/>
  <c r="I63" i="11405"/>
  <c r="K63" i="11405"/>
  <c r="L63" i="11405"/>
  <c r="AC63" i="11405"/>
  <c r="AD63" i="11405"/>
  <c r="AE63" i="11405"/>
  <c r="AF63" i="11405"/>
  <c r="AG63" i="11405"/>
  <c r="AJ63" i="11405"/>
  <c r="AK63" i="11405"/>
  <c r="B64" i="11405"/>
  <c r="C64" i="11405"/>
  <c r="D64" i="11405"/>
  <c r="F64" i="11405"/>
  <c r="G64" i="11405"/>
  <c r="H64" i="11405"/>
  <c r="I64" i="11405"/>
  <c r="K64" i="11405"/>
  <c r="L64" i="11405"/>
  <c r="AC64" i="11405"/>
  <c r="AD64" i="11405"/>
  <c r="AE64" i="11405"/>
  <c r="AF64" i="11405"/>
  <c r="AG64" i="11405"/>
  <c r="AJ64" i="11405"/>
  <c r="AK64" i="11405"/>
  <c r="B65" i="11405"/>
  <c r="C65" i="11405"/>
  <c r="D65" i="11405"/>
  <c r="F65" i="11405"/>
  <c r="G65" i="11405"/>
  <c r="H65" i="11405"/>
  <c r="I65" i="11405"/>
  <c r="K65" i="11405"/>
  <c r="L65" i="11405"/>
  <c r="AC65" i="11405"/>
  <c r="AD65" i="11405"/>
  <c r="AE65" i="11405"/>
  <c r="AF65" i="11405"/>
  <c r="AG65" i="11405"/>
  <c r="AJ65" i="11405"/>
  <c r="AK65" i="11405"/>
  <c r="B66" i="11405"/>
  <c r="C66" i="11405"/>
  <c r="D66" i="11405"/>
  <c r="F66" i="11405"/>
  <c r="G66" i="11405"/>
  <c r="H66" i="11405"/>
  <c r="I66" i="11405"/>
  <c r="K66" i="11405"/>
  <c r="L66" i="11405"/>
  <c r="AC66" i="11405"/>
  <c r="AD66" i="11405"/>
  <c r="AE66" i="11405"/>
  <c r="AF66" i="11405"/>
  <c r="AG66" i="11405"/>
  <c r="AJ66" i="11405"/>
  <c r="AK66" i="11405"/>
  <c r="B67" i="11405"/>
  <c r="C67" i="11405"/>
  <c r="D67" i="11405"/>
  <c r="F67" i="11405"/>
  <c r="G67" i="11405"/>
  <c r="H67" i="11405"/>
  <c r="I67" i="11405"/>
  <c r="K67" i="11405"/>
  <c r="L67" i="11405"/>
  <c r="AC67" i="11405"/>
  <c r="AD67" i="11405"/>
  <c r="AE67" i="11405"/>
  <c r="AF67" i="11405"/>
  <c r="AG67" i="11405"/>
  <c r="AJ67" i="11405"/>
  <c r="AK67" i="11405"/>
  <c r="B68" i="11405"/>
  <c r="C68" i="11405"/>
  <c r="D68" i="11405"/>
  <c r="F68" i="11405"/>
  <c r="G68" i="11405"/>
  <c r="H68" i="11405"/>
  <c r="I68" i="11405"/>
  <c r="K68" i="11405"/>
  <c r="L68" i="11405"/>
  <c r="AC68" i="11405"/>
  <c r="AD68" i="11405"/>
  <c r="AE68" i="11405"/>
  <c r="AF68" i="11405"/>
  <c r="AG68" i="11405"/>
  <c r="AJ68" i="11405"/>
  <c r="AK68" i="11405"/>
  <c r="B69" i="11405"/>
  <c r="C69" i="11405"/>
  <c r="D69" i="11405"/>
  <c r="F69" i="11405"/>
  <c r="G69" i="11405"/>
  <c r="H69" i="11405"/>
  <c r="I69" i="11405"/>
  <c r="K69" i="11405"/>
  <c r="L69" i="11405"/>
  <c r="AC69" i="11405"/>
  <c r="AD69" i="11405"/>
  <c r="AE69" i="11405"/>
  <c r="AF69" i="11405"/>
  <c r="AG69" i="11405"/>
  <c r="AJ69" i="11405"/>
  <c r="AK69" i="11405"/>
  <c r="B70" i="11405"/>
  <c r="C70" i="11405"/>
  <c r="D70" i="11405"/>
  <c r="F70" i="11405"/>
  <c r="G70" i="11405"/>
  <c r="H70" i="11405"/>
  <c r="I70" i="11405"/>
  <c r="K70" i="11405"/>
  <c r="L70" i="11405"/>
  <c r="M70" i="11405"/>
  <c r="N70" i="11405"/>
  <c r="AC70" i="11405"/>
  <c r="AD70" i="11405"/>
  <c r="AE70" i="11405"/>
  <c r="AF70" i="11405"/>
  <c r="AG70" i="11405"/>
  <c r="AH70" i="11405"/>
  <c r="AJ70" i="11405"/>
  <c r="AK70" i="11405"/>
  <c r="AL70" i="11405"/>
  <c r="B71" i="11405"/>
  <c r="C71" i="11405"/>
  <c r="D71" i="11405"/>
  <c r="F71" i="11405"/>
  <c r="G71" i="11405"/>
  <c r="H71" i="11405"/>
  <c r="I71" i="11405"/>
  <c r="K71" i="11405"/>
  <c r="L71" i="11405"/>
  <c r="AC71" i="11405"/>
  <c r="AD71" i="11405"/>
  <c r="AE71" i="11405"/>
  <c r="AF71" i="11405"/>
  <c r="AG71" i="11405"/>
  <c r="AJ71" i="11405"/>
  <c r="AK71" i="11405"/>
  <c r="B72" i="11405"/>
  <c r="C72" i="11405"/>
  <c r="D72" i="11405"/>
  <c r="F72" i="11405"/>
  <c r="G72" i="11405"/>
  <c r="H72" i="11405"/>
  <c r="I72" i="11405"/>
  <c r="K72" i="11405"/>
  <c r="L72" i="11405"/>
  <c r="AC72" i="11405"/>
  <c r="AD72" i="11405"/>
  <c r="AE72" i="11405"/>
  <c r="AF72" i="11405"/>
  <c r="AG72" i="11405"/>
  <c r="AJ72" i="11405"/>
  <c r="AK72" i="11405"/>
  <c r="B73" i="11405"/>
  <c r="C73" i="11405"/>
  <c r="D73" i="11405"/>
  <c r="F73" i="11405"/>
  <c r="G73" i="11405"/>
  <c r="H73" i="11405"/>
  <c r="I73" i="11405"/>
  <c r="K73" i="11405"/>
  <c r="L73" i="11405"/>
  <c r="AC73" i="11405"/>
  <c r="AD73" i="11405"/>
  <c r="AE73" i="11405"/>
  <c r="AF73" i="11405"/>
  <c r="AG73" i="11405"/>
  <c r="AJ73" i="11405"/>
  <c r="AK73" i="11405"/>
  <c r="B74" i="11405"/>
  <c r="C74" i="11405"/>
  <c r="D74" i="11405"/>
  <c r="F74" i="11405"/>
  <c r="G74" i="11405"/>
  <c r="H74" i="11405"/>
  <c r="I74" i="11405"/>
  <c r="K74" i="11405"/>
  <c r="L74" i="11405"/>
  <c r="AC74" i="11405"/>
  <c r="AD74" i="11405"/>
  <c r="AE74" i="11405"/>
  <c r="AF74" i="11405"/>
  <c r="AG74" i="11405"/>
  <c r="AJ74" i="11405"/>
  <c r="AK74" i="11405"/>
  <c r="B75" i="11405"/>
  <c r="C75" i="11405"/>
  <c r="D75" i="11405"/>
  <c r="F75" i="11405"/>
  <c r="G75" i="11405"/>
  <c r="H75" i="11405"/>
  <c r="I75" i="11405"/>
  <c r="K75" i="11405"/>
  <c r="L75" i="11405"/>
  <c r="AC75" i="11405"/>
  <c r="AD75" i="11405"/>
  <c r="AE75" i="11405"/>
  <c r="AF75" i="11405"/>
  <c r="AG75" i="11405"/>
  <c r="AJ75" i="11405"/>
  <c r="AK75" i="11405"/>
  <c r="B76" i="11405"/>
  <c r="C76" i="11405"/>
  <c r="D76" i="11405"/>
  <c r="F76" i="11405"/>
  <c r="G76" i="11405"/>
  <c r="H76" i="11405"/>
  <c r="I76" i="11405"/>
  <c r="K76" i="11405"/>
  <c r="L76" i="11405"/>
  <c r="AC76" i="11405"/>
  <c r="AD76" i="11405"/>
  <c r="AE76" i="11405"/>
  <c r="AF76" i="11405"/>
  <c r="AG76" i="11405"/>
  <c r="AJ76" i="11405"/>
  <c r="AK76" i="11405"/>
  <c r="B77" i="11405"/>
  <c r="C77" i="11405"/>
  <c r="D77" i="11405"/>
  <c r="F77" i="11405"/>
  <c r="G77" i="11405"/>
  <c r="H77" i="11405"/>
  <c r="I77" i="11405"/>
  <c r="K77" i="11405"/>
  <c r="L77" i="11405"/>
  <c r="AC77" i="11405"/>
  <c r="AD77" i="11405"/>
  <c r="AE77" i="11405"/>
  <c r="AF77" i="11405"/>
  <c r="AG77" i="11405"/>
  <c r="AJ77" i="11405"/>
  <c r="AK77" i="11405"/>
  <c r="B78" i="11405"/>
  <c r="C78" i="11405"/>
  <c r="D78" i="11405"/>
  <c r="F78" i="11405"/>
  <c r="G78" i="11405"/>
  <c r="H78" i="11405"/>
  <c r="I78" i="11405"/>
  <c r="K78" i="11405"/>
  <c r="L78" i="11405"/>
  <c r="AC78" i="11405"/>
  <c r="AD78" i="11405"/>
  <c r="AE78" i="11405"/>
  <c r="AF78" i="11405"/>
  <c r="AG78" i="11405"/>
  <c r="AJ78" i="11405"/>
  <c r="AK78" i="11405"/>
  <c r="B79" i="11405"/>
  <c r="C79" i="11405"/>
  <c r="D79" i="11405"/>
  <c r="F79" i="11405"/>
  <c r="G79" i="11405"/>
  <c r="H79" i="11405"/>
  <c r="I79" i="11405"/>
  <c r="K79" i="11405"/>
  <c r="L79" i="11405"/>
  <c r="AC79" i="11405"/>
  <c r="AD79" i="11405"/>
  <c r="AE79" i="11405"/>
  <c r="AF79" i="11405"/>
  <c r="AG79" i="11405"/>
  <c r="AJ79" i="11405"/>
  <c r="AK79" i="11405"/>
  <c r="B80" i="11405"/>
  <c r="C80" i="11405"/>
  <c r="D80" i="11405"/>
  <c r="F80" i="11405"/>
  <c r="G80" i="11405"/>
  <c r="H80" i="11405"/>
  <c r="I80" i="11405"/>
  <c r="K80" i="11405"/>
  <c r="L80" i="11405"/>
  <c r="AC80" i="11405"/>
  <c r="AD80" i="11405"/>
  <c r="AE80" i="11405"/>
  <c r="AF80" i="11405"/>
  <c r="AG80" i="11405"/>
  <c r="AJ80" i="11405"/>
  <c r="AK80" i="11405"/>
  <c r="B81" i="11405"/>
  <c r="C81" i="11405"/>
  <c r="D81" i="11405"/>
  <c r="F81" i="11405"/>
  <c r="G81" i="11405"/>
  <c r="H81" i="11405"/>
  <c r="I81" i="11405"/>
  <c r="K81" i="11405"/>
  <c r="L81" i="11405"/>
  <c r="AC81" i="11405"/>
  <c r="AD81" i="11405"/>
  <c r="AE81" i="11405"/>
  <c r="AF81" i="11405"/>
  <c r="AG81" i="11405"/>
  <c r="AJ81" i="11405"/>
  <c r="AK81" i="11405"/>
  <c r="B82" i="11405"/>
  <c r="C82" i="11405"/>
  <c r="D82" i="11405"/>
  <c r="F82" i="11405"/>
  <c r="G82" i="11405"/>
  <c r="H82" i="11405"/>
  <c r="I82" i="11405"/>
  <c r="K82" i="11405"/>
  <c r="L82" i="11405"/>
  <c r="M82" i="11405"/>
  <c r="N82" i="11405"/>
  <c r="AC82" i="11405"/>
  <c r="AD82" i="11405"/>
  <c r="AE82" i="11405"/>
  <c r="AF82" i="11405"/>
  <c r="AG82" i="11405"/>
  <c r="AH82" i="11405"/>
  <c r="AJ82" i="11405"/>
  <c r="AK82" i="11405"/>
  <c r="AL82" i="11405"/>
  <c r="B83" i="11405"/>
  <c r="C83" i="11405"/>
  <c r="D83" i="11405"/>
  <c r="F83" i="11405"/>
  <c r="G83" i="11405"/>
  <c r="H83" i="11405"/>
  <c r="I83" i="11405"/>
  <c r="K83" i="11405"/>
  <c r="L83" i="11405"/>
  <c r="AC83" i="11405"/>
  <c r="AD83" i="11405"/>
  <c r="AE83" i="11405"/>
  <c r="AF83" i="11405"/>
  <c r="AG83" i="11405"/>
  <c r="AJ83" i="11405"/>
  <c r="AK83" i="11405"/>
  <c r="B84" i="11405"/>
  <c r="C84" i="11405"/>
  <c r="D84" i="11405"/>
  <c r="F84" i="11405"/>
  <c r="G84" i="11405"/>
  <c r="H84" i="11405"/>
  <c r="I84" i="11405"/>
  <c r="K84" i="11405"/>
  <c r="L84" i="11405"/>
  <c r="AC84" i="11405"/>
  <c r="AD84" i="11405"/>
  <c r="AE84" i="11405"/>
  <c r="AF84" i="11405"/>
  <c r="AG84" i="11405"/>
  <c r="AJ84" i="11405"/>
  <c r="AK84" i="11405"/>
  <c r="B85" i="11405"/>
  <c r="C85" i="11405"/>
  <c r="D85" i="11405"/>
  <c r="F85" i="11405"/>
  <c r="G85" i="11405"/>
  <c r="H85" i="11405"/>
  <c r="I85" i="11405"/>
  <c r="K85" i="11405"/>
  <c r="L85" i="11405"/>
  <c r="AC85" i="11405"/>
  <c r="AD85" i="11405"/>
  <c r="AE85" i="11405"/>
  <c r="AF85" i="11405"/>
  <c r="AG85" i="11405"/>
  <c r="AJ85" i="11405"/>
  <c r="AK85" i="11405"/>
  <c r="B86" i="11405"/>
  <c r="C86" i="11405"/>
  <c r="D86" i="11405"/>
  <c r="F86" i="11405"/>
  <c r="G86" i="11405"/>
  <c r="H86" i="11405"/>
  <c r="I86" i="11405"/>
  <c r="K86" i="11405"/>
  <c r="L86" i="11405"/>
  <c r="AC86" i="11405"/>
  <c r="AD86" i="11405"/>
  <c r="AE86" i="11405"/>
  <c r="AF86" i="11405"/>
  <c r="AG86" i="11405"/>
  <c r="AJ86" i="11405"/>
  <c r="AK86" i="11405"/>
  <c r="B87" i="11405"/>
  <c r="C87" i="11405"/>
  <c r="D87" i="11405"/>
  <c r="F87" i="11405"/>
  <c r="G87" i="11405"/>
  <c r="H87" i="11405"/>
  <c r="I87" i="11405"/>
  <c r="K87" i="11405"/>
  <c r="L87" i="11405"/>
  <c r="AC87" i="11405"/>
  <c r="AD87" i="11405"/>
  <c r="AE87" i="11405"/>
  <c r="AF87" i="11405"/>
  <c r="AG87" i="11405"/>
  <c r="AJ87" i="11405"/>
  <c r="AK87" i="11405"/>
  <c r="B88" i="11405"/>
  <c r="C88" i="11405"/>
  <c r="D88" i="11405"/>
  <c r="F88" i="11405"/>
  <c r="G88" i="11405"/>
  <c r="H88" i="11405"/>
  <c r="I88" i="11405"/>
  <c r="K88" i="11405"/>
  <c r="L88" i="11405"/>
  <c r="AC88" i="11405"/>
  <c r="AD88" i="11405"/>
  <c r="AE88" i="11405"/>
  <c r="AF88" i="11405"/>
  <c r="AG88" i="11405"/>
  <c r="AJ88" i="11405"/>
  <c r="AK88" i="11405"/>
  <c r="B89" i="11405"/>
  <c r="C89" i="11405"/>
  <c r="D89" i="11405"/>
  <c r="F89" i="11405"/>
  <c r="G89" i="11405"/>
  <c r="H89" i="11405"/>
  <c r="I89" i="11405"/>
  <c r="K89" i="11405"/>
  <c r="L89" i="11405"/>
  <c r="AC89" i="11405"/>
  <c r="AD89" i="11405"/>
  <c r="AE89" i="11405"/>
  <c r="AF89" i="11405"/>
  <c r="AG89" i="11405"/>
  <c r="AJ89" i="11405"/>
  <c r="AK89" i="11405"/>
  <c r="B90" i="11405"/>
  <c r="C90" i="11405"/>
  <c r="D90" i="11405"/>
  <c r="F90" i="11405"/>
  <c r="G90" i="11405"/>
  <c r="H90" i="11405"/>
  <c r="I90" i="11405"/>
  <c r="K90" i="11405"/>
  <c r="L90" i="11405"/>
  <c r="AC90" i="11405"/>
  <c r="AD90" i="11405"/>
  <c r="AE90" i="11405"/>
  <c r="AF90" i="11405"/>
  <c r="AG90" i="11405"/>
  <c r="AJ90" i="11405"/>
  <c r="AK90" i="11405"/>
  <c r="B91" i="11405"/>
  <c r="C91" i="11405"/>
  <c r="D91" i="11405"/>
  <c r="F91" i="11405"/>
  <c r="G91" i="11405"/>
  <c r="H91" i="11405"/>
  <c r="I91" i="11405"/>
  <c r="K91" i="11405"/>
  <c r="L91" i="11405"/>
  <c r="AC91" i="11405"/>
  <c r="AD91" i="11405"/>
  <c r="AE91" i="11405"/>
  <c r="AF91" i="11405"/>
  <c r="AG91" i="11405"/>
  <c r="AJ91" i="11405"/>
  <c r="AK91" i="11405"/>
  <c r="B92" i="11405"/>
  <c r="C92" i="11405"/>
  <c r="D92" i="11405"/>
  <c r="F92" i="11405"/>
  <c r="G92" i="11405"/>
  <c r="H92" i="11405"/>
  <c r="I92" i="11405"/>
  <c r="K92" i="11405"/>
  <c r="L92" i="11405"/>
  <c r="AC92" i="11405"/>
  <c r="AD92" i="11405"/>
  <c r="AE92" i="11405"/>
  <c r="AF92" i="11405"/>
  <c r="AG92" i="11405"/>
  <c r="AJ92" i="11405"/>
  <c r="AK92" i="11405"/>
  <c r="B93" i="11405"/>
  <c r="C93" i="11405"/>
  <c r="D93" i="11405"/>
  <c r="F93" i="11405"/>
  <c r="G93" i="11405"/>
  <c r="H93" i="11405"/>
  <c r="I93" i="11405"/>
  <c r="K93" i="11405"/>
  <c r="L93" i="11405"/>
  <c r="AC93" i="11405"/>
  <c r="AD93" i="11405"/>
  <c r="AE93" i="11405"/>
  <c r="AF93" i="11405"/>
  <c r="AG93" i="11405"/>
  <c r="AJ93" i="11405"/>
  <c r="AK93" i="11405"/>
  <c r="B94" i="11405"/>
  <c r="C94" i="11405"/>
  <c r="D94" i="11405"/>
  <c r="F94" i="11405"/>
  <c r="G94" i="11405"/>
  <c r="H94" i="11405"/>
  <c r="I94" i="11405"/>
  <c r="K94" i="11405"/>
  <c r="L94" i="11405"/>
  <c r="M94" i="11405"/>
  <c r="N94" i="11405"/>
  <c r="AC94" i="11405"/>
  <c r="AD94" i="11405"/>
  <c r="AE94" i="11405"/>
  <c r="AF94" i="11405"/>
  <c r="AG94" i="11405"/>
  <c r="AH94" i="11405"/>
  <c r="AJ94" i="11405"/>
  <c r="AK94" i="11405"/>
  <c r="AL94" i="11405"/>
  <c r="B95" i="11405"/>
  <c r="C95" i="11405"/>
  <c r="D95" i="11405"/>
  <c r="F95" i="11405"/>
  <c r="G95" i="11405"/>
  <c r="H95" i="11405"/>
  <c r="I95" i="11405"/>
  <c r="K95" i="11405"/>
  <c r="L95" i="11405"/>
  <c r="AC95" i="11405"/>
  <c r="AD95" i="11405"/>
  <c r="AE95" i="11405"/>
  <c r="AF95" i="11405"/>
  <c r="AG95" i="11405"/>
  <c r="AJ95" i="11405"/>
  <c r="AK95" i="11405"/>
  <c r="B96" i="11405"/>
  <c r="C96" i="11405"/>
  <c r="D96" i="11405"/>
  <c r="F96" i="11405"/>
  <c r="G96" i="11405"/>
  <c r="H96" i="11405"/>
  <c r="I96" i="11405"/>
  <c r="K96" i="11405"/>
  <c r="L96" i="11405"/>
  <c r="AC96" i="11405"/>
  <c r="AD96" i="11405"/>
  <c r="AE96" i="11405"/>
  <c r="AF96" i="11405"/>
  <c r="AG96" i="11405"/>
  <c r="AJ96" i="11405"/>
  <c r="AK96" i="11405"/>
  <c r="B97" i="11405"/>
  <c r="C97" i="11405"/>
  <c r="D97" i="11405"/>
  <c r="F97" i="11405"/>
  <c r="G97" i="11405"/>
  <c r="H97" i="11405"/>
  <c r="I97" i="11405"/>
  <c r="K97" i="11405"/>
  <c r="L97" i="11405"/>
  <c r="AC97" i="11405"/>
  <c r="AD97" i="11405"/>
  <c r="AE97" i="11405"/>
  <c r="AF97" i="11405"/>
  <c r="AG97" i="11405"/>
  <c r="AJ97" i="11405"/>
  <c r="AK97" i="11405"/>
  <c r="B98" i="11405"/>
  <c r="C98" i="11405"/>
  <c r="D98" i="11405"/>
  <c r="F98" i="11405"/>
  <c r="G98" i="11405"/>
  <c r="H98" i="11405"/>
  <c r="I98" i="11405"/>
  <c r="K98" i="11405"/>
  <c r="L98" i="11405"/>
  <c r="AC98" i="11405"/>
  <c r="AD98" i="11405"/>
  <c r="AE98" i="11405"/>
  <c r="AF98" i="11405"/>
  <c r="AG98" i="11405"/>
  <c r="AJ98" i="11405"/>
  <c r="AK98" i="11405"/>
  <c r="B99" i="11405"/>
  <c r="C99" i="11405"/>
  <c r="D99" i="11405"/>
  <c r="F99" i="11405"/>
  <c r="G99" i="11405"/>
  <c r="H99" i="11405"/>
  <c r="I99" i="11405"/>
  <c r="K99" i="11405"/>
  <c r="L99" i="11405"/>
  <c r="AC99" i="11405"/>
  <c r="AD99" i="11405"/>
  <c r="AE99" i="11405"/>
  <c r="AF99" i="11405"/>
  <c r="AG99" i="11405"/>
  <c r="AJ99" i="11405"/>
  <c r="AK99" i="11405"/>
  <c r="B100" i="11405"/>
  <c r="C100" i="11405"/>
  <c r="D100" i="11405"/>
  <c r="F100" i="11405"/>
  <c r="G100" i="11405"/>
  <c r="H100" i="11405"/>
  <c r="I100" i="11405"/>
  <c r="K100" i="11405"/>
  <c r="L100" i="11405"/>
  <c r="AC100" i="11405"/>
  <c r="AD100" i="11405"/>
  <c r="AE100" i="11405"/>
  <c r="AF100" i="11405"/>
  <c r="AG100" i="11405"/>
  <c r="AJ100" i="11405"/>
  <c r="AK100" i="11405"/>
  <c r="B101" i="11405"/>
  <c r="C101" i="11405"/>
  <c r="D101" i="11405"/>
  <c r="F101" i="11405"/>
  <c r="G101" i="11405"/>
  <c r="H101" i="11405"/>
  <c r="I101" i="11405"/>
  <c r="K101" i="11405"/>
  <c r="L101" i="11405"/>
  <c r="AC101" i="11405"/>
  <c r="AD101" i="11405"/>
  <c r="AE101" i="11405"/>
  <c r="AF101" i="11405"/>
  <c r="AG101" i="11405"/>
  <c r="AJ101" i="11405"/>
  <c r="AK101" i="11405"/>
  <c r="B102" i="11405"/>
  <c r="C102" i="11405"/>
  <c r="D102" i="11405"/>
  <c r="F102" i="11405"/>
  <c r="G102" i="11405"/>
  <c r="H102" i="11405"/>
  <c r="I102" i="11405"/>
  <c r="K102" i="11405"/>
  <c r="L102" i="11405"/>
  <c r="AC102" i="11405"/>
  <c r="AD102" i="11405"/>
  <c r="AE102" i="11405"/>
  <c r="AF102" i="11405"/>
  <c r="AG102" i="11405"/>
  <c r="AJ102" i="11405"/>
  <c r="AK102" i="11405"/>
  <c r="B103" i="11405"/>
  <c r="C103" i="11405"/>
  <c r="D103" i="11405"/>
  <c r="F103" i="11405"/>
  <c r="G103" i="11405"/>
  <c r="H103" i="11405"/>
  <c r="I103" i="11405"/>
  <c r="K103" i="11405"/>
  <c r="L103" i="11405"/>
  <c r="AC103" i="11405"/>
  <c r="AD103" i="11405"/>
  <c r="AE103" i="11405"/>
  <c r="AF103" i="11405"/>
  <c r="AG103" i="11405"/>
  <c r="AJ103" i="11405"/>
  <c r="AK103" i="11405"/>
  <c r="B104" i="11405"/>
  <c r="C104" i="11405"/>
  <c r="D104" i="11405"/>
  <c r="F104" i="11405"/>
  <c r="G104" i="11405"/>
  <c r="H104" i="11405"/>
  <c r="I104" i="11405"/>
  <c r="K104" i="11405"/>
  <c r="L104" i="11405"/>
  <c r="AC104" i="11405"/>
  <c r="AD104" i="11405"/>
  <c r="AE104" i="11405"/>
  <c r="AF104" i="11405"/>
  <c r="AG104" i="11405"/>
  <c r="AJ104" i="11405"/>
  <c r="AK104" i="11405"/>
  <c r="B105" i="11405"/>
  <c r="C105" i="11405"/>
  <c r="D105" i="11405"/>
  <c r="F105" i="11405"/>
  <c r="G105" i="11405"/>
  <c r="H105" i="11405"/>
  <c r="I105" i="11405"/>
  <c r="K105" i="11405"/>
  <c r="L105" i="11405"/>
  <c r="AC105" i="11405"/>
  <c r="AD105" i="11405"/>
  <c r="AE105" i="11405"/>
  <c r="AF105" i="11405"/>
  <c r="AG105" i="11405"/>
  <c r="AJ105" i="11405"/>
  <c r="AK105" i="11405"/>
  <c r="B106" i="11405"/>
  <c r="C106" i="11405"/>
  <c r="D106" i="11405"/>
  <c r="F106" i="11405"/>
  <c r="G106" i="11405"/>
  <c r="H106" i="11405"/>
  <c r="I106" i="11405"/>
  <c r="K106" i="11405"/>
  <c r="L106" i="11405"/>
  <c r="M106" i="11405"/>
  <c r="N106" i="11405"/>
  <c r="AC106" i="11405"/>
  <c r="AD106" i="11405"/>
  <c r="AE106" i="11405"/>
  <c r="AF106" i="11405"/>
  <c r="AG106" i="11405"/>
  <c r="AH106" i="11405"/>
  <c r="AJ106" i="11405"/>
  <c r="AK106" i="11405"/>
  <c r="AL106" i="11405"/>
  <c r="B107" i="11405"/>
  <c r="C107" i="11405"/>
  <c r="D107" i="11405"/>
  <c r="F107" i="11405"/>
  <c r="G107" i="11405"/>
  <c r="H107" i="11405"/>
  <c r="I107" i="11405"/>
  <c r="K107" i="11405"/>
  <c r="L107" i="11405"/>
  <c r="AC107" i="11405"/>
  <c r="AD107" i="11405"/>
  <c r="AE107" i="11405"/>
  <c r="AF107" i="11405"/>
  <c r="AG107" i="11405"/>
  <c r="AJ107" i="11405"/>
  <c r="AK107" i="11405"/>
  <c r="B108" i="11405"/>
  <c r="C108" i="11405"/>
  <c r="D108" i="11405"/>
  <c r="F108" i="11405"/>
  <c r="G108" i="11405"/>
  <c r="H108" i="11405"/>
  <c r="I108" i="11405"/>
  <c r="K108" i="11405"/>
  <c r="L108" i="11405"/>
  <c r="AC108" i="11405"/>
  <c r="AD108" i="11405"/>
  <c r="AE108" i="11405"/>
  <c r="AF108" i="11405"/>
  <c r="AG108" i="11405"/>
  <c r="AJ108" i="11405"/>
  <c r="AK108" i="11405"/>
  <c r="B109" i="11405"/>
  <c r="C109" i="11405"/>
  <c r="D109" i="11405"/>
  <c r="F109" i="11405"/>
  <c r="G109" i="11405"/>
  <c r="H109" i="11405"/>
  <c r="I109" i="11405"/>
  <c r="K109" i="11405"/>
  <c r="L109" i="11405"/>
  <c r="AC109" i="11405"/>
  <c r="AD109" i="11405"/>
  <c r="AE109" i="11405"/>
  <c r="AF109" i="11405"/>
  <c r="AG109" i="11405"/>
  <c r="AJ109" i="11405"/>
  <c r="AK109" i="11405"/>
  <c r="B110" i="11405"/>
  <c r="C110" i="11405"/>
  <c r="D110" i="11405"/>
  <c r="F110" i="11405"/>
  <c r="G110" i="11405"/>
  <c r="H110" i="11405"/>
  <c r="I110" i="11405"/>
  <c r="K110" i="11405"/>
  <c r="L110" i="11405"/>
  <c r="AC110" i="11405"/>
  <c r="AD110" i="11405"/>
  <c r="AE110" i="11405"/>
  <c r="AF110" i="11405"/>
  <c r="AG110" i="11405"/>
  <c r="AJ110" i="11405"/>
  <c r="AK110" i="11405"/>
  <c r="B111" i="11405"/>
  <c r="C111" i="11405"/>
  <c r="D111" i="11405"/>
  <c r="F111" i="11405"/>
  <c r="G111" i="11405"/>
  <c r="H111" i="11405"/>
  <c r="I111" i="11405"/>
  <c r="K111" i="11405"/>
  <c r="L111" i="11405"/>
  <c r="AC111" i="11405"/>
  <c r="AD111" i="11405"/>
  <c r="AE111" i="11405"/>
  <c r="AF111" i="11405"/>
  <c r="AG111" i="11405"/>
  <c r="AJ111" i="11405"/>
  <c r="AK111" i="11405"/>
  <c r="B112" i="11405"/>
  <c r="C112" i="11405"/>
  <c r="D112" i="11405"/>
  <c r="F112" i="11405"/>
  <c r="G112" i="11405"/>
  <c r="H112" i="11405"/>
  <c r="I112" i="11405"/>
  <c r="K112" i="11405"/>
  <c r="L112" i="11405"/>
  <c r="AC112" i="11405"/>
  <c r="AD112" i="11405"/>
  <c r="AE112" i="11405"/>
  <c r="AF112" i="11405"/>
  <c r="AG112" i="11405"/>
  <c r="AJ112" i="11405"/>
  <c r="AK112" i="11405"/>
  <c r="B113" i="11405"/>
  <c r="C113" i="11405"/>
  <c r="D113" i="11405"/>
  <c r="F113" i="11405"/>
  <c r="G113" i="11405"/>
  <c r="H113" i="11405"/>
  <c r="I113" i="11405"/>
  <c r="K113" i="11405"/>
  <c r="L113" i="11405"/>
  <c r="AC113" i="11405"/>
  <c r="AD113" i="11405"/>
  <c r="AE113" i="11405"/>
  <c r="AF113" i="11405"/>
  <c r="AG113" i="11405"/>
  <c r="AJ113" i="11405"/>
  <c r="AK113" i="11405"/>
  <c r="B114" i="11405"/>
  <c r="C114" i="11405"/>
  <c r="D114" i="11405"/>
  <c r="F114" i="11405"/>
  <c r="G114" i="11405"/>
  <c r="H114" i="11405"/>
  <c r="I114" i="11405"/>
  <c r="K114" i="11405"/>
  <c r="L114" i="11405"/>
  <c r="AC114" i="11405"/>
  <c r="AD114" i="11405"/>
  <c r="AE114" i="11405"/>
  <c r="AF114" i="11405"/>
  <c r="AG114" i="11405"/>
  <c r="AJ114" i="11405"/>
  <c r="AK114" i="11405"/>
  <c r="B115" i="11405"/>
  <c r="C115" i="11405"/>
  <c r="D115" i="11405"/>
  <c r="F115" i="11405"/>
  <c r="G115" i="11405"/>
  <c r="H115" i="11405"/>
  <c r="I115" i="11405"/>
  <c r="K115" i="11405"/>
  <c r="L115" i="11405"/>
  <c r="AC115" i="11405"/>
  <c r="AD115" i="11405"/>
  <c r="AE115" i="11405"/>
  <c r="AF115" i="11405"/>
  <c r="AG115" i="11405"/>
  <c r="AJ115" i="11405"/>
  <c r="AK115" i="11405"/>
  <c r="B116" i="11405"/>
  <c r="C116" i="11405"/>
  <c r="D116" i="11405"/>
  <c r="F116" i="11405"/>
  <c r="G116" i="11405"/>
  <c r="H116" i="11405"/>
  <c r="I116" i="11405"/>
  <c r="K116" i="11405"/>
  <c r="L116" i="11405"/>
  <c r="AC116" i="11405"/>
  <c r="AD116" i="11405"/>
  <c r="AE116" i="11405"/>
  <c r="AF116" i="11405"/>
  <c r="AG116" i="11405"/>
  <c r="AJ116" i="11405"/>
  <c r="AK116" i="11405"/>
  <c r="B117" i="11405"/>
  <c r="C117" i="11405"/>
  <c r="D117" i="11405"/>
  <c r="F117" i="11405"/>
  <c r="G117" i="11405"/>
  <c r="H117" i="11405"/>
  <c r="I117" i="11405"/>
  <c r="K117" i="11405"/>
  <c r="L117" i="11405"/>
  <c r="AC117" i="11405"/>
  <c r="AD117" i="11405"/>
  <c r="AE117" i="11405"/>
  <c r="AF117" i="11405"/>
  <c r="AG117" i="11405"/>
  <c r="AJ117" i="11405"/>
  <c r="AK117" i="11405"/>
  <c r="B118" i="11405"/>
  <c r="C118" i="11405"/>
  <c r="D118" i="11405"/>
  <c r="F118" i="11405"/>
  <c r="G118" i="11405"/>
  <c r="H118" i="11405"/>
  <c r="I118" i="11405"/>
  <c r="K118" i="11405"/>
  <c r="L118" i="11405"/>
  <c r="M118" i="11405"/>
  <c r="N118" i="11405"/>
  <c r="AC118" i="11405"/>
  <c r="AD118" i="11405"/>
  <c r="AE118" i="11405"/>
  <c r="AF118" i="11405"/>
  <c r="AG118" i="11405"/>
  <c r="AH118" i="11405"/>
  <c r="AJ118" i="11405"/>
  <c r="AK118" i="11405"/>
  <c r="AL118" i="11405"/>
  <c r="B119" i="11405"/>
  <c r="C119" i="11405"/>
  <c r="D119" i="11405"/>
  <c r="F119" i="11405"/>
  <c r="G119" i="11405"/>
  <c r="H119" i="11405"/>
  <c r="I119" i="11405"/>
  <c r="K119" i="11405"/>
  <c r="L119" i="11405"/>
  <c r="AC119" i="11405"/>
  <c r="AD119" i="11405"/>
  <c r="AE119" i="11405"/>
  <c r="AF119" i="11405"/>
  <c r="AG119" i="11405"/>
  <c r="AJ119" i="11405"/>
  <c r="AK119" i="11405"/>
  <c r="B120" i="11405"/>
  <c r="C120" i="11405"/>
  <c r="D120" i="11405"/>
  <c r="F120" i="11405"/>
  <c r="G120" i="11405"/>
  <c r="H120" i="11405"/>
  <c r="I120" i="11405"/>
  <c r="K120" i="11405"/>
  <c r="L120" i="11405"/>
  <c r="AC120" i="11405"/>
  <c r="AD120" i="11405"/>
  <c r="AE120" i="11405"/>
  <c r="AF120" i="11405"/>
  <c r="AG120" i="11405"/>
  <c r="AJ120" i="11405"/>
  <c r="AK120" i="11405"/>
  <c r="B121" i="11405"/>
  <c r="C121" i="11405"/>
  <c r="D121" i="11405"/>
  <c r="F121" i="11405"/>
  <c r="G121" i="11405"/>
  <c r="H121" i="11405"/>
  <c r="I121" i="11405"/>
  <c r="K121" i="11405"/>
  <c r="L121" i="11405"/>
  <c r="AC121" i="11405"/>
  <c r="AD121" i="11405"/>
  <c r="AE121" i="11405"/>
  <c r="AF121" i="11405"/>
  <c r="AG121" i="11405"/>
  <c r="AJ121" i="11405"/>
  <c r="AK121" i="11405"/>
  <c r="B122" i="11405"/>
  <c r="C122" i="11405"/>
  <c r="D122" i="11405"/>
  <c r="F122" i="11405"/>
  <c r="G122" i="11405"/>
  <c r="H122" i="11405"/>
  <c r="I122" i="11405"/>
  <c r="K122" i="11405"/>
  <c r="L122" i="11405"/>
  <c r="AC122" i="11405"/>
  <c r="AD122" i="11405"/>
  <c r="AE122" i="11405"/>
  <c r="AF122" i="11405"/>
  <c r="AG122" i="11405"/>
  <c r="AJ122" i="11405"/>
  <c r="AK122" i="11405"/>
  <c r="B123" i="11405"/>
  <c r="C123" i="11405"/>
  <c r="D123" i="11405"/>
  <c r="F123" i="11405"/>
  <c r="G123" i="11405"/>
  <c r="H123" i="11405"/>
  <c r="I123" i="11405"/>
  <c r="K123" i="11405"/>
  <c r="L123" i="11405"/>
  <c r="AC123" i="11405"/>
  <c r="AD123" i="11405"/>
  <c r="AE123" i="11405"/>
  <c r="AF123" i="11405"/>
  <c r="AG123" i="11405"/>
  <c r="AJ123" i="11405"/>
  <c r="AK123" i="11405"/>
  <c r="B124" i="11405"/>
  <c r="C124" i="11405"/>
  <c r="D124" i="11405"/>
  <c r="F124" i="11405"/>
  <c r="G124" i="11405"/>
  <c r="H124" i="11405"/>
  <c r="I124" i="11405"/>
  <c r="K124" i="11405"/>
  <c r="L124" i="11405"/>
  <c r="AC124" i="11405"/>
  <c r="AD124" i="11405"/>
  <c r="AE124" i="11405"/>
  <c r="AF124" i="11405"/>
  <c r="AG124" i="11405"/>
  <c r="AJ124" i="11405"/>
  <c r="AK124" i="11405"/>
  <c r="B125" i="11405"/>
  <c r="C125" i="11405"/>
  <c r="D125" i="11405"/>
  <c r="F125" i="11405"/>
  <c r="G125" i="11405"/>
  <c r="H125" i="11405"/>
  <c r="I125" i="11405"/>
  <c r="K125" i="11405"/>
  <c r="L125" i="11405"/>
  <c r="AC125" i="11405"/>
  <c r="AD125" i="11405"/>
  <c r="AE125" i="11405"/>
  <c r="AF125" i="11405"/>
  <c r="AG125" i="11405"/>
  <c r="AJ125" i="11405"/>
  <c r="AK125" i="11405"/>
  <c r="B126" i="11405"/>
  <c r="C126" i="11405"/>
  <c r="D126" i="11405"/>
  <c r="F126" i="11405"/>
  <c r="G126" i="11405"/>
  <c r="H126" i="11405"/>
  <c r="I126" i="11405"/>
  <c r="K126" i="11405"/>
  <c r="L126" i="11405"/>
  <c r="AC126" i="11405"/>
  <c r="AD126" i="11405"/>
  <c r="AE126" i="11405"/>
  <c r="AF126" i="11405"/>
  <c r="AG126" i="11405"/>
  <c r="AJ126" i="11405"/>
  <c r="AK126" i="11405"/>
  <c r="B127" i="11405"/>
  <c r="C127" i="11405"/>
  <c r="D127" i="11405"/>
  <c r="F127" i="11405"/>
  <c r="G127" i="11405"/>
  <c r="H127" i="11405"/>
  <c r="I127" i="11405"/>
  <c r="K127" i="11405"/>
  <c r="L127" i="11405"/>
  <c r="AC127" i="11405"/>
  <c r="AD127" i="11405"/>
  <c r="AE127" i="11405"/>
  <c r="AF127" i="11405"/>
  <c r="AG127" i="11405"/>
  <c r="AJ127" i="11405"/>
  <c r="AK127" i="11405"/>
  <c r="B128" i="11405"/>
  <c r="C128" i="11405"/>
  <c r="D128" i="11405"/>
  <c r="F128" i="11405"/>
  <c r="G128" i="11405"/>
  <c r="H128" i="11405"/>
  <c r="I128" i="11405"/>
  <c r="K128" i="11405"/>
  <c r="L128" i="11405"/>
  <c r="AC128" i="11405"/>
  <c r="AD128" i="11405"/>
  <c r="AE128" i="11405"/>
  <c r="AF128" i="11405"/>
  <c r="AG128" i="11405"/>
  <c r="AJ128" i="11405"/>
  <c r="AK128" i="11405"/>
  <c r="B129" i="11405"/>
  <c r="C129" i="11405"/>
  <c r="D129" i="11405"/>
  <c r="F129" i="11405"/>
  <c r="G129" i="11405"/>
  <c r="H129" i="11405"/>
  <c r="I129" i="11405"/>
  <c r="K129" i="11405"/>
  <c r="L129" i="11405"/>
  <c r="AC129" i="11405"/>
  <c r="AD129" i="11405"/>
  <c r="AE129" i="11405"/>
  <c r="AF129" i="11405"/>
  <c r="AG129" i="11405"/>
  <c r="AJ129" i="11405"/>
  <c r="AK129" i="11405"/>
  <c r="B130" i="11405"/>
  <c r="C130" i="11405"/>
  <c r="D130" i="11405"/>
  <c r="F130" i="11405"/>
  <c r="G130" i="11405"/>
  <c r="H130" i="11405"/>
  <c r="I130" i="11405"/>
  <c r="K130" i="11405"/>
  <c r="L130" i="11405"/>
  <c r="M130" i="11405"/>
  <c r="N130" i="11405"/>
  <c r="AC130" i="11405"/>
  <c r="AD130" i="11405"/>
  <c r="AE130" i="11405"/>
  <c r="AF130" i="11405"/>
  <c r="AG130" i="11405"/>
  <c r="AH130" i="11405"/>
  <c r="AJ130" i="11405"/>
  <c r="AK130" i="11405"/>
  <c r="AL130" i="11405"/>
  <c r="B131" i="11405"/>
  <c r="C131" i="11405"/>
  <c r="D131" i="11405"/>
  <c r="F131" i="11405"/>
  <c r="G131" i="11405"/>
  <c r="H131" i="11405"/>
  <c r="I131" i="11405"/>
  <c r="K131" i="11405"/>
  <c r="L131" i="11405"/>
  <c r="AC131" i="11405"/>
  <c r="AD131" i="11405"/>
  <c r="AE131" i="11405"/>
  <c r="AF131" i="11405"/>
  <c r="AG131" i="11405"/>
  <c r="AJ131" i="11405"/>
  <c r="AK131" i="11405"/>
  <c r="B132" i="11405"/>
  <c r="C132" i="11405"/>
  <c r="D132" i="11405"/>
  <c r="F132" i="11405"/>
  <c r="G132" i="11405"/>
  <c r="H132" i="11405"/>
  <c r="I132" i="11405"/>
  <c r="K132" i="11405"/>
  <c r="L132" i="11405"/>
  <c r="AC132" i="11405"/>
  <c r="AD132" i="11405"/>
  <c r="AE132" i="11405"/>
  <c r="AF132" i="11405"/>
  <c r="AG132" i="11405"/>
  <c r="AJ132" i="11405"/>
  <c r="AK132" i="11405"/>
  <c r="B133" i="11405"/>
  <c r="C133" i="11405"/>
  <c r="D133" i="11405"/>
  <c r="F133" i="11405"/>
  <c r="G133" i="11405"/>
  <c r="H133" i="11405"/>
  <c r="I133" i="11405"/>
  <c r="K133" i="11405"/>
  <c r="L133" i="11405"/>
  <c r="AC133" i="11405"/>
  <c r="AD133" i="11405"/>
  <c r="AE133" i="11405"/>
  <c r="AF133" i="11405"/>
  <c r="AG133" i="11405"/>
  <c r="AJ133" i="11405"/>
  <c r="AK133" i="11405"/>
  <c r="B134" i="11405"/>
  <c r="C134" i="11405"/>
  <c r="D134" i="11405"/>
  <c r="F134" i="11405"/>
  <c r="G134" i="11405"/>
  <c r="H134" i="11405"/>
  <c r="I134" i="11405"/>
  <c r="K134" i="11405"/>
  <c r="L134" i="11405"/>
  <c r="AC134" i="11405"/>
  <c r="AD134" i="11405"/>
  <c r="AE134" i="11405"/>
  <c r="AF134" i="11405"/>
  <c r="AG134" i="11405"/>
  <c r="AJ134" i="11405"/>
  <c r="AK134" i="11405"/>
  <c r="B135" i="11405"/>
  <c r="C135" i="11405"/>
  <c r="D135" i="11405"/>
  <c r="F135" i="11405"/>
  <c r="G135" i="11405"/>
  <c r="H135" i="11405"/>
  <c r="I135" i="11405"/>
  <c r="K135" i="11405"/>
  <c r="L135" i="11405"/>
  <c r="AC135" i="11405"/>
  <c r="AD135" i="11405"/>
  <c r="AE135" i="11405"/>
  <c r="AF135" i="11405"/>
  <c r="AG135" i="11405"/>
  <c r="AJ135" i="11405"/>
  <c r="AK135" i="11405"/>
  <c r="B136" i="11405"/>
  <c r="C136" i="11405"/>
  <c r="D136" i="11405"/>
  <c r="F136" i="11405"/>
  <c r="G136" i="11405"/>
  <c r="H136" i="11405"/>
  <c r="I136" i="11405"/>
  <c r="K136" i="11405"/>
  <c r="L136" i="11405"/>
  <c r="AC136" i="11405"/>
  <c r="AD136" i="11405"/>
  <c r="AE136" i="11405"/>
  <c r="AF136" i="11405"/>
  <c r="AG136" i="11405"/>
  <c r="AJ136" i="11405"/>
  <c r="AK136" i="11405"/>
  <c r="B137" i="11405"/>
  <c r="C137" i="11405"/>
  <c r="D137" i="11405"/>
  <c r="F137" i="11405"/>
  <c r="G137" i="11405"/>
  <c r="H137" i="11405"/>
  <c r="I137" i="11405"/>
  <c r="K137" i="11405"/>
  <c r="L137" i="11405"/>
  <c r="AC137" i="11405"/>
  <c r="AD137" i="11405"/>
  <c r="AE137" i="11405"/>
  <c r="AF137" i="11405"/>
  <c r="AG137" i="11405"/>
  <c r="AJ137" i="11405"/>
  <c r="AK137" i="11405"/>
  <c r="B138" i="11405"/>
  <c r="C138" i="11405"/>
  <c r="D138" i="11405"/>
  <c r="F138" i="11405"/>
  <c r="G138" i="11405"/>
  <c r="H138" i="11405"/>
  <c r="I138" i="11405"/>
  <c r="K138" i="11405"/>
  <c r="L138" i="11405"/>
  <c r="AC138" i="11405"/>
  <c r="AD138" i="11405"/>
  <c r="AE138" i="11405"/>
  <c r="AF138" i="11405"/>
  <c r="AG138" i="11405"/>
  <c r="AJ138" i="11405"/>
  <c r="AK138" i="11405"/>
  <c r="B139" i="11405"/>
  <c r="C139" i="11405"/>
  <c r="D139" i="11405"/>
  <c r="F139" i="11405"/>
  <c r="G139" i="11405"/>
  <c r="H139" i="11405"/>
  <c r="I139" i="11405"/>
  <c r="K139" i="11405"/>
  <c r="L139" i="11405"/>
  <c r="AC139" i="11405"/>
  <c r="AD139" i="11405"/>
  <c r="AE139" i="11405"/>
  <c r="AF139" i="11405"/>
  <c r="AG139" i="11405"/>
  <c r="AJ139" i="11405"/>
  <c r="AK139" i="11405"/>
  <c r="B140" i="11405"/>
  <c r="C140" i="11405"/>
  <c r="D140" i="11405"/>
  <c r="F140" i="11405"/>
  <c r="G140" i="11405"/>
  <c r="H140" i="11405"/>
  <c r="I140" i="11405"/>
  <c r="K140" i="11405"/>
  <c r="L140" i="11405"/>
  <c r="AC140" i="11405"/>
  <c r="AD140" i="11405"/>
  <c r="AE140" i="11405"/>
  <c r="AF140" i="11405"/>
  <c r="AG140" i="11405"/>
  <c r="AJ140" i="11405"/>
  <c r="AK140" i="11405"/>
  <c r="B141" i="11405"/>
  <c r="C141" i="11405"/>
  <c r="D141" i="11405"/>
  <c r="F141" i="11405"/>
  <c r="G141" i="11405"/>
  <c r="H141" i="11405"/>
  <c r="I141" i="11405"/>
  <c r="K141" i="11405"/>
  <c r="L141" i="11405"/>
  <c r="AC141" i="11405"/>
  <c r="AD141" i="11405"/>
  <c r="AE141" i="11405"/>
  <c r="AF141" i="11405"/>
  <c r="AG141" i="11405"/>
  <c r="AJ141" i="11405"/>
  <c r="AK141" i="11405"/>
  <c r="B142" i="11405"/>
  <c r="C142" i="11405"/>
  <c r="D142" i="11405"/>
  <c r="F142" i="11405"/>
  <c r="G142" i="11405"/>
  <c r="H142" i="11405"/>
  <c r="I142" i="11405"/>
  <c r="K142" i="11405"/>
  <c r="L142" i="11405"/>
  <c r="M142" i="11405"/>
  <c r="N142" i="11405"/>
  <c r="AC142" i="11405"/>
  <c r="AD142" i="11405"/>
  <c r="AE142" i="11405"/>
  <c r="AF142" i="11405"/>
  <c r="AG142" i="11405"/>
  <c r="AH142" i="11405"/>
  <c r="AJ142" i="11405"/>
  <c r="AK142" i="11405"/>
  <c r="AL142" i="11405"/>
  <c r="B143" i="11405"/>
  <c r="C143" i="11405"/>
  <c r="D143" i="11405"/>
  <c r="F143" i="11405"/>
  <c r="G143" i="11405"/>
  <c r="H143" i="11405"/>
  <c r="I143" i="11405"/>
  <c r="K143" i="11405"/>
  <c r="L143" i="11405"/>
  <c r="AC143" i="11405"/>
  <c r="AD143" i="11405"/>
  <c r="AE143" i="11405"/>
  <c r="AF143" i="11405"/>
  <c r="AG143" i="11405"/>
  <c r="AJ143" i="11405"/>
  <c r="AK143" i="11405"/>
  <c r="B144" i="11405"/>
  <c r="C144" i="11405"/>
  <c r="D144" i="11405"/>
  <c r="F144" i="11405"/>
  <c r="G144" i="11405"/>
  <c r="H144" i="11405"/>
  <c r="I144" i="11405"/>
  <c r="K144" i="11405"/>
  <c r="L144" i="11405"/>
  <c r="AC144" i="11405"/>
  <c r="AD144" i="11405"/>
  <c r="AE144" i="11405"/>
  <c r="AF144" i="11405"/>
  <c r="AG144" i="11405"/>
  <c r="AJ144" i="11405"/>
  <c r="AK144" i="11405"/>
  <c r="B145" i="11405"/>
  <c r="C145" i="11405"/>
  <c r="D145" i="11405"/>
  <c r="F145" i="11405"/>
  <c r="G145" i="11405"/>
  <c r="H145" i="11405"/>
  <c r="I145" i="11405"/>
  <c r="K145" i="11405"/>
  <c r="L145" i="11405"/>
  <c r="AC145" i="11405"/>
  <c r="AD145" i="11405"/>
  <c r="AE145" i="11405"/>
  <c r="AF145" i="11405"/>
  <c r="AG145" i="11405"/>
  <c r="AJ145" i="11405"/>
  <c r="AK145" i="11405"/>
  <c r="B146" i="11405"/>
  <c r="C146" i="11405"/>
  <c r="D146" i="11405"/>
  <c r="F146" i="11405"/>
  <c r="G146" i="11405"/>
  <c r="H146" i="11405"/>
  <c r="I146" i="11405"/>
  <c r="K146" i="11405"/>
  <c r="L146" i="11405"/>
  <c r="AC146" i="11405"/>
  <c r="AD146" i="11405"/>
  <c r="AE146" i="11405"/>
  <c r="AF146" i="11405"/>
  <c r="AG146" i="11405"/>
  <c r="AJ146" i="11405"/>
  <c r="AK146" i="11405"/>
  <c r="B147" i="11405"/>
  <c r="C147" i="11405"/>
  <c r="D147" i="11405"/>
  <c r="F147" i="11405"/>
  <c r="G147" i="11405"/>
  <c r="H147" i="11405"/>
  <c r="I147" i="11405"/>
  <c r="K147" i="11405"/>
  <c r="L147" i="11405"/>
  <c r="AC147" i="11405"/>
  <c r="AD147" i="11405"/>
  <c r="AE147" i="11405"/>
  <c r="AF147" i="11405"/>
  <c r="AG147" i="11405"/>
  <c r="AJ147" i="11405"/>
  <c r="AK147" i="11405"/>
  <c r="B148" i="11405"/>
  <c r="C148" i="11405"/>
  <c r="D148" i="11405"/>
  <c r="F148" i="11405"/>
  <c r="G148" i="11405"/>
  <c r="H148" i="11405"/>
  <c r="I148" i="11405"/>
  <c r="K148" i="11405"/>
  <c r="L148" i="11405"/>
  <c r="AC148" i="11405"/>
  <c r="AD148" i="11405"/>
  <c r="AE148" i="11405"/>
  <c r="AF148" i="11405"/>
  <c r="AG148" i="11405"/>
  <c r="AJ148" i="11405"/>
  <c r="AK148" i="11405"/>
  <c r="B149" i="11405"/>
  <c r="C149" i="11405"/>
  <c r="D149" i="11405"/>
  <c r="F149" i="11405"/>
  <c r="G149" i="11405"/>
  <c r="H149" i="11405"/>
  <c r="I149" i="11405"/>
  <c r="K149" i="11405"/>
  <c r="L149" i="11405"/>
  <c r="AC149" i="11405"/>
  <c r="AD149" i="11405"/>
  <c r="AE149" i="11405"/>
  <c r="AF149" i="11405"/>
  <c r="AG149" i="11405"/>
  <c r="AJ149" i="11405"/>
  <c r="AK149" i="11405"/>
  <c r="B150" i="11405"/>
  <c r="C150" i="11405"/>
  <c r="D150" i="11405"/>
  <c r="F150" i="11405"/>
  <c r="G150" i="11405"/>
  <c r="H150" i="11405"/>
  <c r="I150" i="11405"/>
  <c r="K150" i="11405"/>
  <c r="L150" i="11405"/>
  <c r="AC150" i="11405"/>
  <c r="AD150" i="11405"/>
  <c r="AE150" i="11405"/>
  <c r="AF150" i="11405"/>
  <c r="AG150" i="11405"/>
  <c r="AJ150" i="11405"/>
  <c r="AK150" i="11405"/>
  <c r="B151" i="11405"/>
  <c r="C151" i="11405"/>
  <c r="D151" i="11405"/>
  <c r="F151" i="11405"/>
  <c r="G151" i="11405"/>
  <c r="H151" i="11405"/>
  <c r="I151" i="11405"/>
  <c r="K151" i="11405"/>
  <c r="L151" i="11405"/>
  <c r="AC151" i="11405"/>
  <c r="AD151" i="11405"/>
  <c r="AE151" i="11405"/>
  <c r="AF151" i="11405"/>
  <c r="AG151" i="11405"/>
  <c r="AJ151" i="11405"/>
  <c r="AK151" i="11405"/>
  <c r="B152" i="11405"/>
  <c r="C152" i="11405"/>
  <c r="D152" i="11405"/>
  <c r="F152" i="11405"/>
  <c r="G152" i="11405"/>
  <c r="H152" i="11405"/>
  <c r="I152" i="11405"/>
  <c r="K152" i="11405"/>
  <c r="L152" i="11405"/>
  <c r="AC152" i="11405"/>
  <c r="AD152" i="11405"/>
  <c r="AE152" i="11405"/>
  <c r="AF152" i="11405"/>
  <c r="AG152" i="11405"/>
  <c r="AJ152" i="11405"/>
  <c r="AK152" i="11405"/>
  <c r="B153" i="11405"/>
  <c r="C153" i="11405"/>
  <c r="D153" i="11405"/>
  <c r="F153" i="11405"/>
  <c r="G153" i="11405"/>
  <c r="H153" i="11405"/>
  <c r="I153" i="11405"/>
  <c r="K153" i="11405"/>
  <c r="L153" i="11405"/>
  <c r="AC153" i="11405"/>
  <c r="AD153" i="11405"/>
  <c r="AE153" i="11405"/>
  <c r="AF153" i="11405"/>
  <c r="AG153" i="11405"/>
  <c r="AJ153" i="11405"/>
  <c r="AK153" i="11405"/>
  <c r="B154" i="11405"/>
  <c r="C154" i="11405"/>
  <c r="D154" i="11405"/>
  <c r="F154" i="11405"/>
  <c r="G154" i="11405"/>
  <c r="H154" i="11405"/>
  <c r="I154" i="11405"/>
  <c r="K154" i="11405"/>
  <c r="L154" i="11405"/>
  <c r="M154" i="11405"/>
  <c r="N154" i="11405"/>
  <c r="AC154" i="11405"/>
  <c r="AD154" i="11405"/>
  <c r="AE154" i="11405"/>
  <c r="AF154" i="11405"/>
  <c r="AG154" i="11405"/>
  <c r="AH154" i="11405"/>
  <c r="AJ154" i="11405"/>
  <c r="AK154" i="11405"/>
  <c r="AL154" i="11405"/>
  <c r="B155" i="11405"/>
  <c r="C155" i="11405"/>
  <c r="D155" i="11405"/>
  <c r="F155" i="11405"/>
  <c r="G155" i="11405"/>
  <c r="H155" i="11405"/>
  <c r="I155" i="11405"/>
  <c r="K155" i="11405"/>
  <c r="L155" i="11405"/>
  <c r="AC155" i="11405"/>
  <c r="AD155" i="11405"/>
  <c r="AE155" i="11405"/>
  <c r="AF155" i="11405"/>
  <c r="AG155" i="11405"/>
  <c r="AJ155" i="11405"/>
  <c r="AK155" i="11405"/>
  <c r="B156" i="11405"/>
  <c r="C156" i="11405"/>
  <c r="D156" i="11405"/>
  <c r="F156" i="11405"/>
  <c r="G156" i="11405"/>
  <c r="H156" i="11405"/>
  <c r="I156" i="11405"/>
  <c r="K156" i="11405"/>
  <c r="L156" i="11405"/>
  <c r="AC156" i="11405"/>
  <c r="AD156" i="11405"/>
  <c r="AE156" i="11405"/>
  <c r="AF156" i="11405"/>
  <c r="AG156" i="11405"/>
  <c r="AJ156" i="11405"/>
  <c r="AK156" i="11405"/>
  <c r="B157" i="11405"/>
  <c r="C157" i="11405"/>
  <c r="D157" i="11405"/>
  <c r="F157" i="11405"/>
  <c r="G157" i="11405"/>
  <c r="H157" i="11405"/>
  <c r="I157" i="11405"/>
  <c r="K157" i="11405"/>
  <c r="L157" i="11405"/>
  <c r="AC157" i="11405"/>
  <c r="AD157" i="11405"/>
  <c r="AE157" i="11405"/>
  <c r="AF157" i="11405"/>
  <c r="AG157" i="11405"/>
  <c r="AJ157" i="11405"/>
  <c r="AK157" i="11405"/>
  <c r="B158" i="11405"/>
  <c r="C158" i="11405"/>
  <c r="D158" i="11405"/>
  <c r="F158" i="11405"/>
  <c r="G158" i="11405"/>
  <c r="H158" i="11405"/>
  <c r="I158" i="11405"/>
  <c r="K158" i="11405"/>
  <c r="L158" i="11405"/>
  <c r="AC158" i="11405"/>
  <c r="AD158" i="11405"/>
  <c r="AE158" i="11405"/>
  <c r="AF158" i="11405"/>
  <c r="AG158" i="11405"/>
  <c r="AJ158" i="11405"/>
  <c r="AK158" i="11405"/>
  <c r="B159" i="11405"/>
  <c r="C159" i="11405"/>
  <c r="D159" i="11405"/>
  <c r="F159" i="11405"/>
  <c r="G159" i="11405"/>
  <c r="H159" i="11405"/>
  <c r="I159" i="11405"/>
  <c r="K159" i="11405"/>
  <c r="L159" i="11405"/>
  <c r="AC159" i="11405"/>
  <c r="AD159" i="11405"/>
  <c r="AE159" i="11405"/>
  <c r="AF159" i="11405"/>
  <c r="AG159" i="11405"/>
  <c r="AJ159" i="11405"/>
  <c r="AK159" i="11405"/>
  <c r="B160" i="11405"/>
  <c r="C160" i="11405"/>
  <c r="D160" i="11405"/>
  <c r="F160" i="11405"/>
  <c r="G160" i="11405"/>
  <c r="H160" i="11405"/>
  <c r="I160" i="11405"/>
  <c r="K160" i="11405"/>
  <c r="L160" i="11405"/>
  <c r="AC160" i="11405"/>
  <c r="AD160" i="11405"/>
  <c r="AE160" i="11405"/>
  <c r="AF160" i="11405"/>
  <c r="AG160" i="11405"/>
  <c r="AJ160" i="11405"/>
  <c r="AK160" i="11405"/>
  <c r="B161" i="11405"/>
  <c r="C161" i="11405"/>
  <c r="D161" i="11405"/>
  <c r="F161" i="11405"/>
  <c r="G161" i="11405"/>
  <c r="H161" i="11405"/>
  <c r="I161" i="11405"/>
  <c r="K161" i="11405"/>
  <c r="L161" i="11405"/>
  <c r="AC161" i="11405"/>
  <c r="AD161" i="11405"/>
  <c r="AE161" i="11405"/>
  <c r="AF161" i="11405"/>
  <c r="AG161" i="11405"/>
  <c r="AJ161" i="11405"/>
  <c r="AK161" i="11405"/>
  <c r="B162" i="11405"/>
  <c r="C162" i="11405"/>
  <c r="D162" i="11405"/>
  <c r="F162" i="11405"/>
  <c r="G162" i="11405"/>
  <c r="H162" i="11405"/>
  <c r="I162" i="11405"/>
  <c r="K162" i="11405"/>
  <c r="L162" i="11405"/>
  <c r="AC162" i="11405"/>
  <c r="AD162" i="11405"/>
  <c r="AE162" i="11405"/>
  <c r="AF162" i="11405"/>
  <c r="AG162" i="11405"/>
  <c r="AJ162" i="11405"/>
  <c r="AK162" i="11405"/>
  <c r="B163" i="11405"/>
  <c r="C163" i="11405"/>
  <c r="D163" i="11405"/>
  <c r="F163" i="11405"/>
  <c r="G163" i="11405"/>
  <c r="H163" i="11405"/>
  <c r="I163" i="11405"/>
  <c r="K163" i="11405"/>
  <c r="L163" i="11405"/>
  <c r="AC163" i="11405"/>
  <c r="AD163" i="11405"/>
  <c r="AE163" i="11405"/>
  <c r="AF163" i="11405"/>
  <c r="AG163" i="11405"/>
  <c r="AJ163" i="11405"/>
  <c r="AK163" i="11405"/>
  <c r="B164" i="11405"/>
  <c r="C164" i="11405"/>
  <c r="D164" i="11405"/>
  <c r="F164" i="11405"/>
  <c r="G164" i="11405"/>
  <c r="H164" i="11405"/>
  <c r="I164" i="11405"/>
  <c r="K164" i="11405"/>
  <c r="L164" i="11405"/>
  <c r="AC164" i="11405"/>
  <c r="AD164" i="11405"/>
  <c r="AE164" i="11405"/>
  <c r="AF164" i="11405"/>
  <c r="AG164" i="11405"/>
  <c r="AJ164" i="11405"/>
  <c r="AK164" i="11405"/>
  <c r="B165" i="11405"/>
  <c r="C165" i="11405"/>
  <c r="D165" i="11405"/>
  <c r="F165" i="11405"/>
  <c r="G165" i="11405"/>
  <c r="H165" i="11405"/>
  <c r="I165" i="11405"/>
  <c r="K165" i="11405"/>
  <c r="L165" i="11405"/>
  <c r="AC165" i="11405"/>
  <c r="AD165" i="11405"/>
  <c r="AE165" i="11405"/>
  <c r="AF165" i="11405"/>
  <c r="AG165" i="11405"/>
  <c r="AJ165" i="11405"/>
  <c r="AK165" i="11405"/>
  <c r="B166" i="11405"/>
  <c r="C166" i="11405"/>
  <c r="D166" i="11405"/>
  <c r="F166" i="11405"/>
  <c r="G166" i="11405"/>
  <c r="H166" i="11405"/>
  <c r="I166" i="11405"/>
  <c r="K166" i="11405"/>
  <c r="L166" i="11405"/>
  <c r="M166" i="11405"/>
  <c r="N166" i="11405"/>
  <c r="AC166" i="11405"/>
  <c r="AD166" i="11405"/>
  <c r="AE166" i="11405"/>
  <c r="AF166" i="11405"/>
  <c r="AG166" i="11405"/>
  <c r="AH166" i="11405"/>
  <c r="AJ166" i="11405"/>
  <c r="AK166" i="11405"/>
  <c r="AL166" i="11405"/>
  <c r="B167" i="11405"/>
  <c r="C167" i="11405"/>
  <c r="D167" i="11405"/>
  <c r="F167" i="11405"/>
  <c r="G167" i="11405"/>
  <c r="H167" i="11405"/>
  <c r="I167" i="11405"/>
  <c r="K167" i="11405"/>
  <c r="L167" i="11405"/>
  <c r="AC167" i="11405"/>
  <c r="AD167" i="11405"/>
  <c r="AE167" i="11405"/>
  <c r="AF167" i="11405"/>
  <c r="AG167" i="11405"/>
  <c r="AJ167" i="11405"/>
  <c r="AK167" i="11405"/>
  <c r="B168" i="11405"/>
  <c r="C168" i="11405"/>
  <c r="D168" i="11405"/>
  <c r="F168" i="11405"/>
  <c r="G168" i="11405"/>
  <c r="H168" i="11405"/>
  <c r="I168" i="11405"/>
  <c r="K168" i="11405"/>
  <c r="L168" i="11405"/>
  <c r="AC168" i="11405"/>
  <c r="AD168" i="11405"/>
  <c r="AE168" i="11405"/>
  <c r="AF168" i="11405"/>
  <c r="AG168" i="11405"/>
  <c r="AJ168" i="11405"/>
  <c r="AK168" i="11405"/>
  <c r="B169" i="11405"/>
  <c r="C169" i="11405"/>
  <c r="D169" i="11405"/>
  <c r="F169" i="11405"/>
  <c r="G169" i="11405"/>
  <c r="H169" i="11405"/>
  <c r="I169" i="11405"/>
  <c r="K169" i="11405"/>
  <c r="L169" i="11405"/>
  <c r="AC169" i="11405"/>
  <c r="AD169" i="11405"/>
  <c r="AE169" i="11405"/>
  <c r="AF169" i="11405"/>
  <c r="AG169" i="11405"/>
  <c r="AJ169" i="11405"/>
  <c r="AK169" i="11405"/>
  <c r="B170" i="11405"/>
  <c r="C170" i="11405"/>
  <c r="D170" i="11405"/>
  <c r="F170" i="11405"/>
  <c r="G170" i="11405"/>
  <c r="H170" i="11405"/>
  <c r="I170" i="11405"/>
  <c r="K170" i="11405"/>
  <c r="L170" i="11405"/>
  <c r="AC170" i="11405"/>
  <c r="AD170" i="11405"/>
  <c r="AE170" i="11405"/>
  <c r="AF170" i="11405"/>
  <c r="AG170" i="11405"/>
  <c r="AJ170" i="11405"/>
  <c r="AK170" i="11405"/>
  <c r="B171" i="11405"/>
  <c r="C171" i="11405"/>
  <c r="D171" i="11405"/>
  <c r="F171" i="11405"/>
  <c r="G171" i="11405"/>
  <c r="H171" i="11405"/>
  <c r="I171" i="11405"/>
  <c r="K171" i="11405"/>
  <c r="L171" i="11405"/>
  <c r="AC171" i="11405"/>
  <c r="AD171" i="11405"/>
  <c r="AE171" i="11405"/>
  <c r="AF171" i="11405"/>
  <c r="AG171" i="11405"/>
  <c r="AJ171" i="11405"/>
  <c r="AK171" i="11405"/>
  <c r="B172" i="11405"/>
  <c r="C172" i="11405"/>
  <c r="D172" i="11405"/>
  <c r="F172" i="11405"/>
  <c r="G172" i="11405"/>
  <c r="H172" i="11405"/>
  <c r="I172" i="11405"/>
  <c r="K172" i="11405"/>
  <c r="L172" i="11405"/>
  <c r="AC172" i="11405"/>
  <c r="AD172" i="11405"/>
  <c r="AE172" i="11405"/>
  <c r="AF172" i="11405"/>
  <c r="AG172" i="11405"/>
  <c r="AJ172" i="11405"/>
  <c r="AK172" i="11405"/>
  <c r="B173" i="11405"/>
  <c r="C173" i="11405"/>
  <c r="D173" i="11405"/>
  <c r="F173" i="11405"/>
  <c r="G173" i="11405"/>
  <c r="H173" i="11405"/>
  <c r="I173" i="11405"/>
  <c r="K173" i="11405"/>
  <c r="L173" i="11405"/>
  <c r="AC173" i="11405"/>
  <c r="AD173" i="11405"/>
  <c r="AE173" i="11405"/>
  <c r="AF173" i="11405"/>
  <c r="AG173" i="11405"/>
  <c r="AJ173" i="11405"/>
  <c r="AK173" i="11405"/>
  <c r="B174" i="11405"/>
  <c r="C174" i="11405"/>
  <c r="D174" i="11405"/>
  <c r="F174" i="11405"/>
  <c r="G174" i="11405"/>
  <c r="H174" i="11405"/>
  <c r="I174" i="11405"/>
  <c r="K174" i="11405"/>
  <c r="L174" i="11405"/>
  <c r="AC174" i="11405"/>
  <c r="AD174" i="11405"/>
  <c r="AE174" i="11405"/>
  <c r="AF174" i="11405"/>
  <c r="AG174" i="11405"/>
  <c r="AJ174" i="11405"/>
  <c r="AK174" i="11405"/>
  <c r="B175" i="11405"/>
  <c r="C175" i="11405"/>
  <c r="D175" i="11405"/>
  <c r="F175" i="11405"/>
  <c r="G175" i="11405"/>
  <c r="H175" i="11405"/>
  <c r="I175" i="11405"/>
  <c r="K175" i="11405"/>
  <c r="L175" i="11405"/>
  <c r="AC175" i="11405"/>
  <c r="AD175" i="11405"/>
  <c r="AE175" i="11405"/>
  <c r="AF175" i="11405"/>
  <c r="AG175" i="11405"/>
  <c r="AJ175" i="11405"/>
  <c r="AK175" i="11405"/>
  <c r="B176" i="11405"/>
  <c r="C176" i="11405"/>
  <c r="D176" i="11405"/>
  <c r="F176" i="11405"/>
  <c r="G176" i="11405"/>
  <c r="H176" i="11405"/>
  <c r="I176" i="11405"/>
  <c r="K176" i="11405"/>
  <c r="L176" i="11405"/>
  <c r="AC176" i="11405"/>
  <c r="AD176" i="11405"/>
  <c r="AE176" i="11405"/>
  <c r="AF176" i="11405"/>
  <c r="AG176" i="11405"/>
  <c r="AJ176" i="11405"/>
  <c r="AK176" i="11405"/>
  <c r="B177" i="11405"/>
  <c r="C177" i="11405"/>
  <c r="D177" i="11405"/>
  <c r="F177" i="11405"/>
  <c r="G177" i="11405"/>
  <c r="H177" i="11405"/>
  <c r="I177" i="11405"/>
  <c r="K177" i="11405"/>
  <c r="L177" i="11405"/>
  <c r="AC177" i="11405"/>
  <c r="AD177" i="11405"/>
  <c r="AE177" i="11405"/>
  <c r="AF177" i="11405"/>
  <c r="AG177" i="11405"/>
  <c r="AJ177" i="11405"/>
  <c r="AK177" i="11405"/>
  <c r="B178" i="11405"/>
  <c r="C178" i="11405"/>
  <c r="D178" i="11405"/>
  <c r="F178" i="11405"/>
  <c r="G178" i="11405"/>
  <c r="H178" i="11405"/>
  <c r="I178" i="11405"/>
  <c r="K178" i="11405"/>
  <c r="L178" i="11405"/>
  <c r="M178" i="11405"/>
  <c r="N178" i="11405"/>
  <c r="AC178" i="11405"/>
  <c r="AD178" i="11405"/>
  <c r="AE178" i="11405"/>
  <c r="AF178" i="11405"/>
  <c r="AG178" i="11405"/>
  <c r="AH178" i="11405"/>
  <c r="AJ178" i="11405"/>
  <c r="AK178" i="11405"/>
  <c r="AL178" i="11405"/>
  <c r="B179" i="11405"/>
  <c r="C179" i="11405"/>
  <c r="D179" i="11405"/>
  <c r="F179" i="11405"/>
  <c r="G179" i="11405"/>
  <c r="H179" i="11405"/>
  <c r="I179" i="11405"/>
  <c r="K179" i="11405"/>
  <c r="L179" i="11405"/>
  <c r="AC179" i="11405"/>
  <c r="AD179" i="11405"/>
  <c r="AE179" i="11405"/>
  <c r="AF179" i="11405"/>
  <c r="AG179" i="11405"/>
  <c r="AJ179" i="11405"/>
  <c r="AK179" i="11405"/>
  <c r="B180" i="11405"/>
  <c r="C180" i="11405"/>
  <c r="D180" i="11405"/>
  <c r="F180" i="11405"/>
  <c r="G180" i="11405"/>
  <c r="H180" i="11405"/>
  <c r="I180" i="11405"/>
  <c r="K180" i="11405"/>
  <c r="L180" i="11405"/>
  <c r="AC180" i="11405"/>
  <c r="AD180" i="11405"/>
  <c r="AE180" i="11405"/>
  <c r="AF180" i="11405"/>
  <c r="AG180" i="11405"/>
  <c r="AJ180" i="11405"/>
  <c r="AK180" i="11405"/>
  <c r="B181" i="11405"/>
  <c r="C181" i="11405"/>
  <c r="D181" i="11405"/>
  <c r="F181" i="11405"/>
  <c r="G181" i="11405"/>
  <c r="H181" i="11405"/>
  <c r="I181" i="11405"/>
  <c r="K181" i="11405"/>
  <c r="L181" i="11405"/>
  <c r="AC181" i="11405"/>
  <c r="AD181" i="11405"/>
  <c r="AE181" i="11405"/>
  <c r="AF181" i="11405"/>
  <c r="AG181" i="11405"/>
  <c r="AJ181" i="11405"/>
  <c r="AK181" i="11405"/>
  <c r="B182" i="11405"/>
  <c r="C182" i="11405"/>
  <c r="D182" i="11405"/>
  <c r="F182" i="11405"/>
  <c r="G182" i="11405"/>
  <c r="H182" i="11405"/>
  <c r="I182" i="11405"/>
  <c r="K182" i="11405"/>
  <c r="L182" i="11405"/>
  <c r="AC182" i="11405"/>
  <c r="AD182" i="11405"/>
  <c r="AE182" i="11405"/>
  <c r="AF182" i="11405"/>
  <c r="AG182" i="11405"/>
  <c r="AJ182" i="11405"/>
  <c r="AK182" i="11405"/>
  <c r="B183" i="11405"/>
  <c r="C183" i="11405"/>
  <c r="D183" i="11405"/>
  <c r="F183" i="11405"/>
  <c r="G183" i="11405"/>
  <c r="H183" i="11405"/>
  <c r="I183" i="11405"/>
  <c r="K183" i="11405"/>
  <c r="L183" i="11405"/>
  <c r="AC183" i="11405"/>
  <c r="AD183" i="11405"/>
  <c r="AE183" i="11405"/>
  <c r="AF183" i="11405"/>
  <c r="AG183" i="11405"/>
  <c r="AJ183" i="11405"/>
  <c r="AK183" i="11405"/>
  <c r="B184" i="11405"/>
  <c r="C184" i="11405"/>
  <c r="D184" i="11405"/>
  <c r="F184" i="11405"/>
  <c r="G184" i="11405"/>
  <c r="H184" i="11405"/>
  <c r="I184" i="11405"/>
  <c r="K184" i="11405"/>
  <c r="L184" i="11405"/>
  <c r="AC184" i="11405"/>
  <c r="AD184" i="11405"/>
  <c r="AE184" i="11405"/>
  <c r="AF184" i="11405"/>
  <c r="AG184" i="11405"/>
  <c r="AJ184" i="11405"/>
  <c r="AK184" i="11405"/>
  <c r="B185" i="11405"/>
  <c r="C185" i="11405"/>
  <c r="D185" i="11405"/>
  <c r="F185" i="11405"/>
  <c r="G185" i="11405"/>
  <c r="H185" i="11405"/>
  <c r="I185" i="11405"/>
  <c r="K185" i="11405"/>
  <c r="L185" i="11405"/>
  <c r="AC185" i="11405"/>
  <c r="AD185" i="11405"/>
  <c r="AE185" i="11405"/>
  <c r="AF185" i="11405"/>
  <c r="AG185" i="11405"/>
  <c r="AJ185" i="11405"/>
  <c r="AK185" i="11405"/>
  <c r="B186" i="11405"/>
  <c r="C186" i="11405"/>
  <c r="D186" i="11405"/>
  <c r="F186" i="11405"/>
  <c r="G186" i="11405"/>
  <c r="H186" i="11405"/>
  <c r="I186" i="11405"/>
  <c r="K186" i="11405"/>
  <c r="L186" i="11405"/>
  <c r="AC186" i="11405"/>
  <c r="AD186" i="11405"/>
  <c r="AE186" i="11405"/>
  <c r="AF186" i="11405"/>
  <c r="AG186" i="11405"/>
  <c r="AJ186" i="11405"/>
  <c r="AK186" i="11405"/>
  <c r="B187" i="11405"/>
  <c r="C187" i="11405"/>
  <c r="D187" i="11405"/>
  <c r="F187" i="11405"/>
  <c r="G187" i="11405"/>
  <c r="H187" i="11405"/>
  <c r="I187" i="11405"/>
  <c r="K187" i="11405"/>
  <c r="L187" i="11405"/>
  <c r="AC187" i="11405"/>
  <c r="AD187" i="11405"/>
  <c r="AE187" i="11405"/>
  <c r="AF187" i="11405"/>
  <c r="AG187" i="11405"/>
  <c r="AJ187" i="11405"/>
  <c r="AK187" i="11405"/>
  <c r="B188" i="11405"/>
  <c r="C188" i="11405"/>
  <c r="D188" i="11405"/>
  <c r="F188" i="11405"/>
  <c r="G188" i="11405"/>
  <c r="H188" i="11405"/>
  <c r="I188" i="11405"/>
  <c r="K188" i="11405"/>
  <c r="L188" i="11405"/>
  <c r="AC188" i="11405"/>
  <c r="AD188" i="11405"/>
  <c r="AE188" i="11405"/>
  <c r="AF188" i="11405"/>
  <c r="AG188" i="11405"/>
  <c r="AJ188" i="11405"/>
  <c r="AK188" i="11405"/>
  <c r="B189" i="11405"/>
  <c r="C189" i="11405"/>
  <c r="D189" i="11405"/>
  <c r="F189" i="11405"/>
  <c r="G189" i="11405"/>
  <c r="H189" i="11405"/>
  <c r="I189" i="11405"/>
  <c r="K189" i="11405"/>
  <c r="L189" i="11405"/>
  <c r="AC189" i="11405"/>
  <c r="AD189" i="11405"/>
  <c r="AE189" i="11405"/>
  <c r="AF189" i="11405"/>
  <c r="AG189" i="11405"/>
  <c r="AJ189" i="11405"/>
  <c r="AK189" i="11405"/>
  <c r="B190" i="11405"/>
  <c r="C190" i="11405"/>
  <c r="D190" i="11405"/>
  <c r="F190" i="11405"/>
  <c r="G190" i="11405"/>
  <c r="H190" i="11405"/>
  <c r="I190" i="11405"/>
  <c r="K190" i="11405"/>
  <c r="L190" i="11405"/>
  <c r="M190" i="11405"/>
  <c r="N190" i="11405"/>
  <c r="AC190" i="11405"/>
  <c r="AD190" i="11405"/>
  <c r="AE190" i="11405"/>
  <c r="AF190" i="11405"/>
  <c r="AG190" i="11405"/>
  <c r="AH190" i="11405"/>
  <c r="AJ190" i="11405"/>
  <c r="AK190" i="11405"/>
  <c r="AL190" i="11405"/>
  <c r="B191" i="11405"/>
  <c r="C191" i="11405"/>
  <c r="D191" i="11405"/>
  <c r="F191" i="11405"/>
  <c r="G191" i="11405"/>
  <c r="H191" i="11405"/>
  <c r="I191" i="11405"/>
  <c r="K191" i="11405"/>
  <c r="L191" i="11405"/>
  <c r="AC191" i="11405"/>
  <c r="AD191" i="11405"/>
  <c r="AE191" i="11405"/>
  <c r="AF191" i="11405"/>
  <c r="AG191" i="11405"/>
  <c r="AJ191" i="11405"/>
  <c r="AK191" i="11405"/>
  <c r="B192" i="11405"/>
  <c r="C192" i="11405"/>
  <c r="D192" i="11405"/>
  <c r="F192" i="11405"/>
  <c r="G192" i="11405"/>
  <c r="H192" i="11405"/>
  <c r="I192" i="11405"/>
  <c r="K192" i="11405"/>
  <c r="L192" i="11405"/>
  <c r="AC192" i="11405"/>
  <c r="AD192" i="11405"/>
  <c r="AE192" i="11405"/>
  <c r="AF192" i="11405"/>
  <c r="AG192" i="11405"/>
  <c r="AJ192" i="11405"/>
  <c r="AK192" i="11405"/>
  <c r="B193" i="11405"/>
  <c r="C193" i="11405"/>
  <c r="D193" i="11405"/>
  <c r="F193" i="11405"/>
  <c r="G193" i="11405"/>
  <c r="H193" i="11405"/>
  <c r="I193" i="11405"/>
  <c r="K193" i="11405"/>
  <c r="L193" i="11405"/>
  <c r="AC193" i="11405"/>
  <c r="AD193" i="11405"/>
  <c r="AE193" i="11405"/>
  <c r="AF193" i="11405"/>
  <c r="AG193" i="11405"/>
  <c r="AJ193" i="11405"/>
  <c r="AK193" i="11405"/>
  <c r="B194" i="11405"/>
  <c r="C194" i="11405"/>
  <c r="D194" i="11405"/>
  <c r="F194" i="11405"/>
  <c r="G194" i="11405"/>
  <c r="H194" i="11405"/>
  <c r="I194" i="11405"/>
  <c r="K194" i="11405"/>
  <c r="L194" i="11405"/>
  <c r="AC194" i="11405"/>
  <c r="AD194" i="11405"/>
  <c r="AE194" i="11405"/>
  <c r="AF194" i="11405"/>
  <c r="AG194" i="11405"/>
  <c r="AJ194" i="11405"/>
  <c r="AK194" i="11405"/>
  <c r="B195" i="11405"/>
  <c r="C195" i="11405"/>
  <c r="D195" i="11405"/>
  <c r="F195" i="11405"/>
  <c r="G195" i="11405"/>
  <c r="H195" i="11405"/>
  <c r="I195" i="11405"/>
  <c r="K195" i="11405"/>
  <c r="L195" i="11405"/>
  <c r="AC195" i="11405"/>
  <c r="AD195" i="11405"/>
  <c r="AE195" i="11405"/>
  <c r="AF195" i="11405"/>
  <c r="AG195" i="11405"/>
  <c r="AJ195" i="11405"/>
  <c r="AK195" i="11405"/>
  <c r="B196" i="11405"/>
  <c r="C196" i="11405"/>
  <c r="D196" i="11405"/>
  <c r="F196" i="11405"/>
  <c r="G196" i="11405"/>
  <c r="H196" i="11405"/>
  <c r="I196" i="11405"/>
  <c r="K196" i="11405"/>
  <c r="L196" i="11405"/>
  <c r="AC196" i="11405"/>
  <c r="AD196" i="11405"/>
  <c r="AE196" i="11405"/>
  <c r="AF196" i="11405"/>
  <c r="AG196" i="11405"/>
  <c r="AJ196" i="11405"/>
  <c r="AK196" i="11405"/>
  <c r="B197" i="11405"/>
  <c r="C197" i="11405"/>
  <c r="D197" i="11405"/>
  <c r="F197" i="11405"/>
  <c r="G197" i="11405"/>
  <c r="H197" i="11405"/>
  <c r="I197" i="11405"/>
  <c r="K197" i="11405"/>
  <c r="L197" i="11405"/>
  <c r="AC197" i="11405"/>
  <c r="AD197" i="11405"/>
  <c r="AE197" i="11405"/>
  <c r="AF197" i="11405"/>
  <c r="AG197" i="11405"/>
  <c r="AJ197" i="11405"/>
  <c r="AK197" i="11405"/>
  <c r="B198" i="11405"/>
  <c r="C198" i="11405"/>
  <c r="D198" i="11405"/>
  <c r="F198" i="11405"/>
  <c r="G198" i="11405"/>
  <c r="H198" i="11405"/>
  <c r="I198" i="11405"/>
  <c r="K198" i="11405"/>
  <c r="L198" i="11405"/>
  <c r="AC198" i="11405"/>
  <c r="AD198" i="11405"/>
  <c r="AE198" i="11405"/>
  <c r="AF198" i="11405"/>
  <c r="AG198" i="11405"/>
  <c r="AJ198" i="11405"/>
  <c r="AK198" i="11405"/>
  <c r="B199" i="11405"/>
  <c r="C199" i="11405"/>
  <c r="D199" i="11405"/>
  <c r="F199" i="11405"/>
  <c r="G199" i="11405"/>
  <c r="H199" i="11405"/>
  <c r="I199" i="11405"/>
  <c r="K199" i="11405"/>
  <c r="L199" i="11405"/>
  <c r="AC199" i="11405"/>
  <c r="AD199" i="11405"/>
  <c r="AE199" i="11405"/>
  <c r="AF199" i="11405"/>
  <c r="AG199" i="11405"/>
  <c r="AJ199" i="11405"/>
  <c r="AK199" i="11405"/>
  <c r="B200" i="11405"/>
  <c r="C200" i="11405"/>
  <c r="D200" i="11405"/>
  <c r="F200" i="11405"/>
  <c r="G200" i="11405"/>
  <c r="H200" i="11405"/>
  <c r="I200" i="11405"/>
  <c r="K200" i="11405"/>
  <c r="L200" i="11405"/>
  <c r="AC200" i="11405"/>
  <c r="AD200" i="11405"/>
  <c r="AE200" i="11405"/>
  <c r="AF200" i="11405"/>
  <c r="AG200" i="11405"/>
  <c r="AJ200" i="11405"/>
  <c r="AK200" i="11405"/>
  <c r="B201" i="11405"/>
  <c r="C201" i="11405"/>
  <c r="D201" i="11405"/>
  <c r="F201" i="11405"/>
  <c r="G201" i="11405"/>
  <c r="H201" i="11405"/>
  <c r="I201" i="11405"/>
  <c r="K201" i="11405"/>
  <c r="L201" i="11405"/>
  <c r="AC201" i="11405"/>
  <c r="AD201" i="11405"/>
  <c r="AE201" i="11405"/>
  <c r="AF201" i="11405"/>
  <c r="AG201" i="11405"/>
  <c r="AJ201" i="11405"/>
  <c r="AK201" i="11405"/>
  <c r="B202" i="11405"/>
  <c r="C202" i="11405"/>
  <c r="D202" i="11405"/>
  <c r="F202" i="11405"/>
  <c r="G202" i="11405"/>
  <c r="H202" i="11405"/>
  <c r="I202" i="11405"/>
  <c r="K202" i="11405"/>
  <c r="L202" i="11405"/>
  <c r="M202" i="11405"/>
  <c r="N202" i="11405"/>
  <c r="AC202" i="11405"/>
  <c r="AD202" i="11405"/>
  <c r="AE202" i="11405"/>
  <c r="AF202" i="11405"/>
  <c r="AG202" i="11405"/>
  <c r="AH202" i="11405"/>
  <c r="AJ202" i="11405"/>
  <c r="AK202" i="11405"/>
  <c r="AL202" i="11405"/>
  <c r="B203" i="11405"/>
  <c r="C203" i="11405"/>
  <c r="D203" i="11405"/>
  <c r="F203" i="11405"/>
  <c r="G203" i="11405"/>
  <c r="H203" i="11405"/>
  <c r="I203" i="11405"/>
  <c r="K203" i="11405"/>
  <c r="L203" i="11405"/>
  <c r="AC203" i="11405"/>
  <c r="AD203" i="11405"/>
  <c r="AE203" i="11405"/>
  <c r="AF203" i="11405"/>
  <c r="AG203" i="11405"/>
  <c r="AJ203" i="11405"/>
  <c r="AK203" i="11405"/>
  <c r="B204" i="11405"/>
  <c r="C204" i="11405"/>
  <c r="D204" i="11405"/>
  <c r="F204" i="11405"/>
  <c r="G204" i="11405"/>
  <c r="H204" i="11405"/>
  <c r="I204" i="11405"/>
  <c r="K204" i="11405"/>
  <c r="L204" i="11405"/>
  <c r="AC204" i="11405"/>
  <c r="AD204" i="11405"/>
  <c r="AE204" i="11405"/>
  <c r="AF204" i="11405"/>
  <c r="AG204" i="11405"/>
  <c r="AJ204" i="11405"/>
  <c r="AK204" i="11405"/>
  <c r="B205" i="11405"/>
  <c r="C205" i="11405"/>
  <c r="D205" i="11405"/>
  <c r="F205" i="11405"/>
  <c r="G205" i="11405"/>
  <c r="H205" i="11405"/>
  <c r="I205" i="11405"/>
  <c r="K205" i="11405"/>
  <c r="L205" i="11405"/>
  <c r="AC205" i="11405"/>
  <c r="AD205" i="11405"/>
  <c r="AE205" i="11405"/>
  <c r="AF205" i="11405"/>
  <c r="AG205" i="11405"/>
  <c r="AJ205" i="11405"/>
  <c r="AK205" i="11405"/>
  <c r="B206" i="11405"/>
  <c r="C206" i="11405"/>
  <c r="D206" i="11405"/>
  <c r="F206" i="11405"/>
  <c r="G206" i="11405"/>
  <c r="H206" i="11405"/>
  <c r="I206" i="11405"/>
  <c r="K206" i="11405"/>
  <c r="L206" i="11405"/>
  <c r="AC206" i="11405"/>
  <c r="AD206" i="11405"/>
  <c r="AE206" i="11405"/>
  <c r="AF206" i="11405"/>
  <c r="AG206" i="11405"/>
  <c r="AJ206" i="11405"/>
  <c r="AK206" i="11405"/>
  <c r="B207" i="11405"/>
  <c r="C207" i="11405"/>
  <c r="D207" i="11405"/>
  <c r="F207" i="11405"/>
  <c r="G207" i="11405"/>
  <c r="H207" i="11405"/>
  <c r="I207" i="11405"/>
  <c r="K207" i="11405"/>
  <c r="L207" i="11405"/>
  <c r="AC207" i="11405"/>
  <c r="AD207" i="11405"/>
  <c r="AE207" i="11405"/>
  <c r="AF207" i="11405"/>
  <c r="AG207" i="11405"/>
  <c r="AJ207" i="11405"/>
  <c r="AK207" i="11405"/>
  <c r="B208" i="11405"/>
  <c r="C208" i="11405"/>
  <c r="D208" i="11405"/>
  <c r="F208" i="11405"/>
  <c r="G208" i="11405"/>
  <c r="H208" i="11405"/>
  <c r="I208" i="11405"/>
  <c r="K208" i="11405"/>
  <c r="L208" i="11405"/>
  <c r="AC208" i="11405"/>
  <c r="AD208" i="11405"/>
  <c r="AE208" i="11405"/>
  <c r="AF208" i="11405"/>
  <c r="AG208" i="11405"/>
  <c r="AJ208" i="11405"/>
  <c r="AK208" i="11405"/>
  <c r="B209" i="11405"/>
  <c r="C209" i="11405"/>
  <c r="D209" i="11405"/>
  <c r="F209" i="11405"/>
  <c r="G209" i="11405"/>
  <c r="H209" i="11405"/>
  <c r="I209" i="11405"/>
  <c r="K209" i="11405"/>
  <c r="L209" i="11405"/>
  <c r="AC209" i="11405"/>
  <c r="AD209" i="11405"/>
  <c r="AE209" i="11405"/>
  <c r="AF209" i="11405"/>
  <c r="AG209" i="11405"/>
  <c r="AJ209" i="11405"/>
  <c r="AK209" i="11405"/>
  <c r="B210" i="11405"/>
  <c r="C210" i="11405"/>
  <c r="D210" i="11405"/>
  <c r="F210" i="11405"/>
  <c r="G210" i="11405"/>
  <c r="H210" i="11405"/>
  <c r="I210" i="11405"/>
  <c r="K210" i="11405"/>
  <c r="L210" i="11405"/>
  <c r="AC210" i="11405"/>
  <c r="AD210" i="11405"/>
  <c r="AE210" i="11405"/>
  <c r="AF210" i="11405"/>
  <c r="AG210" i="11405"/>
  <c r="AJ210" i="11405"/>
  <c r="AK210" i="11405"/>
  <c r="B211" i="11405"/>
  <c r="C211" i="11405"/>
  <c r="D211" i="11405"/>
  <c r="F211" i="11405"/>
  <c r="G211" i="11405"/>
  <c r="H211" i="11405"/>
  <c r="I211" i="11405"/>
  <c r="K211" i="11405"/>
  <c r="L211" i="11405"/>
  <c r="AC211" i="11405"/>
  <c r="AD211" i="11405"/>
  <c r="AE211" i="11405"/>
  <c r="AF211" i="11405"/>
  <c r="AG211" i="11405"/>
  <c r="AJ211" i="11405"/>
  <c r="AK211" i="11405"/>
  <c r="B212" i="11405"/>
  <c r="C212" i="11405"/>
  <c r="D212" i="11405"/>
  <c r="F212" i="11405"/>
  <c r="G212" i="11405"/>
  <c r="H212" i="11405"/>
  <c r="I212" i="11405"/>
  <c r="K212" i="11405"/>
  <c r="L212" i="11405"/>
  <c r="AC212" i="11405"/>
  <c r="AD212" i="11405"/>
  <c r="AE212" i="11405"/>
  <c r="AF212" i="11405"/>
  <c r="AG212" i="11405"/>
  <c r="AJ212" i="11405"/>
  <c r="AK212" i="11405"/>
  <c r="B213" i="11405"/>
  <c r="C213" i="11405"/>
  <c r="D213" i="11405"/>
  <c r="F213" i="11405"/>
  <c r="G213" i="11405"/>
  <c r="H213" i="11405"/>
  <c r="I213" i="11405"/>
  <c r="K213" i="11405"/>
  <c r="L213" i="11405"/>
  <c r="AC213" i="11405"/>
  <c r="AD213" i="11405"/>
  <c r="AE213" i="11405"/>
  <c r="AF213" i="11405"/>
  <c r="AG213" i="11405"/>
  <c r="AJ213" i="11405"/>
  <c r="AK213" i="11405"/>
  <c r="B214" i="11405"/>
  <c r="C214" i="11405"/>
  <c r="D214" i="11405"/>
  <c r="F214" i="11405"/>
  <c r="G214" i="11405"/>
  <c r="H214" i="11405"/>
  <c r="I214" i="11405"/>
  <c r="K214" i="11405"/>
  <c r="L214" i="11405"/>
  <c r="M214" i="11405"/>
  <c r="N214" i="11405"/>
  <c r="AC214" i="11405"/>
  <c r="AD214" i="11405"/>
  <c r="AE214" i="11405"/>
  <c r="AF214" i="11405"/>
  <c r="AG214" i="11405"/>
  <c r="AH214" i="11405"/>
  <c r="AJ214" i="11405"/>
  <c r="AK214" i="11405"/>
  <c r="AL214" i="11405"/>
  <c r="B215" i="11405"/>
  <c r="C215" i="11405"/>
  <c r="D215" i="11405"/>
  <c r="F215" i="11405"/>
  <c r="G215" i="11405"/>
  <c r="H215" i="11405"/>
  <c r="I215" i="11405"/>
  <c r="K215" i="11405"/>
  <c r="L215" i="11405"/>
  <c r="AC215" i="11405"/>
  <c r="AD215" i="11405"/>
  <c r="AE215" i="11405"/>
  <c r="AF215" i="11405"/>
  <c r="AG215" i="11405"/>
  <c r="AJ215" i="11405"/>
  <c r="AK215" i="11405"/>
  <c r="B216" i="11405"/>
  <c r="C216" i="11405"/>
  <c r="D216" i="11405"/>
  <c r="F216" i="11405"/>
  <c r="G216" i="11405"/>
  <c r="H216" i="11405"/>
  <c r="I216" i="11405"/>
  <c r="K216" i="11405"/>
  <c r="L216" i="11405"/>
  <c r="AC216" i="11405"/>
  <c r="AD216" i="11405"/>
  <c r="AE216" i="11405"/>
  <c r="AF216" i="11405"/>
  <c r="AG216" i="11405"/>
  <c r="AJ216" i="11405"/>
  <c r="AK216" i="11405"/>
  <c r="B217" i="11405"/>
  <c r="C217" i="11405"/>
  <c r="D217" i="11405"/>
  <c r="F217" i="11405"/>
  <c r="G217" i="11405"/>
  <c r="H217" i="11405"/>
  <c r="I217" i="11405"/>
  <c r="K217" i="11405"/>
  <c r="L217" i="11405"/>
  <c r="AC217" i="11405"/>
  <c r="AD217" i="11405"/>
  <c r="AE217" i="11405"/>
  <c r="AF217" i="11405"/>
  <c r="AG217" i="11405"/>
  <c r="AJ217" i="11405"/>
  <c r="AK217" i="11405"/>
  <c r="B218" i="11405"/>
  <c r="C218" i="11405"/>
  <c r="D218" i="11405"/>
  <c r="F218" i="11405"/>
  <c r="G218" i="11405"/>
  <c r="H218" i="11405"/>
  <c r="I218" i="11405"/>
  <c r="K218" i="11405"/>
  <c r="L218" i="11405"/>
  <c r="AC218" i="11405"/>
  <c r="AD218" i="11405"/>
  <c r="AE218" i="11405"/>
  <c r="AF218" i="11405"/>
  <c r="AG218" i="11405"/>
  <c r="AJ218" i="11405"/>
  <c r="AK218" i="11405"/>
  <c r="B219" i="11405"/>
  <c r="C219" i="11405"/>
  <c r="D219" i="11405"/>
  <c r="F219" i="11405"/>
  <c r="G219" i="11405"/>
  <c r="H219" i="11405"/>
  <c r="I219" i="11405"/>
  <c r="K219" i="11405"/>
  <c r="L219" i="11405"/>
  <c r="AC219" i="11405"/>
  <c r="AD219" i="11405"/>
  <c r="AE219" i="11405"/>
  <c r="AF219" i="11405"/>
  <c r="AG219" i="11405"/>
  <c r="AJ219" i="11405"/>
  <c r="AK219" i="11405"/>
  <c r="B220" i="11405"/>
  <c r="C220" i="11405"/>
  <c r="D220" i="11405"/>
  <c r="F220" i="11405"/>
  <c r="G220" i="11405"/>
  <c r="H220" i="11405"/>
  <c r="I220" i="11405"/>
  <c r="K220" i="11405"/>
  <c r="L220" i="11405"/>
  <c r="AC220" i="11405"/>
  <c r="AD220" i="11405"/>
  <c r="AE220" i="11405"/>
  <c r="AF220" i="11405"/>
  <c r="AG220" i="11405"/>
  <c r="AJ220" i="11405"/>
  <c r="AK220" i="11405"/>
  <c r="B221" i="11405"/>
  <c r="C221" i="11405"/>
  <c r="D221" i="11405"/>
  <c r="F221" i="11405"/>
  <c r="G221" i="11405"/>
  <c r="H221" i="11405"/>
  <c r="I221" i="11405"/>
  <c r="K221" i="11405"/>
  <c r="L221" i="11405"/>
  <c r="AC221" i="11405"/>
  <c r="AD221" i="11405"/>
  <c r="AE221" i="11405"/>
  <c r="AF221" i="11405"/>
  <c r="AG221" i="11405"/>
  <c r="AJ221" i="11405"/>
  <c r="AK221" i="11405"/>
  <c r="B222" i="11405"/>
  <c r="C222" i="11405"/>
  <c r="D222" i="11405"/>
  <c r="F222" i="11405"/>
  <c r="G222" i="11405"/>
  <c r="H222" i="11405"/>
  <c r="I222" i="11405"/>
  <c r="K222" i="11405"/>
  <c r="L222" i="11405"/>
  <c r="AC222" i="11405"/>
  <c r="AD222" i="11405"/>
  <c r="AE222" i="11405"/>
  <c r="AF222" i="11405"/>
  <c r="AG222" i="11405"/>
  <c r="AJ222" i="11405"/>
  <c r="AK222" i="11405"/>
  <c r="A223" i="11405"/>
  <c r="B223" i="11405"/>
  <c r="C223" i="11405"/>
  <c r="D223" i="11405"/>
  <c r="F223" i="11405"/>
  <c r="G223" i="11405"/>
  <c r="H223" i="11405"/>
  <c r="I223" i="11405"/>
  <c r="K223" i="11405"/>
  <c r="L223" i="11405"/>
  <c r="AC223" i="11405"/>
  <c r="AD223" i="11405"/>
  <c r="AE223" i="11405"/>
  <c r="AF223" i="11405"/>
  <c r="AG223" i="11405"/>
  <c r="AJ223" i="11405"/>
  <c r="AK223" i="11405"/>
  <c r="A224" i="11405"/>
  <c r="B224" i="11405"/>
  <c r="C224" i="11405"/>
  <c r="D224" i="11405"/>
  <c r="F224" i="11405"/>
  <c r="G224" i="11405"/>
  <c r="H224" i="11405"/>
  <c r="I224" i="11405"/>
  <c r="K224" i="11405"/>
  <c r="L224" i="11405"/>
  <c r="AC224" i="11405"/>
  <c r="AD224" i="11405"/>
  <c r="AE224" i="11405"/>
  <c r="AF224" i="11405"/>
  <c r="AG224" i="11405"/>
  <c r="AJ224" i="11405"/>
  <c r="AK224" i="11405"/>
  <c r="A225" i="11405"/>
  <c r="B225" i="11405"/>
  <c r="C225" i="11405"/>
  <c r="D225" i="11405"/>
  <c r="F225" i="11405"/>
  <c r="G225" i="11405"/>
  <c r="H225" i="11405"/>
  <c r="I225" i="11405"/>
  <c r="K225" i="11405"/>
  <c r="L225" i="11405"/>
  <c r="AC225" i="11405"/>
  <c r="AD225" i="11405"/>
  <c r="AE225" i="11405"/>
  <c r="AF225" i="11405"/>
  <c r="AG225" i="11405"/>
  <c r="AJ225" i="11405"/>
  <c r="AK225" i="11405"/>
  <c r="A226" i="11405"/>
  <c r="B226" i="11405"/>
  <c r="C226" i="11405"/>
  <c r="D226" i="11405"/>
  <c r="F226" i="11405"/>
  <c r="G226" i="11405"/>
  <c r="H226" i="11405"/>
  <c r="I226" i="11405"/>
  <c r="K226" i="11405"/>
  <c r="L226" i="11405"/>
  <c r="M226" i="11405"/>
  <c r="N226" i="11405"/>
  <c r="AC226" i="11405"/>
  <c r="AD226" i="11405"/>
  <c r="AE226" i="11405"/>
  <c r="AF226" i="11405"/>
  <c r="AG226" i="11405"/>
  <c r="AH226" i="11405"/>
  <c r="AJ226" i="11405"/>
  <c r="AK226" i="11405"/>
  <c r="AL226" i="11405"/>
  <c r="A227" i="11405"/>
  <c r="B227" i="11405"/>
  <c r="C227" i="11405"/>
  <c r="D227" i="11405"/>
  <c r="F227" i="11405"/>
  <c r="G227" i="11405"/>
  <c r="H227" i="11405"/>
  <c r="I227" i="11405"/>
  <c r="K227" i="11405"/>
  <c r="L227" i="11405"/>
  <c r="AC227" i="11405"/>
  <c r="AD227" i="11405"/>
  <c r="AE227" i="11405"/>
  <c r="AF227" i="11405"/>
  <c r="AG227" i="11405"/>
  <c r="AJ227" i="11405"/>
  <c r="AK227" i="11405"/>
  <c r="A228" i="11405"/>
  <c r="B228" i="11405"/>
  <c r="C228" i="11405"/>
  <c r="D228" i="11405"/>
  <c r="F228" i="11405"/>
  <c r="G228" i="11405"/>
  <c r="H228" i="11405"/>
  <c r="I228" i="11405"/>
  <c r="K228" i="11405"/>
  <c r="L228" i="11405"/>
  <c r="AC228" i="11405"/>
  <c r="AD228" i="11405"/>
  <c r="AE228" i="11405"/>
  <c r="AF228" i="11405"/>
  <c r="AG228" i="11405"/>
  <c r="AJ228" i="11405"/>
  <c r="AK228" i="11405"/>
  <c r="A229" i="11405"/>
  <c r="B229" i="11405"/>
  <c r="C229" i="11405"/>
  <c r="D229" i="11405"/>
  <c r="F229" i="11405"/>
  <c r="G229" i="11405"/>
  <c r="H229" i="11405"/>
  <c r="I229" i="11405"/>
  <c r="K229" i="11405"/>
  <c r="L229" i="11405"/>
  <c r="AC229" i="11405"/>
  <c r="AD229" i="11405"/>
  <c r="AE229" i="11405"/>
  <c r="AF229" i="11405"/>
  <c r="AG229" i="11405"/>
  <c r="AJ229" i="11405"/>
  <c r="AK229" i="11405"/>
  <c r="A230" i="11405"/>
  <c r="B230" i="11405"/>
  <c r="C230" i="11405"/>
  <c r="D230" i="11405"/>
  <c r="F230" i="11405"/>
  <c r="G230" i="11405"/>
  <c r="H230" i="11405"/>
  <c r="I230" i="11405"/>
  <c r="K230" i="11405"/>
  <c r="L230" i="11405"/>
  <c r="AC230" i="11405"/>
  <c r="AD230" i="11405"/>
  <c r="AE230" i="11405"/>
  <c r="AF230" i="11405"/>
  <c r="AG230" i="11405"/>
  <c r="AJ230" i="11405"/>
  <c r="AK230" i="11405"/>
  <c r="A231" i="11405"/>
  <c r="B231" i="11405"/>
  <c r="C231" i="11405"/>
  <c r="D231" i="11405"/>
  <c r="F231" i="11405"/>
  <c r="G231" i="11405"/>
  <c r="H231" i="11405"/>
  <c r="I231" i="11405"/>
  <c r="K231" i="11405"/>
  <c r="L231" i="11405"/>
  <c r="AC231" i="11405"/>
  <c r="AD231" i="11405"/>
  <c r="AE231" i="11405"/>
  <c r="AF231" i="11405"/>
  <c r="AG231" i="11405"/>
  <c r="AJ231" i="11405"/>
  <c r="AK231" i="11405"/>
  <c r="A232" i="11405"/>
  <c r="B232" i="11405"/>
  <c r="C232" i="11405"/>
  <c r="D232" i="11405"/>
  <c r="F232" i="11405"/>
  <c r="G232" i="11405"/>
  <c r="H232" i="11405"/>
  <c r="I232" i="11405"/>
  <c r="K232" i="11405"/>
  <c r="L232" i="11405"/>
  <c r="AC232" i="11405"/>
  <c r="AD232" i="11405"/>
  <c r="AE232" i="11405"/>
  <c r="AF232" i="11405"/>
  <c r="AG232" i="11405"/>
  <c r="AJ232" i="11405"/>
  <c r="AK232" i="11405"/>
  <c r="A233" i="11405"/>
  <c r="B233" i="11405"/>
  <c r="C233" i="11405"/>
  <c r="D233" i="11405"/>
  <c r="F233" i="11405"/>
  <c r="G233" i="11405"/>
  <c r="H233" i="11405"/>
  <c r="I233" i="11405"/>
  <c r="K233" i="11405"/>
  <c r="L233" i="11405"/>
  <c r="AC233" i="11405"/>
  <c r="AD233" i="11405"/>
  <c r="AE233" i="11405"/>
  <c r="AF233" i="11405"/>
  <c r="AG233" i="11405"/>
  <c r="AJ233" i="11405"/>
  <c r="AK233" i="11405"/>
  <c r="A234" i="11405"/>
  <c r="B234" i="11405"/>
  <c r="C234" i="11405"/>
  <c r="D234" i="11405"/>
  <c r="F234" i="11405"/>
  <c r="G234" i="11405"/>
  <c r="H234" i="11405"/>
  <c r="I234" i="11405"/>
  <c r="K234" i="11405"/>
  <c r="L234" i="11405"/>
  <c r="AC234" i="11405"/>
  <c r="AD234" i="11405"/>
  <c r="AE234" i="11405"/>
  <c r="AF234" i="11405"/>
  <c r="AG234" i="11405"/>
  <c r="AJ234" i="11405"/>
  <c r="AK234" i="11405"/>
  <c r="A235" i="11405"/>
  <c r="B235" i="11405"/>
  <c r="C235" i="11405"/>
  <c r="D235" i="11405"/>
  <c r="F235" i="11405"/>
  <c r="G235" i="11405"/>
  <c r="H235" i="11405"/>
  <c r="I235" i="11405"/>
  <c r="K235" i="11405"/>
  <c r="L235" i="11405"/>
  <c r="AC235" i="11405"/>
  <c r="AD235" i="11405"/>
  <c r="AE235" i="11405"/>
  <c r="AF235" i="11405"/>
  <c r="AG235" i="11405"/>
  <c r="AJ235" i="11405"/>
  <c r="AK235" i="11405"/>
  <c r="A236" i="11405"/>
  <c r="B236" i="11405"/>
  <c r="C236" i="11405"/>
  <c r="D236" i="11405"/>
  <c r="F236" i="11405"/>
  <c r="G236" i="11405"/>
  <c r="H236" i="11405"/>
  <c r="I236" i="11405"/>
  <c r="K236" i="11405"/>
  <c r="L236" i="11405"/>
  <c r="AC236" i="11405"/>
  <c r="AD236" i="11405"/>
  <c r="AE236" i="11405"/>
  <c r="AF236" i="11405"/>
  <c r="AG236" i="11405"/>
  <c r="AJ236" i="11405"/>
  <c r="AK236" i="11405"/>
  <c r="A237" i="11405"/>
  <c r="B237" i="11405"/>
  <c r="C237" i="11405"/>
  <c r="D237" i="11405"/>
  <c r="F237" i="11405"/>
  <c r="G237" i="11405"/>
  <c r="H237" i="11405"/>
  <c r="I237" i="11405"/>
  <c r="K237" i="11405"/>
  <c r="L237" i="11405"/>
  <c r="AC237" i="11405"/>
  <c r="AD237" i="11405"/>
  <c r="AE237" i="11405"/>
  <c r="AF237" i="11405"/>
  <c r="AG237" i="11405"/>
  <c r="AJ237" i="11405"/>
  <c r="AK237" i="11405"/>
  <c r="A238" i="11405"/>
  <c r="B238" i="11405"/>
  <c r="C238" i="11405"/>
  <c r="D238" i="11405"/>
  <c r="F238" i="11405"/>
  <c r="G238" i="11405"/>
  <c r="H238" i="11405"/>
  <c r="I238" i="11405"/>
  <c r="K238" i="11405"/>
  <c r="L238" i="11405"/>
  <c r="M238" i="11405"/>
  <c r="N238" i="11405"/>
  <c r="AC238" i="11405"/>
  <c r="AD238" i="11405"/>
  <c r="AE238" i="11405"/>
  <c r="AF238" i="11405"/>
  <c r="AG238" i="11405"/>
  <c r="AH238" i="11405"/>
  <c r="AJ238" i="11405"/>
  <c r="AK238" i="11405"/>
  <c r="AL238" i="11405"/>
  <c r="B239" i="11405"/>
  <c r="C239" i="11405"/>
  <c r="D239" i="11405"/>
  <c r="F239" i="11405"/>
  <c r="G239" i="11405"/>
  <c r="H239" i="11405"/>
  <c r="I239" i="11405"/>
  <c r="K239" i="11405"/>
  <c r="L239" i="11405"/>
  <c r="AC239" i="11405"/>
  <c r="AD239" i="11405"/>
  <c r="AE239" i="11405"/>
  <c r="AF239" i="11405"/>
  <c r="AG239" i="11405"/>
  <c r="AJ239" i="11405"/>
  <c r="AK239" i="11405"/>
  <c r="B240" i="11405"/>
  <c r="C240" i="11405"/>
  <c r="D240" i="11405"/>
  <c r="F240" i="11405"/>
  <c r="G240" i="11405"/>
  <c r="H240" i="11405"/>
  <c r="I240" i="11405"/>
  <c r="K240" i="11405"/>
  <c r="L240" i="11405"/>
  <c r="AC240" i="11405"/>
  <c r="AD240" i="11405"/>
  <c r="AE240" i="11405"/>
  <c r="AF240" i="11405"/>
  <c r="AG240" i="11405"/>
  <c r="AJ240" i="11405"/>
  <c r="AK240" i="11405"/>
  <c r="B241" i="11405"/>
  <c r="C241" i="11405"/>
  <c r="D241" i="11405"/>
  <c r="F241" i="11405"/>
  <c r="G241" i="11405"/>
  <c r="H241" i="11405"/>
  <c r="I241" i="11405"/>
  <c r="K241" i="11405"/>
  <c r="L241" i="11405"/>
  <c r="AC241" i="11405"/>
  <c r="AD241" i="11405"/>
  <c r="AE241" i="11405"/>
  <c r="AF241" i="11405"/>
  <c r="AG241" i="11405"/>
  <c r="AJ241" i="11405"/>
  <c r="AK241" i="11405"/>
  <c r="B242" i="11405"/>
  <c r="C242" i="11405"/>
  <c r="D242" i="11405"/>
  <c r="F242" i="11405"/>
  <c r="G242" i="11405"/>
  <c r="H242" i="11405"/>
  <c r="I242" i="11405"/>
  <c r="K242" i="11405"/>
  <c r="L242" i="11405"/>
  <c r="AC242" i="11405"/>
  <c r="AD242" i="11405"/>
  <c r="AE242" i="11405"/>
  <c r="AF242" i="11405"/>
  <c r="AG242" i="11405"/>
  <c r="AJ242" i="11405"/>
  <c r="AK242" i="11405"/>
  <c r="B243" i="11405"/>
  <c r="C243" i="11405"/>
  <c r="D243" i="11405"/>
  <c r="F243" i="11405"/>
  <c r="G243" i="11405"/>
  <c r="H243" i="11405"/>
  <c r="I243" i="11405"/>
  <c r="K243" i="11405"/>
  <c r="L243" i="11405"/>
  <c r="AC243" i="11405"/>
  <c r="AD243" i="11405"/>
  <c r="AE243" i="11405"/>
  <c r="AF243" i="11405"/>
  <c r="AG243" i="11405"/>
  <c r="AJ243" i="11405"/>
  <c r="AK243" i="11405"/>
  <c r="B244" i="11405"/>
  <c r="C244" i="11405"/>
  <c r="D244" i="11405"/>
  <c r="F244" i="11405"/>
  <c r="G244" i="11405"/>
  <c r="H244" i="11405"/>
  <c r="I244" i="11405"/>
  <c r="K244" i="11405"/>
  <c r="L244" i="11405"/>
  <c r="AC244" i="11405"/>
  <c r="AD244" i="11405"/>
  <c r="AE244" i="11405"/>
  <c r="AF244" i="11405"/>
  <c r="AG244" i="11405"/>
  <c r="AJ244" i="11405"/>
  <c r="AK244" i="11405"/>
  <c r="B245" i="11405"/>
  <c r="C245" i="11405"/>
  <c r="D245" i="11405"/>
  <c r="F245" i="11405"/>
  <c r="G245" i="11405"/>
  <c r="H245" i="11405"/>
  <c r="I245" i="11405"/>
  <c r="K245" i="11405"/>
  <c r="L245" i="11405"/>
  <c r="AC245" i="11405"/>
  <c r="AD245" i="11405"/>
  <c r="AE245" i="11405"/>
  <c r="AF245" i="11405"/>
  <c r="AG245" i="11405"/>
  <c r="AJ245" i="11405"/>
  <c r="AK245" i="11405"/>
  <c r="B246" i="11405"/>
  <c r="C246" i="11405"/>
  <c r="D246" i="11405"/>
  <c r="F246" i="11405"/>
  <c r="G246" i="11405"/>
  <c r="H246" i="11405"/>
  <c r="I246" i="11405"/>
  <c r="K246" i="11405"/>
  <c r="L246" i="11405"/>
  <c r="AC246" i="11405"/>
  <c r="AD246" i="11405"/>
  <c r="AE246" i="11405"/>
  <c r="AF246" i="11405"/>
  <c r="AG246" i="11405"/>
  <c r="AJ246" i="11405"/>
  <c r="AK246" i="11405"/>
  <c r="B247" i="11405"/>
  <c r="C247" i="11405"/>
  <c r="D247" i="11405"/>
  <c r="F247" i="11405"/>
  <c r="G247" i="11405"/>
  <c r="H247" i="11405"/>
  <c r="I247" i="11405"/>
  <c r="K247" i="11405"/>
  <c r="L247" i="11405"/>
  <c r="AC247" i="11405"/>
  <c r="AD247" i="11405"/>
  <c r="AE247" i="11405"/>
  <c r="AF247" i="11405"/>
  <c r="AG247" i="11405"/>
  <c r="AJ247" i="11405"/>
  <c r="AK247" i="11405"/>
  <c r="B248" i="11405"/>
  <c r="C248" i="11405"/>
  <c r="D248" i="11405"/>
  <c r="F248" i="11405"/>
  <c r="G248" i="11405"/>
  <c r="H248" i="11405"/>
  <c r="I248" i="11405"/>
  <c r="K248" i="11405"/>
  <c r="L248" i="11405"/>
  <c r="AC248" i="11405"/>
  <c r="AD248" i="11405"/>
  <c r="AE248" i="11405"/>
  <c r="AF248" i="11405"/>
  <c r="AG248" i="11405"/>
  <c r="AJ248" i="11405"/>
  <c r="AK248" i="11405"/>
  <c r="B249" i="11405"/>
  <c r="C249" i="11405"/>
  <c r="D249" i="11405"/>
  <c r="F249" i="11405"/>
  <c r="G249" i="11405"/>
  <c r="H249" i="11405"/>
  <c r="I249" i="11405"/>
  <c r="K249" i="11405"/>
  <c r="L249" i="11405"/>
  <c r="AC249" i="11405"/>
  <c r="AD249" i="11405"/>
  <c r="AE249" i="11405"/>
  <c r="AF249" i="11405"/>
  <c r="AG249" i="11405"/>
  <c r="AJ249" i="11405"/>
  <c r="AK249" i="11405"/>
  <c r="B250" i="11405"/>
  <c r="C250" i="11405"/>
  <c r="D250" i="11405"/>
  <c r="F250" i="11405"/>
  <c r="G250" i="11405"/>
  <c r="H250" i="11405"/>
  <c r="I250" i="11405"/>
  <c r="K250" i="11405"/>
  <c r="L250" i="11405"/>
  <c r="M250" i="11405"/>
  <c r="N250" i="11405"/>
  <c r="AC250" i="11405"/>
  <c r="AD250" i="11405"/>
  <c r="AE250" i="11405"/>
  <c r="AF250" i="11405"/>
  <c r="AG250" i="11405"/>
  <c r="AH250" i="11405"/>
  <c r="AJ250" i="11405"/>
  <c r="AK250" i="11405"/>
  <c r="AL250" i="11405"/>
  <c r="S1" i="11400"/>
  <c r="W1" i="11400"/>
  <c r="AA3" i="11400"/>
  <c r="C4" i="11400"/>
  <c r="D4" i="11400"/>
  <c r="E4" i="11400"/>
  <c r="H4" i="11400"/>
  <c r="I4" i="11400"/>
  <c r="J4" i="11400"/>
  <c r="M4" i="11400"/>
  <c r="N4" i="11400"/>
  <c r="P4" i="11400"/>
  <c r="Q4" i="11400"/>
  <c r="S4" i="11400"/>
  <c r="T4" i="11400"/>
  <c r="U4" i="11400"/>
  <c r="W4" i="11400"/>
  <c r="Z4" i="11400"/>
  <c r="AA4" i="11400"/>
  <c r="AD4" i="11400"/>
  <c r="C5" i="11400"/>
  <c r="D5" i="11400"/>
  <c r="E5" i="11400"/>
  <c r="H5" i="11400"/>
  <c r="I5" i="11400"/>
  <c r="J5" i="11400"/>
  <c r="M5" i="11400"/>
  <c r="N5" i="11400"/>
  <c r="P5" i="11400"/>
  <c r="Q5" i="11400"/>
  <c r="S5" i="11400"/>
  <c r="T5" i="11400"/>
  <c r="U5" i="11400"/>
  <c r="W5" i="11400"/>
  <c r="Y5" i="11400"/>
  <c r="Z5" i="11400"/>
  <c r="AA5" i="11400"/>
  <c r="AD5" i="11400"/>
  <c r="C6" i="11400"/>
  <c r="D6" i="11400"/>
  <c r="E6" i="11400"/>
  <c r="H6" i="11400"/>
  <c r="I6" i="11400"/>
  <c r="J6" i="11400"/>
  <c r="M6" i="11400"/>
  <c r="N6" i="11400"/>
  <c r="P6" i="11400"/>
  <c r="Q6" i="11400"/>
  <c r="S6" i="11400"/>
  <c r="T6" i="11400"/>
  <c r="U6" i="11400"/>
  <c r="W6" i="11400"/>
  <c r="Y6" i="11400"/>
  <c r="Z6" i="11400"/>
  <c r="AA6" i="11400"/>
  <c r="AD6" i="11400"/>
  <c r="C7" i="11400"/>
  <c r="D7" i="11400"/>
  <c r="E7" i="11400"/>
  <c r="H7" i="11400"/>
  <c r="I7" i="11400"/>
  <c r="J7" i="11400"/>
  <c r="M7" i="11400"/>
  <c r="N7" i="11400"/>
  <c r="P7" i="11400"/>
  <c r="Q7" i="11400"/>
  <c r="S7" i="11400"/>
  <c r="T7" i="11400"/>
  <c r="U7" i="11400"/>
  <c r="W7" i="11400"/>
  <c r="Y7" i="11400"/>
  <c r="Z7" i="11400"/>
  <c r="AA7" i="11400"/>
  <c r="AD7" i="11400"/>
  <c r="C8" i="11400"/>
  <c r="D8" i="11400"/>
  <c r="E8" i="11400"/>
  <c r="H8" i="11400"/>
  <c r="I8" i="11400"/>
  <c r="J8" i="11400"/>
  <c r="M8" i="11400"/>
  <c r="N8" i="11400"/>
  <c r="P8" i="11400"/>
  <c r="Q8" i="11400"/>
  <c r="S8" i="11400"/>
  <c r="T8" i="11400"/>
  <c r="U8" i="11400"/>
  <c r="W8" i="11400"/>
  <c r="Y8" i="11400"/>
  <c r="Z8" i="11400"/>
  <c r="AA8" i="11400"/>
  <c r="C9" i="11400"/>
  <c r="D9" i="11400"/>
  <c r="E9" i="11400"/>
  <c r="H9" i="11400"/>
  <c r="I9" i="11400"/>
  <c r="J9" i="11400"/>
  <c r="M9" i="11400"/>
  <c r="N9" i="11400"/>
  <c r="P9" i="11400"/>
  <c r="Q9" i="11400"/>
  <c r="S9" i="11400"/>
  <c r="T9" i="11400"/>
  <c r="U9" i="11400"/>
  <c r="W9" i="11400"/>
  <c r="Y9" i="11400"/>
  <c r="Z9" i="11400"/>
  <c r="AA9" i="11400"/>
  <c r="C10" i="11400"/>
  <c r="D10" i="11400"/>
  <c r="E10" i="11400"/>
  <c r="H10" i="11400"/>
  <c r="I10" i="11400"/>
  <c r="J10" i="11400"/>
  <c r="M10" i="11400"/>
  <c r="N10" i="11400"/>
  <c r="P10" i="11400"/>
  <c r="Q10" i="11400"/>
  <c r="S10" i="11400"/>
  <c r="T10" i="11400"/>
  <c r="U10" i="11400"/>
  <c r="W10" i="11400"/>
  <c r="Y10" i="11400"/>
  <c r="Z10" i="11400"/>
  <c r="AA10" i="11400"/>
  <c r="C11" i="11400"/>
  <c r="D11" i="11400"/>
  <c r="E11" i="11400"/>
  <c r="H11" i="11400"/>
  <c r="I11" i="11400"/>
  <c r="J11" i="11400"/>
  <c r="M11" i="11400"/>
  <c r="N11" i="11400"/>
  <c r="P11" i="11400"/>
  <c r="Q11" i="11400"/>
  <c r="S11" i="11400"/>
  <c r="T11" i="11400"/>
  <c r="U11" i="11400"/>
  <c r="W11" i="11400"/>
  <c r="Y11" i="11400"/>
  <c r="Z11" i="11400"/>
  <c r="AA11" i="11400"/>
  <c r="C12" i="11400"/>
  <c r="D12" i="11400"/>
  <c r="E12" i="11400"/>
  <c r="H12" i="11400"/>
  <c r="I12" i="11400"/>
  <c r="J12" i="11400"/>
  <c r="M12" i="11400"/>
  <c r="N12" i="11400"/>
  <c r="P12" i="11400"/>
  <c r="Q12" i="11400"/>
  <c r="S12" i="11400"/>
  <c r="T12" i="11400"/>
  <c r="U12" i="11400"/>
  <c r="W12" i="11400"/>
  <c r="Y12" i="11400"/>
  <c r="Z12" i="11400"/>
  <c r="AA12" i="11400"/>
  <c r="C13" i="11400"/>
  <c r="D13" i="11400"/>
  <c r="E13" i="11400"/>
  <c r="H13" i="11400"/>
  <c r="I13" i="11400"/>
  <c r="J13" i="11400"/>
  <c r="M13" i="11400"/>
  <c r="N13" i="11400"/>
  <c r="P13" i="11400"/>
  <c r="Q13" i="11400"/>
  <c r="S13" i="11400"/>
  <c r="T13" i="11400"/>
  <c r="U13" i="11400"/>
  <c r="W13" i="11400"/>
  <c r="Y13" i="11400"/>
  <c r="Z13" i="11400"/>
  <c r="AA13" i="11400"/>
  <c r="C14" i="11400"/>
  <c r="D14" i="11400"/>
  <c r="E14" i="11400"/>
  <c r="H14" i="11400"/>
  <c r="I14" i="11400"/>
  <c r="J14" i="11400"/>
  <c r="M14" i="11400"/>
  <c r="N14" i="11400"/>
  <c r="P14" i="11400"/>
  <c r="Q14" i="11400"/>
  <c r="S14" i="11400"/>
  <c r="T14" i="11400"/>
  <c r="U14" i="11400"/>
  <c r="W14" i="11400"/>
  <c r="Y14" i="11400"/>
  <c r="Z14" i="11400"/>
  <c r="AA14" i="11400"/>
  <c r="C15" i="11400"/>
  <c r="D15" i="11400"/>
  <c r="E15" i="11400"/>
  <c r="H15" i="11400"/>
  <c r="I15" i="11400"/>
  <c r="J15" i="11400"/>
  <c r="M15" i="11400"/>
  <c r="N15" i="11400"/>
  <c r="P15" i="11400"/>
  <c r="Q15" i="11400"/>
  <c r="S15" i="11400"/>
  <c r="T15" i="11400"/>
  <c r="U15" i="11400"/>
  <c r="W15" i="11400"/>
  <c r="Y15" i="11400"/>
  <c r="Z15" i="11400"/>
  <c r="AA15" i="11400"/>
  <c r="C16" i="11400"/>
  <c r="D16" i="11400"/>
  <c r="E16" i="11400"/>
  <c r="H16" i="11400"/>
  <c r="I16" i="11400"/>
  <c r="J16" i="11400"/>
  <c r="M16" i="11400"/>
  <c r="N16" i="11400"/>
  <c r="P16" i="11400"/>
  <c r="Q16" i="11400"/>
  <c r="S16" i="11400"/>
  <c r="T16" i="11400"/>
  <c r="U16" i="11400"/>
  <c r="W16" i="11400"/>
  <c r="Y16" i="11400"/>
  <c r="Z16" i="11400"/>
  <c r="AA16" i="11400"/>
  <c r="C17" i="11400"/>
  <c r="D17" i="11400"/>
  <c r="E17" i="11400"/>
  <c r="H17" i="11400"/>
  <c r="I17" i="11400"/>
  <c r="J17" i="11400"/>
  <c r="M17" i="11400"/>
  <c r="N17" i="11400"/>
  <c r="P17" i="11400"/>
  <c r="Q17" i="11400"/>
  <c r="S17" i="11400"/>
  <c r="T17" i="11400"/>
  <c r="U17" i="11400"/>
  <c r="W17" i="11400"/>
  <c r="Y17" i="11400"/>
  <c r="Z17" i="11400"/>
  <c r="AA17" i="11400"/>
  <c r="C18" i="11400"/>
  <c r="D18" i="11400"/>
  <c r="E18" i="11400"/>
  <c r="H18" i="11400"/>
  <c r="I18" i="11400"/>
  <c r="J18" i="11400"/>
  <c r="M18" i="11400"/>
  <c r="N18" i="11400"/>
  <c r="P18" i="11400"/>
  <c r="Q18" i="11400"/>
  <c r="S18" i="11400"/>
  <c r="T18" i="11400"/>
  <c r="U18" i="11400"/>
  <c r="W18" i="11400"/>
  <c r="Y18" i="11400"/>
  <c r="Z18" i="11400"/>
  <c r="AA18" i="11400"/>
  <c r="C19" i="11400"/>
  <c r="D19" i="11400"/>
  <c r="E19" i="11400"/>
  <c r="H19" i="11400"/>
  <c r="I19" i="11400"/>
  <c r="J19" i="11400"/>
  <c r="M19" i="11400"/>
  <c r="N19" i="11400"/>
  <c r="P19" i="11400"/>
  <c r="Q19" i="11400"/>
  <c r="S19" i="11400"/>
  <c r="T19" i="11400"/>
  <c r="U19" i="11400"/>
  <c r="W19" i="11400"/>
  <c r="Y19" i="11400"/>
  <c r="Z19" i="11400"/>
  <c r="AA19" i="11400"/>
  <c r="C20" i="11400"/>
  <c r="D20" i="11400"/>
  <c r="E20" i="11400"/>
  <c r="H20" i="11400"/>
  <c r="I20" i="11400"/>
  <c r="J20" i="11400"/>
  <c r="M20" i="11400"/>
  <c r="N20" i="11400"/>
  <c r="P20" i="11400"/>
  <c r="Q20" i="11400"/>
  <c r="S20" i="11400"/>
  <c r="T20" i="11400"/>
  <c r="U20" i="11400"/>
  <c r="W20" i="11400"/>
  <c r="Y20" i="11400"/>
  <c r="Z20" i="11400"/>
  <c r="AA20" i="11400"/>
  <c r="C21" i="11400"/>
  <c r="D21" i="11400"/>
  <c r="E21" i="11400"/>
  <c r="H21" i="11400"/>
  <c r="I21" i="11400"/>
  <c r="J21" i="11400"/>
  <c r="M21" i="11400"/>
  <c r="N21" i="11400"/>
  <c r="P21" i="11400"/>
  <c r="Q21" i="11400"/>
  <c r="S21" i="11400"/>
  <c r="T21" i="11400"/>
  <c r="U21" i="11400"/>
  <c r="W21" i="11400"/>
  <c r="Y21" i="11400"/>
  <c r="Z21" i="11400"/>
  <c r="AA21" i="11400"/>
  <c r="C22" i="11400"/>
  <c r="D22" i="11400"/>
  <c r="E22" i="11400"/>
  <c r="H22" i="11400"/>
  <c r="I22" i="11400"/>
  <c r="J22" i="11400"/>
  <c r="M22" i="11400"/>
  <c r="N22" i="11400"/>
  <c r="P22" i="11400"/>
  <c r="Q22" i="11400"/>
  <c r="S22" i="11400"/>
  <c r="T22" i="11400"/>
  <c r="U22" i="11400"/>
  <c r="W22" i="11400"/>
  <c r="Y22" i="11400"/>
  <c r="Z22" i="11400"/>
  <c r="AA22" i="11400"/>
  <c r="C23" i="11400"/>
  <c r="D23" i="11400"/>
  <c r="E23" i="11400"/>
  <c r="H23" i="11400"/>
  <c r="I23" i="11400"/>
  <c r="J23" i="11400"/>
  <c r="M23" i="11400"/>
  <c r="N23" i="11400"/>
  <c r="P23" i="11400"/>
  <c r="Q23" i="11400"/>
  <c r="S23" i="11400"/>
  <c r="T23" i="11400"/>
  <c r="U23" i="11400"/>
  <c r="W23" i="11400"/>
  <c r="Y23" i="11400"/>
  <c r="Z23" i="11400"/>
  <c r="AA23" i="11400"/>
  <c r="C24" i="11400"/>
  <c r="D24" i="11400"/>
  <c r="E24" i="11400"/>
  <c r="H24" i="11400"/>
  <c r="I24" i="11400"/>
  <c r="J24" i="11400"/>
  <c r="M24" i="11400"/>
  <c r="N24" i="11400"/>
  <c r="P24" i="11400"/>
  <c r="Q24" i="11400"/>
  <c r="S24" i="11400"/>
  <c r="T24" i="11400"/>
  <c r="U24" i="11400"/>
  <c r="W24" i="11400"/>
  <c r="C25" i="11400"/>
  <c r="D25" i="11400"/>
  <c r="E25" i="11400"/>
  <c r="H25" i="11400"/>
  <c r="I25" i="11400"/>
  <c r="J25" i="11400"/>
  <c r="M25" i="11400"/>
  <c r="N25" i="11400"/>
  <c r="P25" i="11400"/>
  <c r="Q25" i="11400"/>
  <c r="S25" i="11400"/>
  <c r="T25" i="11400"/>
  <c r="U25" i="11400"/>
  <c r="W25" i="11400"/>
  <c r="C26" i="11400"/>
  <c r="D26" i="11400"/>
  <c r="E26" i="11400"/>
  <c r="H26" i="11400"/>
  <c r="I26" i="11400"/>
  <c r="J26" i="11400"/>
  <c r="M26" i="11400"/>
  <c r="N26" i="11400"/>
  <c r="P26" i="11400"/>
  <c r="Q26" i="11400"/>
  <c r="S26" i="11400"/>
  <c r="T26" i="11400"/>
  <c r="U26" i="11400"/>
  <c r="W26" i="11400"/>
  <c r="C27" i="11400"/>
  <c r="D27" i="11400"/>
  <c r="E27" i="11400"/>
  <c r="H27" i="11400"/>
  <c r="I27" i="11400"/>
  <c r="J27" i="11400"/>
  <c r="M27" i="11400"/>
  <c r="N27" i="11400"/>
  <c r="P27" i="11400"/>
  <c r="Q27" i="11400"/>
  <c r="S27" i="11400"/>
  <c r="T27" i="11400"/>
  <c r="U27" i="11400"/>
  <c r="W27" i="11400"/>
  <c r="C28" i="11400"/>
  <c r="D28" i="11400"/>
  <c r="E28" i="11400"/>
  <c r="H28" i="11400"/>
  <c r="I28" i="11400"/>
  <c r="J28" i="11400"/>
  <c r="M28" i="11400"/>
  <c r="N28" i="11400"/>
  <c r="P28" i="11400"/>
  <c r="Q28" i="11400"/>
  <c r="S28" i="11400"/>
  <c r="T28" i="11400"/>
  <c r="U28" i="11400"/>
  <c r="W28" i="11400"/>
  <c r="C29" i="11400"/>
  <c r="D29" i="11400"/>
  <c r="E29" i="11400"/>
  <c r="H29" i="11400"/>
  <c r="I29" i="11400"/>
  <c r="J29" i="11400"/>
  <c r="M29" i="11400"/>
  <c r="N29" i="11400"/>
  <c r="P29" i="11400"/>
  <c r="Q29" i="11400"/>
  <c r="S29" i="11400"/>
  <c r="T29" i="11400"/>
  <c r="U29" i="11400"/>
  <c r="W29" i="11400"/>
  <c r="C30" i="11400"/>
  <c r="D30" i="11400"/>
  <c r="E30" i="11400"/>
  <c r="H30" i="11400"/>
  <c r="I30" i="11400"/>
  <c r="J30" i="11400"/>
  <c r="M30" i="11400"/>
  <c r="N30" i="11400"/>
  <c r="P30" i="11400"/>
  <c r="Q30" i="11400"/>
  <c r="S30" i="11400"/>
  <c r="T30" i="11400"/>
  <c r="U30" i="11400"/>
  <c r="W30" i="11400"/>
  <c r="C31" i="11400"/>
  <c r="D31" i="11400"/>
  <c r="E31" i="11400"/>
  <c r="H31" i="11400"/>
  <c r="I31" i="11400"/>
  <c r="J31" i="11400"/>
  <c r="M31" i="11400"/>
  <c r="N31" i="11400"/>
  <c r="P31" i="11400"/>
  <c r="Q31" i="11400"/>
  <c r="S31" i="11400"/>
  <c r="T31" i="11400"/>
  <c r="U31" i="11400"/>
  <c r="W31" i="11400"/>
  <c r="C32" i="11400"/>
  <c r="D32" i="11400"/>
  <c r="E32" i="11400"/>
  <c r="H32" i="11400"/>
  <c r="I32" i="11400"/>
  <c r="J32" i="11400"/>
  <c r="M32" i="11400"/>
  <c r="N32" i="11400"/>
  <c r="P32" i="11400"/>
  <c r="Q32" i="11400"/>
  <c r="S32" i="11400"/>
  <c r="T32" i="11400"/>
  <c r="U32" i="11400"/>
  <c r="W32" i="11400"/>
  <c r="C33" i="11400"/>
  <c r="D33" i="11400"/>
  <c r="E33" i="11400"/>
  <c r="H33" i="11400"/>
  <c r="I33" i="11400"/>
  <c r="J33" i="11400"/>
  <c r="M33" i="11400"/>
  <c r="N33" i="11400"/>
  <c r="P33" i="11400"/>
  <c r="Q33" i="11400"/>
  <c r="S33" i="11400"/>
  <c r="T33" i="11400"/>
  <c r="U33" i="11400"/>
  <c r="W33" i="11400"/>
  <c r="C34" i="11400"/>
  <c r="D34" i="11400"/>
  <c r="E34" i="11400"/>
  <c r="H34" i="11400"/>
  <c r="I34" i="11400"/>
  <c r="J34" i="11400"/>
  <c r="M34" i="11400"/>
  <c r="N34" i="11400"/>
  <c r="P34" i="11400"/>
  <c r="Q34" i="11400"/>
  <c r="S34" i="11400"/>
  <c r="T34" i="11400"/>
  <c r="U34" i="11400"/>
  <c r="W34" i="11400"/>
  <c r="C35" i="11400"/>
  <c r="D35" i="11400"/>
  <c r="E35" i="11400"/>
  <c r="H35" i="11400"/>
  <c r="I35" i="11400"/>
  <c r="J35" i="11400"/>
  <c r="M35" i="11400"/>
  <c r="N35" i="11400"/>
  <c r="P35" i="11400"/>
  <c r="Q35" i="11400"/>
  <c r="S35" i="11400"/>
  <c r="T35" i="11400"/>
  <c r="U35" i="11400"/>
  <c r="W35" i="11400"/>
  <c r="C36" i="11400"/>
  <c r="D36" i="11400"/>
  <c r="E36" i="11400"/>
  <c r="H36" i="11400"/>
  <c r="I36" i="11400"/>
  <c r="J36" i="11400"/>
  <c r="M36" i="11400"/>
  <c r="N36" i="11400"/>
  <c r="P36" i="11400"/>
  <c r="Q36" i="11400"/>
  <c r="S36" i="11400"/>
  <c r="T36" i="11400"/>
  <c r="U36" i="11400"/>
  <c r="W36" i="11400"/>
  <c r="C37" i="11400"/>
  <c r="D37" i="11400"/>
  <c r="E37" i="11400"/>
  <c r="H37" i="11400"/>
  <c r="I37" i="11400"/>
  <c r="J37" i="11400"/>
  <c r="M37" i="11400"/>
  <c r="N37" i="11400"/>
  <c r="P37" i="11400"/>
  <c r="Q37" i="11400"/>
  <c r="S37" i="11400"/>
  <c r="T37" i="11400"/>
  <c r="U37" i="11400"/>
  <c r="W37" i="11400"/>
  <c r="C38" i="11400"/>
  <c r="D38" i="11400"/>
  <c r="E38" i="11400"/>
  <c r="H38" i="11400"/>
  <c r="I38" i="11400"/>
  <c r="J38" i="11400"/>
  <c r="M38" i="11400"/>
  <c r="N38" i="11400"/>
  <c r="P38" i="11400"/>
  <c r="Q38" i="11400"/>
  <c r="S38" i="11400"/>
  <c r="T38" i="11400"/>
  <c r="U38" i="11400"/>
  <c r="W38" i="11400"/>
  <c r="C39" i="11400"/>
  <c r="D39" i="11400"/>
  <c r="E39" i="11400"/>
  <c r="H39" i="11400"/>
  <c r="I39" i="11400"/>
  <c r="J39" i="11400"/>
  <c r="M39" i="11400"/>
  <c r="N39" i="11400"/>
  <c r="P39" i="11400"/>
  <c r="Q39" i="11400"/>
  <c r="S39" i="11400"/>
  <c r="T39" i="11400"/>
  <c r="U39" i="11400"/>
  <c r="W39" i="11400"/>
  <c r="C40" i="11400"/>
  <c r="D40" i="11400"/>
  <c r="E40" i="11400"/>
  <c r="H40" i="11400"/>
  <c r="I40" i="11400"/>
  <c r="J40" i="11400"/>
  <c r="M40" i="11400"/>
  <c r="N40" i="11400"/>
  <c r="P40" i="11400"/>
  <c r="Q40" i="11400"/>
  <c r="S40" i="11400"/>
  <c r="T40" i="11400"/>
  <c r="U40" i="11400"/>
  <c r="W40" i="11400"/>
  <c r="C41" i="11400"/>
  <c r="D41" i="11400"/>
  <c r="E41" i="11400"/>
  <c r="H41" i="11400"/>
  <c r="I41" i="11400"/>
  <c r="J41" i="11400"/>
  <c r="M41" i="11400"/>
  <c r="N41" i="11400"/>
  <c r="P41" i="11400"/>
  <c r="Q41" i="11400"/>
  <c r="S41" i="11400"/>
  <c r="T41" i="11400"/>
  <c r="U41" i="11400"/>
  <c r="W41" i="11400"/>
  <c r="C42" i="11400"/>
  <c r="D42" i="11400"/>
  <c r="E42" i="11400"/>
  <c r="H42" i="11400"/>
  <c r="I42" i="11400"/>
  <c r="J42" i="11400"/>
  <c r="M42" i="11400"/>
  <c r="N42" i="11400"/>
  <c r="P42" i="11400"/>
  <c r="Q42" i="11400"/>
  <c r="S42" i="11400"/>
  <c r="T42" i="11400"/>
  <c r="U42" i="11400"/>
  <c r="W42" i="11400"/>
  <c r="C43" i="11400"/>
  <c r="D43" i="11400"/>
  <c r="E43" i="11400"/>
  <c r="H43" i="11400"/>
  <c r="I43" i="11400"/>
  <c r="J43" i="11400"/>
  <c r="M43" i="11400"/>
  <c r="N43" i="11400"/>
  <c r="P43" i="11400"/>
  <c r="Q43" i="11400"/>
  <c r="S43" i="11400"/>
  <c r="T43" i="11400"/>
  <c r="U43" i="11400"/>
  <c r="W43" i="11400"/>
  <c r="C44" i="11400"/>
  <c r="D44" i="11400"/>
  <c r="E44" i="11400"/>
  <c r="H44" i="11400"/>
  <c r="I44" i="11400"/>
  <c r="J44" i="11400"/>
  <c r="M44" i="11400"/>
  <c r="N44" i="11400"/>
  <c r="P44" i="11400"/>
  <c r="Q44" i="11400"/>
  <c r="S44" i="11400"/>
  <c r="T44" i="11400"/>
  <c r="U44" i="11400"/>
  <c r="W44" i="11400"/>
  <c r="C45" i="11400"/>
  <c r="D45" i="11400"/>
  <c r="E45" i="11400"/>
  <c r="H45" i="11400"/>
  <c r="I45" i="11400"/>
  <c r="J45" i="11400"/>
  <c r="M45" i="11400"/>
  <c r="N45" i="11400"/>
  <c r="P45" i="11400"/>
  <c r="Q45" i="11400"/>
  <c r="S45" i="11400"/>
  <c r="T45" i="11400"/>
  <c r="U45" i="11400"/>
  <c r="W45" i="11400"/>
  <c r="C46" i="11400"/>
  <c r="D46" i="11400"/>
  <c r="E46" i="11400"/>
  <c r="H46" i="11400"/>
  <c r="I46" i="11400"/>
  <c r="J46" i="11400"/>
  <c r="M46" i="11400"/>
  <c r="N46" i="11400"/>
  <c r="P46" i="11400"/>
  <c r="Q46" i="11400"/>
  <c r="S46" i="11400"/>
  <c r="T46" i="11400"/>
  <c r="U46" i="11400"/>
  <c r="W46" i="11400"/>
  <c r="C47" i="11400"/>
  <c r="D47" i="11400"/>
  <c r="E47" i="11400"/>
  <c r="H47" i="11400"/>
  <c r="I47" i="11400"/>
  <c r="J47" i="11400"/>
  <c r="M47" i="11400"/>
  <c r="N47" i="11400"/>
  <c r="P47" i="11400"/>
  <c r="Q47" i="11400"/>
  <c r="S47" i="11400"/>
  <c r="T47" i="11400"/>
  <c r="U47" i="11400"/>
  <c r="W47" i="11400"/>
  <c r="C48" i="11400"/>
  <c r="D48" i="11400"/>
  <c r="E48" i="11400"/>
  <c r="H48" i="11400"/>
  <c r="I48" i="11400"/>
  <c r="J48" i="11400"/>
  <c r="M48" i="11400"/>
  <c r="N48" i="11400"/>
  <c r="P48" i="11400"/>
  <c r="Q48" i="11400"/>
  <c r="S48" i="11400"/>
  <c r="T48" i="11400"/>
  <c r="U48" i="11400"/>
  <c r="W48" i="11400"/>
  <c r="C49" i="11400"/>
  <c r="D49" i="11400"/>
  <c r="E49" i="11400"/>
  <c r="H49" i="11400"/>
  <c r="I49" i="11400"/>
  <c r="J49" i="11400"/>
  <c r="M49" i="11400"/>
  <c r="N49" i="11400"/>
  <c r="P49" i="11400"/>
  <c r="Q49" i="11400"/>
  <c r="S49" i="11400"/>
  <c r="T49" i="11400"/>
  <c r="U49" i="11400"/>
  <c r="W49" i="11400"/>
  <c r="C50" i="11400"/>
  <c r="D50" i="11400"/>
  <c r="E50" i="11400"/>
  <c r="H50" i="11400"/>
  <c r="I50" i="11400"/>
  <c r="J50" i="11400"/>
  <c r="M50" i="11400"/>
  <c r="N50" i="11400"/>
  <c r="P50" i="11400"/>
  <c r="Q50" i="11400"/>
  <c r="S50" i="11400"/>
  <c r="T50" i="11400"/>
  <c r="U50" i="11400"/>
  <c r="W50" i="11400"/>
  <c r="C51" i="11400"/>
  <c r="D51" i="11400"/>
  <c r="E51" i="11400"/>
  <c r="H51" i="11400"/>
  <c r="I51" i="11400"/>
  <c r="J51" i="11400"/>
  <c r="M51" i="11400"/>
  <c r="N51" i="11400"/>
  <c r="P51" i="11400"/>
  <c r="Q51" i="11400"/>
  <c r="S51" i="11400"/>
  <c r="T51" i="11400"/>
  <c r="U51" i="11400"/>
  <c r="W51" i="11400"/>
  <c r="C52" i="11400"/>
  <c r="D52" i="11400"/>
  <c r="E52" i="11400"/>
  <c r="H52" i="11400"/>
  <c r="I52" i="11400"/>
  <c r="J52" i="11400"/>
  <c r="M52" i="11400"/>
  <c r="N52" i="11400"/>
  <c r="P52" i="11400"/>
  <c r="Q52" i="11400"/>
  <c r="S52" i="11400"/>
  <c r="T52" i="11400"/>
  <c r="U52" i="11400"/>
  <c r="W52" i="11400"/>
  <c r="C53" i="11400"/>
  <c r="D53" i="11400"/>
  <c r="E53" i="11400"/>
  <c r="H53" i="11400"/>
  <c r="I53" i="11400"/>
  <c r="J53" i="11400"/>
  <c r="M53" i="11400"/>
  <c r="N53" i="11400"/>
  <c r="P53" i="11400"/>
  <c r="Q53" i="11400"/>
  <c r="S53" i="11400"/>
  <c r="T53" i="11400"/>
  <c r="U53" i="11400"/>
  <c r="W53" i="11400"/>
  <c r="C54" i="11400"/>
  <c r="D54" i="11400"/>
  <c r="E54" i="11400"/>
  <c r="H54" i="11400"/>
  <c r="I54" i="11400"/>
  <c r="J54" i="11400"/>
  <c r="M54" i="11400"/>
  <c r="N54" i="11400"/>
  <c r="P54" i="11400"/>
  <c r="Q54" i="11400"/>
  <c r="S54" i="11400"/>
  <c r="T54" i="11400"/>
  <c r="U54" i="11400"/>
  <c r="W54" i="11400"/>
  <c r="C55" i="11400"/>
  <c r="D55" i="11400"/>
  <c r="E55" i="11400"/>
  <c r="H55" i="11400"/>
  <c r="I55" i="11400"/>
  <c r="J55" i="11400"/>
  <c r="M55" i="11400"/>
  <c r="N55" i="11400"/>
  <c r="P55" i="11400"/>
  <c r="Q55" i="11400"/>
  <c r="S55" i="11400"/>
  <c r="T55" i="11400"/>
  <c r="U55" i="11400"/>
  <c r="W55" i="11400"/>
  <c r="C56" i="11400"/>
  <c r="D56" i="11400"/>
  <c r="E56" i="11400"/>
  <c r="H56" i="11400"/>
  <c r="I56" i="11400"/>
  <c r="J56" i="11400"/>
  <c r="M56" i="11400"/>
  <c r="N56" i="11400"/>
  <c r="P56" i="11400"/>
  <c r="Q56" i="11400"/>
  <c r="S56" i="11400"/>
  <c r="T56" i="11400"/>
  <c r="U56" i="11400"/>
  <c r="W56" i="11400"/>
  <c r="C57" i="11400"/>
  <c r="D57" i="11400"/>
  <c r="E57" i="11400"/>
  <c r="H57" i="11400"/>
  <c r="I57" i="11400"/>
  <c r="J57" i="11400"/>
  <c r="M57" i="11400"/>
  <c r="N57" i="11400"/>
  <c r="P57" i="11400"/>
  <c r="Q57" i="11400"/>
  <c r="S57" i="11400"/>
  <c r="T57" i="11400"/>
  <c r="U57" i="11400"/>
  <c r="W57" i="11400"/>
  <c r="C58" i="11400"/>
  <c r="D58" i="11400"/>
  <c r="E58" i="11400"/>
  <c r="H58" i="11400"/>
  <c r="I58" i="11400"/>
  <c r="J58" i="11400"/>
  <c r="M58" i="11400"/>
  <c r="N58" i="11400"/>
  <c r="P58" i="11400"/>
  <c r="Q58" i="11400"/>
  <c r="S58" i="11400"/>
  <c r="T58" i="11400"/>
  <c r="U58" i="11400"/>
  <c r="W58" i="11400"/>
  <c r="C59" i="11400"/>
  <c r="D59" i="11400"/>
  <c r="E59" i="11400"/>
  <c r="H59" i="11400"/>
  <c r="I59" i="11400"/>
  <c r="J59" i="11400"/>
  <c r="M59" i="11400"/>
  <c r="N59" i="11400"/>
  <c r="P59" i="11400"/>
  <c r="Q59" i="11400"/>
  <c r="S59" i="11400"/>
  <c r="T59" i="11400"/>
  <c r="U59" i="11400"/>
  <c r="W59" i="11400"/>
  <c r="C60" i="11400"/>
  <c r="D60" i="11400"/>
  <c r="E60" i="11400"/>
  <c r="H60" i="11400"/>
  <c r="I60" i="11400"/>
  <c r="J60" i="11400"/>
  <c r="M60" i="11400"/>
  <c r="N60" i="11400"/>
  <c r="P60" i="11400"/>
  <c r="Q60" i="11400"/>
  <c r="S60" i="11400"/>
  <c r="T60" i="11400"/>
  <c r="U60" i="11400"/>
  <c r="W60" i="11400"/>
  <c r="C61" i="11400"/>
  <c r="D61" i="11400"/>
  <c r="E61" i="11400"/>
  <c r="H61" i="11400"/>
  <c r="I61" i="11400"/>
  <c r="J61" i="11400"/>
  <c r="M61" i="11400"/>
  <c r="N61" i="11400"/>
  <c r="P61" i="11400"/>
  <c r="Q61" i="11400"/>
  <c r="S61" i="11400"/>
  <c r="T61" i="11400"/>
  <c r="U61" i="11400"/>
  <c r="W61" i="11400"/>
  <c r="C62" i="11400"/>
  <c r="D62" i="11400"/>
  <c r="E62" i="11400"/>
  <c r="H62" i="11400"/>
  <c r="I62" i="11400"/>
  <c r="J62" i="11400"/>
  <c r="M62" i="11400"/>
  <c r="N62" i="11400"/>
  <c r="P62" i="11400"/>
  <c r="Q62" i="11400"/>
  <c r="S62" i="11400"/>
  <c r="T62" i="11400"/>
  <c r="U62" i="11400"/>
  <c r="W62" i="11400"/>
  <c r="C63" i="11400"/>
  <c r="D63" i="11400"/>
  <c r="E63" i="11400"/>
  <c r="H63" i="11400"/>
  <c r="I63" i="11400"/>
  <c r="J63" i="11400"/>
  <c r="M63" i="11400"/>
  <c r="N63" i="11400"/>
  <c r="P63" i="11400"/>
  <c r="Q63" i="11400"/>
  <c r="S63" i="11400"/>
  <c r="T63" i="11400"/>
  <c r="U63" i="11400"/>
  <c r="W63" i="11400"/>
  <c r="C64" i="11400"/>
  <c r="D64" i="11400"/>
  <c r="E64" i="11400"/>
  <c r="H64" i="11400"/>
  <c r="I64" i="11400"/>
  <c r="J64" i="11400"/>
  <c r="M64" i="11400"/>
  <c r="N64" i="11400"/>
  <c r="P64" i="11400"/>
  <c r="Q64" i="11400"/>
  <c r="S64" i="11400"/>
  <c r="T64" i="11400"/>
  <c r="U64" i="11400"/>
  <c r="W64" i="11400"/>
  <c r="C65" i="11400"/>
  <c r="D65" i="11400"/>
  <c r="E65" i="11400"/>
  <c r="H65" i="11400"/>
  <c r="I65" i="11400"/>
  <c r="J65" i="11400"/>
  <c r="M65" i="11400"/>
  <c r="N65" i="11400"/>
  <c r="P65" i="11400"/>
  <c r="Q65" i="11400"/>
  <c r="S65" i="11400"/>
  <c r="T65" i="11400"/>
  <c r="U65" i="11400"/>
  <c r="W65" i="11400"/>
  <c r="C66" i="11400"/>
  <c r="D66" i="11400"/>
  <c r="E66" i="11400"/>
  <c r="H66" i="11400"/>
  <c r="I66" i="11400"/>
  <c r="J66" i="11400"/>
  <c r="M66" i="11400"/>
  <c r="N66" i="11400"/>
  <c r="P66" i="11400"/>
  <c r="Q66" i="11400"/>
  <c r="S66" i="11400"/>
  <c r="T66" i="11400"/>
  <c r="U66" i="11400"/>
  <c r="W66" i="11400"/>
  <c r="C67" i="11400"/>
  <c r="D67" i="11400"/>
  <c r="E67" i="11400"/>
  <c r="H67" i="11400"/>
  <c r="I67" i="11400"/>
  <c r="J67" i="11400"/>
  <c r="M67" i="11400"/>
  <c r="N67" i="11400"/>
  <c r="P67" i="11400"/>
  <c r="Q67" i="11400"/>
  <c r="S67" i="11400"/>
  <c r="T67" i="11400"/>
  <c r="U67" i="11400"/>
  <c r="W67" i="11400"/>
  <c r="C68" i="11400"/>
  <c r="D68" i="11400"/>
  <c r="E68" i="11400"/>
  <c r="H68" i="11400"/>
  <c r="I68" i="11400"/>
  <c r="J68" i="11400"/>
  <c r="M68" i="11400"/>
  <c r="N68" i="11400"/>
  <c r="P68" i="11400"/>
  <c r="Q68" i="11400"/>
  <c r="S68" i="11400"/>
  <c r="T68" i="11400"/>
  <c r="U68" i="11400"/>
  <c r="W68" i="11400"/>
  <c r="C69" i="11400"/>
  <c r="D69" i="11400"/>
  <c r="E69" i="11400"/>
  <c r="H69" i="11400"/>
  <c r="I69" i="11400"/>
  <c r="J69" i="11400"/>
  <c r="M69" i="11400"/>
  <c r="N69" i="11400"/>
  <c r="P69" i="11400"/>
  <c r="Q69" i="11400"/>
  <c r="S69" i="11400"/>
  <c r="T69" i="11400"/>
  <c r="U69" i="11400"/>
  <c r="W69" i="11400"/>
  <c r="C70" i="11400"/>
  <c r="D70" i="11400"/>
  <c r="E70" i="11400"/>
  <c r="H70" i="11400"/>
  <c r="I70" i="11400"/>
  <c r="J70" i="11400"/>
  <c r="M70" i="11400"/>
  <c r="N70" i="11400"/>
  <c r="P70" i="11400"/>
  <c r="Q70" i="11400"/>
  <c r="S70" i="11400"/>
  <c r="T70" i="11400"/>
  <c r="U70" i="11400"/>
  <c r="W70" i="11400"/>
  <c r="C71" i="11400"/>
  <c r="D71" i="11400"/>
  <c r="E71" i="11400"/>
  <c r="H71" i="11400"/>
  <c r="I71" i="11400"/>
  <c r="J71" i="11400"/>
  <c r="M71" i="11400"/>
  <c r="N71" i="11400"/>
  <c r="P71" i="11400"/>
  <c r="Q71" i="11400"/>
  <c r="S71" i="11400"/>
  <c r="T71" i="11400"/>
  <c r="U71" i="11400"/>
  <c r="W71" i="11400"/>
  <c r="C72" i="11400"/>
  <c r="D72" i="11400"/>
  <c r="E72" i="11400"/>
  <c r="H72" i="11400"/>
  <c r="I72" i="11400"/>
  <c r="J72" i="11400"/>
  <c r="M72" i="11400"/>
  <c r="N72" i="11400"/>
  <c r="P72" i="11400"/>
  <c r="Q72" i="11400"/>
  <c r="S72" i="11400"/>
  <c r="T72" i="11400"/>
  <c r="U72" i="11400"/>
  <c r="W72" i="11400"/>
  <c r="C73" i="11400"/>
  <c r="D73" i="11400"/>
  <c r="E73" i="11400"/>
  <c r="H73" i="11400"/>
  <c r="I73" i="11400"/>
  <c r="J73" i="11400"/>
  <c r="M73" i="11400"/>
  <c r="N73" i="11400"/>
  <c r="P73" i="11400"/>
  <c r="Q73" i="11400"/>
  <c r="S73" i="11400"/>
  <c r="T73" i="11400"/>
  <c r="U73" i="11400"/>
  <c r="W73" i="11400"/>
  <c r="C74" i="11400"/>
  <c r="D74" i="11400"/>
  <c r="E74" i="11400"/>
  <c r="H74" i="11400"/>
  <c r="I74" i="11400"/>
  <c r="J74" i="11400"/>
  <c r="M74" i="11400"/>
  <c r="N74" i="11400"/>
  <c r="P74" i="11400"/>
  <c r="Q74" i="11400"/>
  <c r="S74" i="11400"/>
  <c r="T74" i="11400"/>
  <c r="U74" i="11400"/>
  <c r="W74" i="11400"/>
  <c r="C75" i="11400"/>
  <c r="D75" i="11400"/>
  <c r="E75" i="11400"/>
  <c r="H75" i="11400"/>
  <c r="I75" i="11400"/>
  <c r="J75" i="11400"/>
  <c r="M75" i="11400"/>
  <c r="N75" i="11400"/>
  <c r="P75" i="11400"/>
  <c r="Q75" i="11400"/>
  <c r="S75" i="11400"/>
  <c r="T75" i="11400"/>
  <c r="U75" i="11400"/>
  <c r="W75" i="11400"/>
  <c r="C76" i="11400"/>
  <c r="D76" i="11400"/>
  <c r="E76" i="11400"/>
  <c r="H76" i="11400"/>
  <c r="I76" i="11400"/>
  <c r="J76" i="11400"/>
  <c r="M76" i="11400"/>
  <c r="N76" i="11400"/>
  <c r="P76" i="11400"/>
  <c r="Q76" i="11400"/>
  <c r="S76" i="11400"/>
  <c r="T76" i="11400"/>
  <c r="U76" i="11400"/>
  <c r="W76" i="11400"/>
  <c r="C77" i="11400"/>
  <c r="D77" i="11400"/>
  <c r="E77" i="11400"/>
  <c r="H77" i="11400"/>
  <c r="I77" i="11400"/>
  <c r="J77" i="11400"/>
  <c r="M77" i="11400"/>
  <c r="N77" i="11400"/>
  <c r="P77" i="11400"/>
  <c r="Q77" i="11400"/>
  <c r="S77" i="11400"/>
  <c r="T77" i="11400"/>
  <c r="U77" i="11400"/>
  <c r="W77" i="11400"/>
  <c r="C78" i="11400"/>
  <c r="D78" i="11400"/>
  <c r="E78" i="11400"/>
  <c r="H78" i="11400"/>
  <c r="I78" i="11400"/>
  <c r="J78" i="11400"/>
  <c r="M78" i="11400"/>
  <c r="N78" i="11400"/>
  <c r="P78" i="11400"/>
  <c r="Q78" i="11400"/>
  <c r="S78" i="11400"/>
  <c r="T78" i="11400"/>
  <c r="U78" i="11400"/>
  <c r="W78" i="11400"/>
  <c r="C79" i="11400"/>
  <c r="D79" i="11400"/>
  <c r="E79" i="11400"/>
  <c r="H79" i="11400"/>
  <c r="I79" i="11400"/>
  <c r="J79" i="11400"/>
  <c r="M79" i="11400"/>
  <c r="N79" i="11400"/>
  <c r="P79" i="11400"/>
  <c r="Q79" i="11400"/>
  <c r="S79" i="11400"/>
  <c r="T79" i="11400"/>
  <c r="U79" i="11400"/>
  <c r="W79" i="11400"/>
  <c r="C80" i="11400"/>
  <c r="D80" i="11400"/>
  <c r="E80" i="11400"/>
  <c r="H80" i="11400"/>
  <c r="I80" i="11400"/>
  <c r="J80" i="11400"/>
  <c r="M80" i="11400"/>
  <c r="N80" i="11400"/>
  <c r="P80" i="11400"/>
  <c r="Q80" i="11400"/>
  <c r="S80" i="11400"/>
  <c r="T80" i="11400"/>
  <c r="U80" i="11400"/>
  <c r="W80" i="11400"/>
  <c r="C81" i="11400"/>
  <c r="D81" i="11400"/>
  <c r="E81" i="11400"/>
  <c r="H81" i="11400"/>
  <c r="I81" i="11400"/>
  <c r="J81" i="11400"/>
  <c r="M81" i="11400"/>
  <c r="N81" i="11400"/>
  <c r="P81" i="11400"/>
  <c r="Q81" i="11400"/>
  <c r="S81" i="11400"/>
  <c r="T81" i="11400"/>
  <c r="U81" i="11400"/>
  <c r="W81" i="11400"/>
  <c r="C82" i="11400"/>
  <c r="D82" i="11400"/>
  <c r="E82" i="11400"/>
  <c r="H82" i="11400"/>
  <c r="I82" i="11400"/>
  <c r="J82" i="11400"/>
  <c r="M82" i="11400"/>
  <c r="N82" i="11400"/>
  <c r="P82" i="11400"/>
  <c r="Q82" i="11400"/>
  <c r="S82" i="11400"/>
  <c r="T82" i="11400"/>
  <c r="U82" i="11400"/>
  <c r="W82" i="11400"/>
  <c r="C83" i="11400"/>
  <c r="D83" i="11400"/>
  <c r="E83" i="11400"/>
  <c r="H83" i="11400"/>
  <c r="I83" i="11400"/>
  <c r="J83" i="11400"/>
  <c r="M83" i="11400"/>
  <c r="N83" i="11400"/>
  <c r="P83" i="11400"/>
  <c r="Q83" i="11400"/>
  <c r="S83" i="11400"/>
  <c r="T83" i="11400"/>
  <c r="U83" i="11400"/>
  <c r="W83" i="11400"/>
  <c r="C84" i="11400"/>
  <c r="D84" i="11400"/>
  <c r="E84" i="11400"/>
  <c r="H84" i="11400"/>
  <c r="I84" i="11400"/>
  <c r="J84" i="11400"/>
  <c r="M84" i="11400"/>
  <c r="N84" i="11400"/>
  <c r="P84" i="11400"/>
  <c r="Q84" i="11400"/>
  <c r="S84" i="11400"/>
  <c r="T84" i="11400"/>
  <c r="U84" i="11400"/>
  <c r="W84" i="11400"/>
  <c r="C85" i="11400"/>
  <c r="D85" i="11400"/>
  <c r="E85" i="11400"/>
  <c r="H85" i="11400"/>
  <c r="I85" i="11400"/>
  <c r="J85" i="11400"/>
  <c r="M85" i="11400"/>
  <c r="N85" i="11400"/>
  <c r="P85" i="11400"/>
  <c r="Q85" i="11400"/>
  <c r="S85" i="11400"/>
  <c r="T85" i="11400"/>
  <c r="U85" i="11400"/>
  <c r="W85" i="11400"/>
  <c r="C86" i="11400"/>
  <c r="D86" i="11400"/>
  <c r="E86" i="11400"/>
  <c r="H86" i="11400"/>
  <c r="I86" i="11400"/>
  <c r="J86" i="11400"/>
  <c r="M86" i="11400"/>
  <c r="N86" i="11400"/>
  <c r="P86" i="11400"/>
  <c r="Q86" i="11400"/>
  <c r="S86" i="11400"/>
  <c r="T86" i="11400"/>
  <c r="U86" i="11400"/>
  <c r="W86" i="11400"/>
  <c r="C87" i="11400"/>
  <c r="D87" i="11400"/>
  <c r="E87" i="11400"/>
  <c r="H87" i="11400"/>
  <c r="I87" i="11400"/>
  <c r="J87" i="11400"/>
  <c r="M87" i="11400"/>
  <c r="N87" i="11400"/>
  <c r="P87" i="11400"/>
  <c r="Q87" i="11400"/>
  <c r="S87" i="11400"/>
  <c r="T87" i="11400"/>
  <c r="U87" i="11400"/>
  <c r="W87" i="11400"/>
  <c r="C88" i="11400"/>
  <c r="D88" i="11400"/>
  <c r="E88" i="11400"/>
  <c r="H88" i="11400"/>
  <c r="I88" i="11400"/>
  <c r="J88" i="11400"/>
  <c r="M88" i="11400"/>
  <c r="N88" i="11400"/>
  <c r="P88" i="11400"/>
  <c r="Q88" i="11400"/>
  <c r="S88" i="11400"/>
  <c r="T88" i="11400"/>
  <c r="U88" i="11400"/>
  <c r="W88" i="11400"/>
  <c r="C89" i="11400"/>
  <c r="D89" i="11400"/>
  <c r="E89" i="11400"/>
  <c r="H89" i="11400"/>
  <c r="I89" i="11400"/>
  <c r="J89" i="11400"/>
  <c r="M89" i="11400"/>
  <c r="N89" i="11400"/>
  <c r="P89" i="11400"/>
  <c r="Q89" i="11400"/>
  <c r="S89" i="11400"/>
  <c r="T89" i="11400"/>
  <c r="U89" i="11400"/>
  <c r="W89" i="11400"/>
  <c r="C90" i="11400"/>
  <c r="D90" i="11400"/>
  <c r="E90" i="11400"/>
  <c r="H90" i="11400"/>
  <c r="I90" i="11400"/>
  <c r="J90" i="11400"/>
  <c r="M90" i="11400"/>
  <c r="N90" i="11400"/>
  <c r="P90" i="11400"/>
  <c r="Q90" i="11400"/>
  <c r="S90" i="11400"/>
  <c r="T90" i="11400"/>
  <c r="U90" i="11400"/>
  <c r="W90" i="11400"/>
  <c r="C91" i="11400"/>
  <c r="D91" i="11400"/>
  <c r="E91" i="11400"/>
  <c r="H91" i="11400"/>
  <c r="I91" i="11400"/>
  <c r="J91" i="11400"/>
  <c r="M91" i="11400"/>
  <c r="N91" i="11400"/>
  <c r="P91" i="11400"/>
  <c r="Q91" i="11400"/>
  <c r="S91" i="11400"/>
  <c r="T91" i="11400"/>
  <c r="U91" i="11400"/>
  <c r="W91" i="11400"/>
  <c r="C92" i="11400"/>
  <c r="D92" i="11400"/>
  <c r="E92" i="11400"/>
  <c r="H92" i="11400"/>
  <c r="I92" i="11400"/>
  <c r="J92" i="11400"/>
  <c r="M92" i="11400"/>
  <c r="N92" i="11400"/>
  <c r="P92" i="11400"/>
  <c r="Q92" i="11400"/>
  <c r="S92" i="11400"/>
  <c r="T92" i="11400"/>
  <c r="U92" i="11400"/>
  <c r="W92" i="11400"/>
  <c r="C93" i="11400"/>
  <c r="D93" i="11400"/>
  <c r="E93" i="11400"/>
  <c r="H93" i="11400"/>
  <c r="I93" i="11400"/>
  <c r="J93" i="11400"/>
  <c r="M93" i="11400"/>
  <c r="N93" i="11400"/>
  <c r="P93" i="11400"/>
  <c r="Q93" i="11400"/>
  <c r="S93" i="11400"/>
  <c r="T93" i="11400"/>
  <c r="U93" i="11400"/>
  <c r="W93" i="11400"/>
  <c r="C94" i="11400"/>
  <c r="D94" i="11400"/>
  <c r="E94" i="11400"/>
  <c r="H94" i="11400"/>
  <c r="I94" i="11400"/>
  <c r="J94" i="11400"/>
  <c r="M94" i="11400"/>
  <c r="N94" i="11400"/>
  <c r="P94" i="11400"/>
  <c r="Q94" i="11400"/>
  <c r="S94" i="11400"/>
  <c r="T94" i="11400"/>
  <c r="U94" i="11400"/>
  <c r="W94" i="11400"/>
  <c r="C95" i="11400"/>
  <c r="D95" i="11400"/>
  <c r="E95" i="11400"/>
  <c r="H95" i="11400"/>
  <c r="I95" i="11400"/>
  <c r="J95" i="11400"/>
  <c r="M95" i="11400"/>
  <c r="N95" i="11400"/>
  <c r="P95" i="11400"/>
  <c r="Q95" i="11400"/>
  <c r="S95" i="11400"/>
  <c r="T95" i="11400"/>
  <c r="U95" i="11400"/>
  <c r="W95" i="11400"/>
  <c r="C96" i="11400"/>
  <c r="D96" i="11400"/>
  <c r="E96" i="11400"/>
  <c r="H96" i="11400"/>
  <c r="I96" i="11400"/>
  <c r="J96" i="11400"/>
  <c r="M96" i="11400"/>
  <c r="N96" i="11400"/>
  <c r="P96" i="11400"/>
  <c r="Q96" i="11400"/>
  <c r="S96" i="11400"/>
  <c r="T96" i="11400"/>
  <c r="U96" i="11400"/>
  <c r="W96" i="11400"/>
  <c r="C97" i="11400"/>
  <c r="D97" i="11400"/>
  <c r="E97" i="11400"/>
  <c r="H97" i="11400"/>
  <c r="I97" i="11400"/>
  <c r="J97" i="11400"/>
  <c r="M97" i="11400"/>
  <c r="N97" i="11400"/>
  <c r="P97" i="11400"/>
  <c r="Q97" i="11400"/>
  <c r="S97" i="11400"/>
  <c r="T97" i="11400"/>
  <c r="U97" i="11400"/>
  <c r="W97" i="11400"/>
  <c r="C98" i="11400"/>
  <c r="D98" i="11400"/>
  <c r="E98" i="11400"/>
  <c r="H98" i="11400"/>
  <c r="I98" i="11400"/>
  <c r="J98" i="11400"/>
  <c r="M98" i="11400"/>
  <c r="N98" i="11400"/>
  <c r="P98" i="11400"/>
  <c r="Q98" i="11400"/>
  <c r="S98" i="11400"/>
  <c r="T98" i="11400"/>
  <c r="U98" i="11400"/>
  <c r="W98" i="11400"/>
  <c r="C99" i="11400"/>
  <c r="D99" i="11400"/>
  <c r="E99" i="11400"/>
  <c r="H99" i="11400"/>
  <c r="I99" i="11400"/>
  <c r="J99" i="11400"/>
  <c r="M99" i="11400"/>
  <c r="N99" i="11400"/>
  <c r="P99" i="11400"/>
  <c r="Q99" i="11400"/>
  <c r="S99" i="11400"/>
  <c r="T99" i="11400"/>
  <c r="U99" i="11400"/>
  <c r="W99" i="11400"/>
  <c r="C100" i="11400"/>
  <c r="D100" i="11400"/>
  <c r="E100" i="11400"/>
  <c r="H100" i="11400"/>
  <c r="I100" i="11400"/>
  <c r="J100" i="11400"/>
  <c r="M100" i="11400"/>
  <c r="N100" i="11400"/>
  <c r="P100" i="11400"/>
  <c r="Q100" i="11400"/>
  <c r="S100" i="11400"/>
  <c r="T100" i="11400"/>
  <c r="U100" i="11400"/>
  <c r="W100" i="11400"/>
  <c r="C101" i="11400"/>
  <c r="D101" i="11400"/>
  <c r="E101" i="11400"/>
  <c r="H101" i="11400"/>
  <c r="I101" i="11400"/>
  <c r="J101" i="11400"/>
  <c r="M101" i="11400"/>
  <c r="N101" i="11400"/>
  <c r="P101" i="11400"/>
  <c r="Q101" i="11400"/>
  <c r="S101" i="11400"/>
  <c r="T101" i="11400"/>
  <c r="U101" i="11400"/>
  <c r="W101" i="11400"/>
  <c r="C102" i="11400"/>
  <c r="D102" i="11400"/>
  <c r="E102" i="11400"/>
  <c r="H102" i="11400"/>
  <c r="I102" i="11400"/>
  <c r="J102" i="11400"/>
  <c r="M102" i="11400"/>
  <c r="N102" i="11400"/>
  <c r="P102" i="11400"/>
  <c r="Q102" i="11400"/>
  <c r="S102" i="11400"/>
  <c r="T102" i="11400"/>
  <c r="U102" i="11400"/>
  <c r="W102" i="11400"/>
  <c r="C103" i="11400"/>
  <c r="D103" i="11400"/>
  <c r="E103" i="11400"/>
  <c r="H103" i="11400"/>
  <c r="I103" i="11400"/>
  <c r="J103" i="11400"/>
  <c r="M103" i="11400"/>
  <c r="N103" i="11400"/>
  <c r="P103" i="11400"/>
  <c r="Q103" i="11400"/>
  <c r="S103" i="11400"/>
  <c r="T103" i="11400"/>
  <c r="U103" i="11400"/>
  <c r="W103" i="11400"/>
  <c r="C104" i="11400"/>
  <c r="D104" i="11400"/>
  <c r="E104" i="11400"/>
  <c r="H104" i="11400"/>
  <c r="I104" i="11400"/>
  <c r="J104" i="11400"/>
  <c r="M104" i="11400"/>
  <c r="N104" i="11400"/>
  <c r="P104" i="11400"/>
  <c r="Q104" i="11400"/>
  <c r="S104" i="11400"/>
  <c r="T104" i="11400"/>
  <c r="U104" i="11400"/>
  <c r="W104" i="11400"/>
  <c r="C105" i="11400"/>
  <c r="D105" i="11400"/>
  <c r="E105" i="11400"/>
  <c r="H105" i="11400"/>
  <c r="I105" i="11400"/>
  <c r="J105" i="11400"/>
  <c r="M105" i="11400"/>
  <c r="N105" i="11400"/>
  <c r="P105" i="11400"/>
  <c r="Q105" i="11400"/>
  <c r="S105" i="11400"/>
  <c r="T105" i="11400"/>
  <c r="U105" i="11400"/>
  <c r="W105" i="11400"/>
  <c r="C106" i="11400"/>
  <c r="D106" i="11400"/>
  <c r="E106" i="11400"/>
  <c r="H106" i="11400"/>
  <c r="I106" i="11400"/>
  <c r="J106" i="11400"/>
  <c r="M106" i="11400"/>
  <c r="N106" i="11400"/>
  <c r="P106" i="11400"/>
  <c r="Q106" i="11400"/>
  <c r="S106" i="11400"/>
  <c r="T106" i="11400"/>
  <c r="U106" i="11400"/>
  <c r="W106" i="11400"/>
  <c r="C107" i="11400"/>
  <c r="D107" i="11400"/>
  <c r="E107" i="11400"/>
  <c r="H107" i="11400"/>
  <c r="I107" i="11400"/>
  <c r="J107" i="11400"/>
  <c r="M107" i="11400"/>
  <c r="N107" i="11400"/>
  <c r="P107" i="11400"/>
  <c r="Q107" i="11400"/>
  <c r="S107" i="11400"/>
  <c r="T107" i="11400"/>
  <c r="U107" i="11400"/>
  <c r="W107" i="11400"/>
  <c r="C108" i="11400"/>
  <c r="D108" i="11400"/>
  <c r="E108" i="11400"/>
  <c r="H108" i="11400"/>
  <c r="I108" i="11400"/>
  <c r="J108" i="11400"/>
  <c r="M108" i="11400"/>
  <c r="N108" i="11400"/>
  <c r="P108" i="11400"/>
  <c r="Q108" i="11400"/>
  <c r="S108" i="11400"/>
  <c r="T108" i="11400"/>
  <c r="U108" i="11400"/>
  <c r="W108" i="11400"/>
  <c r="C109" i="11400"/>
  <c r="D109" i="11400"/>
  <c r="E109" i="11400"/>
  <c r="H109" i="11400"/>
  <c r="I109" i="11400"/>
  <c r="J109" i="11400"/>
  <c r="M109" i="11400"/>
  <c r="N109" i="11400"/>
  <c r="P109" i="11400"/>
  <c r="Q109" i="11400"/>
  <c r="S109" i="11400"/>
  <c r="T109" i="11400"/>
  <c r="U109" i="11400"/>
  <c r="W109" i="11400"/>
  <c r="C110" i="11400"/>
  <c r="D110" i="11400"/>
  <c r="E110" i="11400"/>
  <c r="H110" i="11400"/>
  <c r="I110" i="11400"/>
  <c r="J110" i="11400"/>
  <c r="M110" i="11400"/>
  <c r="N110" i="11400"/>
  <c r="P110" i="11400"/>
  <c r="Q110" i="11400"/>
  <c r="S110" i="11400"/>
  <c r="T110" i="11400"/>
  <c r="U110" i="11400"/>
  <c r="W110" i="11400"/>
  <c r="C111" i="11400"/>
  <c r="D111" i="11400"/>
  <c r="E111" i="11400"/>
  <c r="H111" i="11400"/>
  <c r="I111" i="11400"/>
  <c r="J111" i="11400"/>
  <c r="M111" i="11400"/>
  <c r="N111" i="11400"/>
  <c r="P111" i="11400"/>
  <c r="Q111" i="11400"/>
  <c r="S111" i="11400"/>
  <c r="T111" i="11400"/>
  <c r="U111" i="11400"/>
  <c r="W111" i="11400"/>
  <c r="C112" i="11400"/>
  <c r="D112" i="11400"/>
  <c r="E112" i="11400"/>
  <c r="H112" i="11400"/>
  <c r="I112" i="11400"/>
  <c r="J112" i="11400"/>
  <c r="M112" i="11400"/>
  <c r="N112" i="11400"/>
  <c r="P112" i="11400"/>
  <c r="Q112" i="11400"/>
  <c r="S112" i="11400"/>
  <c r="T112" i="11400"/>
  <c r="U112" i="11400"/>
  <c r="W112" i="11400"/>
  <c r="C113" i="11400"/>
  <c r="D113" i="11400"/>
  <c r="E113" i="11400"/>
  <c r="H113" i="11400"/>
  <c r="I113" i="11400"/>
  <c r="J113" i="11400"/>
  <c r="M113" i="11400"/>
  <c r="N113" i="11400"/>
  <c r="P113" i="11400"/>
  <c r="Q113" i="11400"/>
  <c r="S113" i="11400"/>
  <c r="T113" i="11400"/>
  <c r="U113" i="11400"/>
  <c r="W113" i="11400"/>
  <c r="C114" i="11400"/>
  <c r="D114" i="11400"/>
  <c r="E114" i="11400"/>
  <c r="H114" i="11400"/>
  <c r="I114" i="11400"/>
  <c r="J114" i="11400"/>
  <c r="M114" i="11400"/>
  <c r="N114" i="11400"/>
  <c r="P114" i="11400"/>
  <c r="Q114" i="11400"/>
  <c r="S114" i="11400"/>
  <c r="T114" i="11400"/>
  <c r="U114" i="11400"/>
  <c r="W114" i="11400"/>
  <c r="C115" i="11400"/>
  <c r="D115" i="11400"/>
  <c r="E115" i="11400"/>
  <c r="H115" i="11400"/>
  <c r="I115" i="11400"/>
  <c r="J115" i="11400"/>
  <c r="M115" i="11400"/>
  <c r="N115" i="11400"/>
  <c r="P115" i="11400"/>
  <c r="Q115" i="11400"/>
  <c r="S115" i="11400"/>
  <c r="T115" i="11400"/>
  <c r="U115" i="11400"/>
  <c r="W115" i="11400"/>
  <c r="C116" i="11400"/>
  <c r="D116" i="11400"/>
  <c r="E116" i="11400"/>
  <c r="H116" i="11400"/>
  <c r="I116" i="11400"/>
  <c r="J116" i="11400"/>
  <c r="M116" i="11400"/>
  <c r="N116" i="11400"/>
  <c r="P116" i="11400"/>
  <c r="Q116" i="11400"/>
  <c r="S116" i="11400"/>
  <c r="T116" i="11400"/>
  <c r="U116" i="11400"/>
  <c r="W116" i="11400"/>
  <c r="C117" i="11400"/>
  <c r="D117" i="11400"/>
  <c r="E117" i="11400"/>
  <c r="H117" i="11400"/>
  <c r="I117" i="11400"/>
  <c r="J117" i="11400"/>
  <c r="M117" i="11400"/>
  <c r="N117" i="11400"/>
  <c r="P117" i="11400"/>
  <c r="Q117" i="11400"/>
  <c r="S117" i="11400"/>
  <c r="T117" i="11400"/>
  <c r="U117" i="11400"/>
  <c r="W117" i="11400"/>
  <c r="C118" i="11400"/>
  <c r="D118" i="11400"/>
  <c r="E118" i="11400"/>
  <c r="H118" i="11400"/>
  <c r="I118" i="11400"/>
  <c r="J118" i="11400"/>
  <c r="M118" i="11400"/>
  <c r="N118" i="11400"/>
  <c r="P118" i="11400"/>
  <c r="Q118" i="11400"/>
  <c r="S118" i="11400"/>
  <c r="T118" i="11400"/>
  <c r="U118" i="11400"/>
  <c r="W118" i="11400"/>
  <c r="C119" i="11400"/>
  <c r="D119" i="11400"/>
  <c r="E119" i="11400"/>
  <c r="H119" i="11400"/>
  <c r="I119" i="11400"/>
  <c r="J119" i="11400"/>
  <c r="M119" i="11400"/>
  <c r="N119" i="11400"/>
  <c r="P119" i="11400"/>
  <c r="Q119" i="11400"/>
  <c r="S119" i="11400"/>
  <c r="T119" i="11400"/>
  <c r="U119" i="11400"/>
  <c r="W119" i="11400"/>
  <c r="C120" i="11400"/>
  <c r="D120" i="11400"/>
  <c r="E120" i="11400"/>
  <c r="H120" i="11400"/>
  <c r="I120" i="11400"/>
  <c r="J120" i="11400"/>
  <c r="M120" i="11400"/>
  <c r="N120" i="11400"/>
  <c r="P120" i="11400"/>
  <c r="Q120" i="11400"/>
  <c r="S120" i="11400"/>
  <c r="T120" i="11400"/>
  <c r="U120" i="11400"/>
  <c r="W120" i="11400"/>
  <c r="C121" i="11400"/>
  <c r="D121" i="11400"/>
  <c r="E121" i="11400"/>
  <c r="H121" i="11400"/>
  <c r="I121" i="11400"/>
  <c r="J121" i="11400"/>
  <c r="M121" i="11400"/>
  <c r="N121" i="11400"/>
  <c r="P121" i="11400"/>
  <c r="Q121" i="11400"/>
  <c r="S121" i="11400"/>
  <c r="T121" i="11400"/>
  <c r="U121" i="11400"/>
  <c r="W121" i="11400"/>
  <c r="C122" i="11400"/>
  <c r="D122" i="11400"/>
  <c r="E122" i="11400"/>
  <c r="H122" i="11400"/>
  <c r="I122" i="11400"/>
  <c r="J122" i="11400"/>
  <c r="M122" i="11400"/>
  <c r="N122" i="11400"/>
  <c r="P122" i="11400"/>
  <c r="Q122" i="11400"/>
  <c r="S122" i="11400"/>
  <c r="T122" i="11400"/>
  <c r="U122" i="11400"/>
  <c r="W122" i="11400"/>
  <c r="C123" i="11400"/>
  <c r="D123" i="11400"/>
  <c r="E123" i="11400"/>
  <c r="H123" i="11400"/>
  <c r="I123" i="11400"/>
  <c r="J123" i="11400"/>
  <c r="M123" i="11400"/>
  <c r="N123" i="11400"/>
  <c r="P123" i="11400"/>
  <c r="Q123" i="11400"/>
  <c r="S123" i="11400"/>
  <c r="T123" i="11400"/>
  <c r="U123" i="11400"/>
  <c r="W123" i="11400"/>
  <c r="C124" i="11400"/>
  <c r="D124" i="11400"/>
  <c r="E124" i="11400"/>
  <c r="H124" i="11400"/>
  <c r="I124" i="11400"/>
  <c r="J124" i="11400"/>
  <c r="M124" i="11400"/>
  <c r="N124" i="11400"/>
  <c r="P124" i="11400"/>
  <c r="Q124" i="11400"/>
  <c r="S124" i="11400"/>
  <c r="T124" i="11400"/>
  <c r="U124" i="11400"/>
  <c r="W124" i="11400"/>
  <c r="C125" i="11400"/>
  <c r="D125" i="11400"/>
  <c r="E125" i="11400"/>
  <c r="H125" i="11400"/>
  <c r="I125" i="11400"/>
  <c r="J125" i="11400"/>
  <c r="M125" i="11400"/>
  <c r="N125" i="11400"/>
  <c r="P125" i="11400"/>
  <c r="Q125" i="11400"/>
  <c r="S125" i="11400"/>
  <c r="T125" i="11400"/>
  <c r="U125" i="11400"/>
  <c r="W125" i="11400"/>
  <c r="C126" i="11400"/>
  <c r="D126" i="11400"/>
  <c r="E126" i="11400"/>
  <c r="H126" i="11400"/>
  <c r="I126" i="11400"/>
  <c r="J126" i="11400"/>
  <c r="M126" i="11400"/>
  <c r="N126" i="11400"/>
  <c r="P126" i="11400"/>
  <c r="Q126" i="11400"/>
  <c r="S126" i="11400"/>
  <c r="T126" i="11400"/>
  <c r="U126" i="11400"/>
  <c r="W126" i="11400"/>
  <c r="C127" i="11400"/>
  <c r="D127" i="11400"/>
  <c r="E127" i="11400"/>
  <c r="H127" i="11400"/>
  <c r="I127" i="11400"/>
  <c r="J127" i="11400"/>
  <c r="M127" i="11400"/>
  <c r="N127" i="11400"/>
  <c r="P127" i="11400"/>
  <c r="Q127" i="11400"/>
  <c r="S127" i="11400"/>
  <c r="T127" i="11400"/>
  <c r="U127" i="11400"/>
  <c r="W127" i="11400"/>
  <c r="C128" i="11400"/>
  <c r="D128" i="11400"/>
  <c r="E128" i="11400"/>
  <c r="H128" i="11400"/>
  <c r="I128" i="11400"/>
  <c r="J128" i="11400"/>
  <c r="M128" i="11400"/>
  <c r="N128" i="11400"/>
  <c r="P128" i="11400"/>
  <c r="Q128" i="11400"/>
  <c r="S128" i="11400"/>
  <c r="T128" i="11400"/>
  <c r="U128" i="11400"/>
  <c r="W128" i="11400"/>
  <c r="C129" i="11400"/>
  <c r="D129" i="11400"/>
  <c r="E129" i="11400"/>
  <c r="H129" i="11400"/>
  <c r="I129" i="11400"/>
  <c r="J129" i="11400"/>
  <c r="M129" i="11400"/>
  <c r="N129" i="11400"/>
  <c r="P129" i="11400"/>
  <c r="Q129" i="11400"/>
  <c r="S129" i="11400"/>
  <c r="T129" i="11400"/>
  <c r="U129" i="11400"/>
  <c r="W129" i="11400"/>
  <c r="C130" i="11400"/>
  <c r="D130" i="11400"/>
  <c r="E130" i="11400"/>
  <c r="H130" i="11400"/>
  <c r="I130" i="11400"/>
  <c r="J130" i="11400"/>
  <c r="M130" i="11400"/>
  <c r="N130" i="11400"/>
  <c r="P130" i="11400"/>
  <c r="Q130" i="11400"/>
  <c r="S130" i="11400"/>
  <c r="T130" i="11400"/>
  <c r="U130" i="11400"/>
  <c r="W130" i="11400"/>
  <c r="C131" i="11400"/>
  <c r="D131" i="11400"/>
  <c r="E131" i="11400"/>
  <c r="H131" i="11400"/>
  <c r="I131" i="11400"/>
  <c r="J131" i="11400"/>
  <c r="M131" i="11400"/>
  <c r="N131" i="11400"/>
  <c r="P131" i="11400"/>
  <c r="Q131" i="11400"/>
  <c r="S131" i="11400"/>
  <c r="T131" i="11400"/>
  <c r="U131" i="11400"/>
  <c r="W131" i="11400"/>
  <c r="C132" i="11400"/>
  <c r="D132" i="11400"/>
  <c r="E132" i="11400"/>
  <c r="H132" i="11400"/>
  <c r="I132" i="11400"/>
  <c r="J132" i="11400"/>
  <c r="M132" i="11400"/>
  <c r="N132" i="11400"/>
  <c r="P132" i="11400"/>
  <c r="Q132" i="11400"/>
  <c r="S132" i="11400"/>
  <c r="T132" i="11400"/>
  <c r="U132" i="11400"/>
  <c r="W132" i="11400"/>
  <c r="C133" i="11400"/>
  <c r="D133" i="11400"/>
  <c r="E133" i="11400"/>
  <c r="H133" i="11400"/>
  <c r="I133" i="11400"/>
  <c r="J133" i="11400"/>
  <c r="M133" i="11400"/>
  <c r="N133" i="11400"/>
  <c r="P133" i="11400"/>
  <c r="Q133" i="11400"/>
  <c r="S133" i="11400"/>
  <c r="T133" i="11400"/>
  <c r="U133" i="11400"/>
  <c r="W133" i="11400"/>
  <c r="C134" i="11400"/>
  <c r="D134" i="11400"/>
  <c r="E134" i="11400"/>
  <c r="H134" i="11400"/>
  <c r="I134" i="11400"/>
  <c r="J134" i="11400"/>
  <c r="M134" i="11400"/>
  <c r="N134" i="11400"/>
  <c r="P134" i="11400"/>
  <c r="Q134" i="11400"/>
  <c r="S134" i="11400"/>
  <c r="T134" i="11400"/>
  <c r="U134" i="11400"/>
  <c r="W134" i="11400"/>
  <c r="C135" i="11400"/>
  <c r="D135" i="11400"/>
  <c r="E135" i="11400"/>
  <c r="H135" i="11400"/>
  <c r="I135" i="11400"/>
  <c r="J135" i="11400"/>
  <c r="M135" i="11400"/>
  <c r="N135" i="11400"/>
  <c r="P135" i="11400"/>
  <c r="Q135" i="11400"/>
  <c r="S135" i="11400"/>
  <c r="T135" i="11400"/>
  <c r="U135" i="11400"/>
  <c r="W135" i="11400"/>
  <c r="C136" i="11400"/>
  <c r="D136" i="11400"/>
  <c r="E136" i="11400"/>
  <c r="H136" i="11400"/>
  <c r="I136" i="11400"/>
  <c r="J136" i="11400"/>
  <c r="M136" i="11400"/>
  <c r="N136" i="11400"/>
  <c r="P136" i="11400"/>
  <c r="Q136" i="11400"/>
  <c r="S136" i="11400"/>
  <c r="T136" i="11400"/>
  <c r="U136" i="11400"/>
  <c r="W136" i="11400"/>
  <c r="C137" i="11400"/>
  <c r="D137" i="11400"/>
  <c r="E137" i="11400"/>
  <c r="H137" i="11400"/>
  <c r="I137" i="11400"/>
  <c r="J137" i="11400"/>
  <c r="M137" i="11400"/>
  <c r="N137" i="11400"/>
  <c r="P137" i="11400"/>
  <c r="Q137" i="11400"/>
  <c r="S137" i="11400"/>
  <c r="T137" i="11400"/>
  <c r="U137" i="11400"/>
  <c r="W137" i="11400"/>
  <c r="C138" i="11400"/>
  <c r="D138" i="11400"/>
  <c r="E138" i="11400"/>
  <c r="H138" i="11400"/>
  <c r="I138" i="11400"/>
  <c r="J138" i="11400"/>
  <c r="M138" i="11400"/>
  <c r="N138" i="11400"/>
  <c r="P138" i="11400"/>
  <c r="Q138" i="11400"/>
  <c r="S138" i="11400"/>
  <c r="T138" i="11400"/>
  <c r="U138" i="11400"/>
  <c r="W138" i="11400"/>
  <c r="C139" i="11400"/>
  <c r="D139" i="11400"/>
  <c r="E139" i="11400"/>
  <c r="H139" i="11400"/>
  <c r="I139" i="11400"/>
  <c r="J139" i="11400"/>
  <c r="M139" i="11400"/>
  <c r="N139" i="11400"/>
  <c r="P139" i="11400"/>
  <c r="Q139" i="11400"/>
  <c r="S139" i="11400"/>
  <c r="T139" i="11400"/>
  <c r="U139" i="11400"/>
  <c r="W139" i="11400"/>
  <c r="C140" i="11400"/>
  <c r="D140" i="11400"/>
  <c r="E140" i="11400"/>
  <c r="H140" i="11400"/>
  <c r="I140" i="11400"/>
  <c r="J140" i="11400"/>
  <c r="M140" i="11400"/>
  <c r="N140" i="11400"/>
  <c r="P140" i="11400"/>
  <c r="Q140" i="11400"/>
  <c r="S140" i="11400"/>
  <c r="T140" i="11400"/>
  <c r="U140" i="11400"/>
  <c r="W140" i="11400"/>
  <c r="C141" i="11400"/>
  <c r="D141" i="11400"/>
  <c r="E141" i="11400"/>
  <c r="H141" i="11400"/>
  <c r="I141" i="11400"/>
  <c r="J141" i="11400"/>
  <c r="M141" i="11400"/>
  <c r="N141" i="11400"/>
  <c r="P141" i="11400"/>
  <c r="Q141" i="11400"/>
  <c r="S141" i="11400"/>
  <c r="T141" i="11400"/>
  <c r="U141" i="11400"/>
  <c r="W141" i="11400"/>
  <c r="C142" i="11400"/>
  <c r="D142" i="11400"/>
  <c r="E142" i="11400"/>
  <c r="H142" i="11400"/>
  <c r="I142" i="11400"/>
  <c r="J142" i="11400"/>
  <c r="M142" i="11400"/>
  <c r="N142" i="11400"/>
  <c r="P142" i="11400"/>
  <c r="Q142" i="11400"/>
  <c r="S142" i="11400"/>
  <c r="T142" i="11400"/>
  <c r="U142" i="11400"/>
  <c r="W142" i="11400"/>
  <c r="C143" i="11400"/>
  <c r="D143" i="11400"/>
  <c r="E143" i="11400"/>
  <c r="H143" i="11400"/>
  <c r="I143" i="11400"/>
  <c r="J143" i="11400"/>
  <c r="M143" i="11400"/>
  <c r="N143" i="11400"/>
  <c r="P143" i="11400"/>
  <c r="Q143" i="11400"/>
  <c r="S143" i="11400"/>
  <c r="T143" i="11400"/>
  <c r="U143" i="11400"/>
  <c r="W143" i="11400"/>
  <c r="C144" i="11400"/>
  <c r="D144" i="11400"/>
  <c r="E144" i="11400"/>
  <c r="H144" i="11400"/>
  <c r="I144" i="11400"/>
  <c r="J144" i="11400"/>
  <c r="M144" i="11400"/>
  <c r="N144" i="11400"/>
  <c r="P144" i="11400"/>
  <c r="Q144" i="11400"/>
  <c r="S144" i="11400"/>
  <c r="T144" i="11400"/>
  <c r="U144" i="11400"/>
  <c r="W144" i="11400"/>
  <c r="C145" i="11400"/>
  <c r="D145" i="11400"/>
  <c r="E145" i="11400"/>
  <c r="H145" i="11400"/>
  <c r="I145" i="11400"/>
  <c r="J145" i="11400"/>
  <c r="M145" i="11400"/>
  <c r="N145" i="11400"/>
  <c r="P145" i="11400"/>
  <c r="Q145" i="11400"/>
  <c r="S145" i="11400"/>
  <c r="T145" i="11400"/>
  <c r="U145" i="11400"/>
  <c r="W145" i="11400"/>
  <c r="C146" i="11400"/>
  <c r="D146" i="11400"/>
  <c r="E146" i="11400"/>
  <c r="H146" i="11400"/>
  <c r="I146" i="11400"/>
  <c r="J146" i="11400"/>
  <c r="M146" i="11400"/>
  <c r="N146" i="11400"/>
  <c r="P146" i="11400"/>
  <c r="Q146" i="11400"/>
  <c r="S146" i="11400"/>
  <c r="T146" i="11400"/>
  <c r="U146" i="11400"/>
  <c r="W146" i="11400"/>
  <c r="C147" i="11400"/>
  <c r="D147" i="11400"/>
  <c r="E147" i="11400"/>
  <c r="H147" i="11400"/>
  <c r="I147" i="11400"/>
  <c r="J147" i="11400"/>
  <c r="M147" i="11400"/>
  <c r="N147" i="11400"/>
  <c r="P147" i="11400"/>
  <c r="Q147" i="11400"/>
  <c r="S147" i="11400"/>
  <c r="T147" i="11400"/>
  <c r="U147" i="11400"/>
  <c r="W147" i="11400"/>
  <c r="C148" i="11400"/>
  <c r="D148" i="11400"/>
  <c r="E148" i="11400"/>
  <c r="H148" i="11400"/>
  <c r="I148" i="11400"/>
  <c r="J148" i="11400"/>
  <c r="M148" i="11400"/>
  <c r="N148" i="11400"/>
  <c r="P148" i="11400"/>
  <c r="Q148" i="11400"/>
  <c r="S148" i="11400"/>
  <c r="T148" i="11400"/>
  <c r="U148" i="11400"/>
  <c r="W148" i="11400"/>
  <c r="C149" i="11400"/>
  <c r="D149" i="11400"/>
  <c r="E149" i="11400"/>
  <c r="H149" i="11400"/>
  <c r="I149" i="11400"/>
  <c r="J149" i="11400"/>
  <c r="M149" i="11400"/>
  <c r="N149" i="11400"/>
  <c r="P149" i="11400"/>
  <c r="Q149" i="11400"/>
  <c r="S149" i="11400"/>
  <c r="T149" i="11400"/>
  <c r="U149" i="11400"/>
  <c r="W149" i="11400"/>
  <c r="C150" i="11400"/>
  <c r="D150" i="11400"/>
  <c r="E150" i="11400"/>
  <c r="H150" i="11400"/>
  <c r="I150" i="11400"/>
  <c r="J150" i="11400"/>
  <c r="M150" i="11400"/>
  <c r="N150" i="11400"/>
  <c r="P150" i="11400"/>
  <c r="Q150" i="11400"/>
  <c r="S150" i="11400"/>
  <c r="T150" i="11400"/>
  <c r="U150" i="11400"/>
  <c r="W150" i="11400"/>
  <c r="C151" i="11400"/>
  <c r="D151" i="11400"/>
  <c r="E151" i="11400"/>
  <c r="H151" i="11400"/>
  <c r="I151" i="11400"/>
  <c r="J151" i="11400"/>
  <c r="M151" i="11400"/>
  <c r="N151" i="11400"/>
  <c r="P151" i="11400"/>
  <c r="Q151" i="11400"/>
  <c r="S151" i="11400"/>
  <c r="T151" i="11400"/>
  <c r="U151" i="11400"/>
  <c r="W151" i="11400"/>
  <c r="C152" i="11400"/>
  <c r="D152" i="11400"/>
  <c r="E152" i="11400"/>
  <c r="H152" i="11400"/>
  <c r="I152" i="11400"/>
  <c r="J152" i="11400"/>
  <c r="M152" i="11400"/>
  <c r="N152" i="11400"/>
  <c r="P152" i="11400"/>
  <c r="Q152" i="11400"/>
  <c r="S152" i="11400"/>
  <c r="T152" i="11400"/>
  <c r="U152" i="11400"/>
  <c r="W152" i="11400"/>
  <c r="C153" i="11400"/>
  <c r="D153" i="11400"/>
  <c r="E153" i="11400"/>
  <c r="H153" i="11400"/>
  <c r="I153" i="11400"/>
  <c r="J153" i="11400"/>
  <c r="M153" i="11400"/>
  <c r="N153" i="11400"/>
  <c r="P153" i="11400"/>
  <c r="Q153" i="11400"/>
  <c r="S153" i="11400"/>
  <c r="T153" i="11400"/>
  <c r="U153" i="11400"/>
  <c r="W153" i="11400"/>
  <c r="C154" i="11400"/>
  <c r="D154" i="11400"/>
  <c r="E154" i="11400"/>
  <c r="H154" i="11400"/>
  <c r="I154" i="11400"/>
  <c r="J154" i="11400"/>
  <c r="M154" i="11400"/>
  <c r="N154" i="11400"/>
  <c r="P154" i="11400"/>
  <c r="Q154" i="11400"/>
  <c r="S154" i="11400"/>
  <c r="T154" i="11400"/>
  <c r="U154" i="11400"/>
  <c r="W154" i="11400"/>
  <c r="C155" i="11400"/>
  <c r="D155" i="11400"/>
  <c r="E155" i="11400"/>
  <c r="H155" i="11400"/>
  <c r="I155" i="11400"/>
  <c r="J155" i="11400"/>
  <c r="M155" i="11400"/>
  <c r="N155" i="11400"/>
  <c r="P155" i="11400"/>
  <c r="Q155" i="11400"/>
  <c r="S155" i="11400"/>
  <c r="T155" i="11400"/>
  <c r="U155" i="11400"/>
  <c r="W155" i="11400"/>
  <c r="C156" i="11400"/>
  <c r="D156" i="11400"/>
  <c r="E156" i="11400"/>
  <c r="H156" i="11400"/>
  <c r="I156" i="11400"/>
  <c r="J156" i="11400"/>
  <c r="M156" i="11400"/>
  <c r="N156" i="11400"/>
  <c r="P156" i="11400"/>
  <c r="Q156" i="11400"/>
  <c r="S156" i="11400"/>
  <c r="T156" i="11400"/>
  <c r="U156" i="11400"/>
  <c r="W156" i="11400"/>
  <c r="C157" i="11400"/>
  <c r="D157" i="11400"/>
  <c r="E157" i="11400"/>
  <c r="H157" i="11400"/>
  <c r="I157" i="11400"/>
  <c r="J157" i="11400"/>
  <c r="M157" i="11400"/>
  <c r="N157" i="11400"/>
  <c r="P157" i="11400"/>
  <c r="Q157" i="11400"/>
  <c r="S157" i="11400"/>
  <c r="T157" i="11400"/>
  <c r="U157" i="11400"/>
  <c r="W157" i="11400"/>
  <c r="C158" i="11400"/>
  <c r="D158" i="11400"/>
  <c r="E158" i="11400"/>
  <c r="H158" i="11400"/>
  <c r="I158" i="11400"/>
  <c r="J158" i="11400"/>
  <c r="M158" i="11400"/>
  <c r="N158" i="11400"/>
  <c r="P158" i="11400"/>
  <c r="Q158" i="11400"/>
  <c r="S158" i="11400"/>
  <c r="T158" i="11400"/>
  <c r="U158" i="11400"/>
  <c r="W158" i="11400"/>
  <c r="C159" i="11400"/>
  <c r="D159" i="11400"/>
  <c r="E159" i="11400"/>
  <c r="H159" i="11400"/>
  <c r="I159" i="11400"/>
  <c r="J159" i="11400"/>
  <c r="M159" i="11400"/>
  <c r="N159" i="11400"/>
  <c r="P159" i="11400"/>
  <c r="Q159" i="11400"/>
  <c r="S159" i="11400"/>
  <c r="T159" i="11400"/>
  <c r="U159" i="11400"/>
  <c r="W159" i="11400"/>
  <c r="C160" i="11400"/>
  <c r="D160" i="11400"/>
  <c r="E160" i="11400"/>
  <c r="H160" i="11400"/>
  <c r="I160" i="11400"/>
  <c r="J160" i="11400"/>
  <c r="M160" i="11400"/>
  <c r="N160" i="11400"/>
  <c r="P160" i="11400"/>
  <c r="Q160" i="11400"/>
  <c r="S160" i="11400"/>
  <c r="T160" i="11400"/>
  <c r="U160" i="11400"/>
  <c r="W160" i="11400"/>
  <c r="C161" i="11400"/>
  <c r="D161" i="11400"/>
  <c r="E161" i="11400"/>
  <c r="H161" i="11400"/>
  <c r="I161" i="11400"/>
  <c r="J161" i="11400"/>
  <c r="M161" i="11400"/>
  <c r="N161" i="11400"/>
  <c r="P161" i="11400"/>
  <c r="Q161" i="11400"/>
  <c r="S161" i="11400"/>
  <c r="T161" i="11400"/>
  <c r="U161" i="11400"/>
  <c r="W161" i="11400"/>
  <c r="C162" i="11400"/>
  <c r="D162" i="11400"/>
  <c r="E162" i="11400"/>
  <c r="H162" i="11400"/>
  <c r="I162" i="11400"/>
  <c r="J162" i="11400"/>
  <c r="M162" i="11400"/>
  <c r="N162" i="11400"/>
  <c r="P162" i="11400"/>
  <c r="Q162" i="11400"/>
  <c r="S162" i="11400"/>
  <c r="T162" i="11400"/>
  <c r="U162" i="11400"/>
  <c r="W162" i="11400"/>
  <c r="C163" i="11400"/>
  <c r="D163" i="11400"/>
  <c r="E163" i="11400"/>
  <c r="H163" i="11400"/>
  <c r="I163" i="11400"/>
  <c r="J163" i="11400"/>
  <c r="M163" i="11400"/>
  <c r="N163" i="11400"/>
  <c r="P163" i="11400"/>
  <c r="Q163" i="11400"/>
  <c r="S163" i="11400"/>
  <c r="T163" i="11400"/>
  <c r="U163" i="11400"/>
  <c r="W163" i="11400"/>
  <c r="C164" i="11400"/>
  <c r="D164" i="11400"/>
  <c r="E164" i="11400"/>
  <c r="H164" i="11400"/>
  <c r="I164" i="11400"/>
  <c r="J164" i="11400"/>
  <c r="M164" i="11400"/>
  <c r="N164" i="11400"/>
  <c r="P164" i="11400"/>
  <c r="Q164" i="11400"/>
  <c r="S164" i="11400"/>
  <c r="T164" i="11400"/>
  <c r="U164" i="11400"/>
  <c r="W164" i="11400"/>
  <c r="C165" i="11400"/>
  <c r="D165" i="11400"/>
  <c r="E165" i="11400"/>
  <c r="H165" i="11400"/>
  <c r="I165" i="11400"/>
  <c r="J165" i="11400"/>
  <c r="M165" i="11400"/>
  <c r="N165" i="11400"/>
  <c r="P165" i="11400"/>
  <c r="Q165" i="11400"/>
  <c r="S165" i="11400"/>
  <c r="T165" i="11400"/>
  <c r="U165" i="11400"/>
  <c r="W165" i="11400"/>
  <c r="C166" i="11400"/>
  <c r="D166" i="11400"/>
  <c r="E166" i="11400"/>
  <c r="H166" i="11400"/>
  <c r="I166" i="11400"/>
  <c r="J166" i="11400"/>
  <c r="M166" i="11400"/>
  <c r="N166" i="11400"/>
  <c r="P166" i="11400"/>
  <c r="Q166" i="11400"/>
  <c r="S166" i="11400"/>
  <c r="T166" i="11400"/>
  <c r="U166" i="11400"/>
  <c r="W166" i="11400"/>
  <c r="C167" i="11400"/>
  <c r="D167" i="11400"/>
  <c r="E167" i="11400"/>
  <c r="H167" i="11400"/>
  <c r="I167" i="11400"/>
  <c r="J167" i="11400"/>
  <c r="M167" i="11400"/>
  <c r="N167" i="11400"/>
  <c r="P167" i="11400"/>
  <c r="Q167" i="11400"/>
  <c r="S167" i="11400"/>
  <c r="T167" i="11400"/>
  <c r="U167" i="11400"/>
  <c r="W167" i="11400"/>
  <c r="C168" i="11400"/>
  <c r="D168" i="11400"/>
  <c r="E168" i="11400"/>
  <c r="H168" i="11400"/>
  <c r="I168" i="11400"/>
  <c r="J168" i="11400"/>
  <c r="M168" i="11400"/>
  <c r="N168" i="11400"/>
  <c r="P168" i="11400"/>
  <c r="Q168" i="11400"/>
  <c r="S168" i="11400"/>
  <c r="T168" i="11400"/>
  <c r="U168" i="11400"/>
  <c r="W168" i="11400"/>
  <c r="C169" i="11400"/>
  <c r="D169" i="11400"/>
  <c r="E169" i="11400"/>
  <c r="H169" i="11400"/>
  <c r="I169" i="11400"/>
  <c r="J169" i="11400"/>
  <c r="M169" i="11400"/>
  <c r="N169" i="11400"/>
  <c r="P169" i="11400"/>
  <c r="Q169" i="11400"/>
  <c r="S169" i="11400"/>
  <c r="T169" i="11400"/>
  <c r="U169" i="11400"/>
  <c r="W169" i="11400"/>
  <c r="C170" i="11400"/>
  <c r="D170" i="11400"/>
  <c r="E170" i="11400"/>
  <c r="H170" i="11400"/>
  <c r="I170" i="11400"/>
  <c r="J170" i="11400"/>
  <c r="M170" i="11400"/>
  <c r="N170" i="11400"/>
  <c r="P170" i="11400"/>
  <c r="Q170" i="11400"/>
  <c r="S170" i="11400"/>
  <c r="T170" i="11400"/>
  <c r="U170" i="11400"/>
  <c r="W170" i="11400"/>
  <c r="C171" i="11400"/>
  <c r="D171" i="11400"/>
  <c r="E171" i="11400"/>
  <c r="H171" i="11400"/>
  <c r="I171" i="11400"/>
  <c r="J171" i="11400"/>
  <c r="M171" i="11400"/>
  <c r="N171" i="11400"/>
  <c r="P171" i="11400"/>
  <c r="Q171" i="11400"/>
  <c r="S171" i="11400"/>
  <c r="T171" i="11400"/>
  <c r="U171" i="11400"/>
  <c r="W171" i="11400"/>
  <c r="C172" i="11400"/>
  <c r="D172" i="11400"/>
  <c r="E172" i="11400"/>
  <c r="H172" i="11400"/>
  <c r="I172" i="11400"/>
  <c r="J172" i="11400"/>
  <c r="M172" i="11400"/>
  <c r="N172" i="11400"/>
  <c r="P172" i="11400"/>
  <c r="Q172" i="11400"/>
  <c r="S172" i="11400"/>
  <c r="T172" i="11400"/>
  <c r="U172" i="11400"/>
  <c r="W172" i="11400"/>
  <c r="C173" i="11400"/>
  <c r="D173" i="11400"/>
  <c r="E173" i="11400"/>
  <c r="H173" i="11400"/>
  <c r="I173" i="11400"/>
  <c r="J173" i="11400"/>
  <c r="M173" i="11400"/>
  <c r="N173" i="11400"/>
  <c r="P173" i="11400"/>
  <c r="Q173" i="11400"/>
  <c r="S173" i="11400"/>
  <c r="T173" i="11400"/>
  <c r="U173" i="11400"/>
  <c r="W173" i="11400"/>
  <c r="C174" i="11400"/>
  <c r="D174" i="11400"/>
  <c r="E174" i="11400"/>
  <c r="H174" i="11400"/>
  <c r="I174" i="11400"/>
  <c r="J174" i="11400"/>
  <c r="M174" i="11400"/>
  <c r="N174" i="11400"/>
  <c r="P174" i="11400"/>
  <c r="Q174" i="11400"/>
  <c r="S174" i="11400"/>
  <c r="T174" i="11400"/>
  <c r="U174" i="11400"/>
  <c r="W174" i="11400"/>
  <c r="C175" i="11400"/>
  <c r="D175" i="11400"/>
  <c r="E175" i="11400"/>
  <c r="H175" i="11400"/>
  <c r="I175" i="11400"/>
  <c r="J175" i="11400"/>
  <c r="M175" i="11400"/>
  <c r="N175" i="11400"/>
  <c r="P175" i="11400"/>
  <c r="Q175" i="11400"/>
  <c r="S175" i="11400"/>
  <c r="T175" i="11400"/>
  <c r="U175" i="11400"/>
  <c r="W175" i="11400"/>
  <c r="C176" i="11400"/>
  <c r="D176" i="11400"/>
  <c r="E176" i="11400"/>
  <c r="H176" i="11400"/>
  <c r="I176" i="11400"/>
  <c r="J176" i="11400"/>
  <c r="M176" i="11400"/>
  <c r="N176" i="11400"/>
  <c r="P176" i="11400"/>
  <c r="Q176" i="11400"/>
  <c r="S176" i="11400"/>
  <c r="T176" i="11400"/>
  <c r="U176" i="11400"/>
  <c r="W176" i="11400"/>
  <c r="C177" i="11400"/>
  <c r="D177" i="11400"/>
  <c r="E177" i="11400"/>
  <c r="H177" i="11400"/>
  <c r="I177" i="11400"/>
  <c r="J177" i="11400"/>
  <c r="M177" i="11400"/>
  <c r="N177" i="11400"/>
  <c r="P177" i="11400"/>
  <c r="Q177" i="11400"/>
  <c r="S177" i="11400"/>
  <c r="T177" i="11400"/>
  <c r="U177" i="11400"/>
  <c r="W177" i="11400"/>
  <c r="C178" i="11400"/>
  <c r="D178" i="11400"/>
  <c r="E178" i="11400"/>
  <c r="H178" i="11400"/>
  <c r="I178" i="11400"/>
  <c r="J178" i="11400"/>
  <c r="M178" i="11400"/>
  <c r="N178" i="11400"/>
  <c r="P178" i="11400"/>
  <c r="Q178" i="11400"/>
  <c r="S178" i="11400"/>
  <c r="T178" i="11400"/>
  <c r="U178" i="11400"/>
  <c r="W178" i="11400"/>
  <c r="C179" i="11400"/>
  <c r="D179" i="11400"/>
  <c r="E179" i="11400"/>
  <c r="H179" i="11400"/>
  <c r="I179" i="11400"/>
  <c r="J179" i="11400"/>
  <c r="M179" i="11400"/>
  <c r="N179" i="11400"/>
  <c r="P179" i="11400"/>
  <c r="Q179" i="11400"/>
  <c r="S179" i="11400"/>
  <c r="T179" i="11400"/>
  <c r="U179" i="11400"/>
  <c r="W179" i="11400"/>
  <c r="C180" i="11400"/>
  <c r="D180" i="11400"/>
  <c r="E180" i="11400"/>
  <c r="H180" i="11400"/>
  <c r="I180" i="11400"/>
  <c r="J180" i="11400"/>
  <c r="M180" i="11400"/>
  <c r="N180" i="11400"/>
  <c r="P180" i="11400"/>
  <c r="Q180" i="11400"/>
  <c r="S180" i="11400"/>
  <c r="T180" i="11400"/>
  <c r="U180" i="11400"/>
  <c r="W180" i="11400"/>
  <c r="C181" i="11400"/>
  <c r="D181" i="11400"/>
  <c r="E181" i="11400"/>
  <c r="H181" i="11400"/>
  <c r="I181" i="11400"/>
  <c r="J181" i="11400"/>
  <c r="M181" i="11400"/>
  <c r="N181" i="11400"/>
  <c r="P181" i="11400"/>
  <c r="Q181" i="11400"/>
  <c r="S181" i="11400"/>
  <c r="T181" i="11400"/>
  <c r="U181" i="11400"/>
  <c r="W181" i="11400"/>
  <c r="C182" i="11400"/>
  <c r="D182" i="11400"/>
  <c r="E182" i="11400"/>
  <c r="H182" i="11400"/>
  <c r="I182" i="11400"/>
  <c r="J182" i="11400"/>
  <c r="M182" i="11400"/>
  <c r="N182" i="11400"/>
  <c r="P182" i="11400"/>
  <c r="Q182" i="11400"/>
  <c r="S182" i="11400"/>
  <c r="T182" i="11400"/>
  <c r="U182" i="11400"/>
  <c r="W182" i="11400"/>
  <c r="C183" i="11400"/>
  <c r="D183" i="11400"/>
  <c r="E183" i="11400"/>
  <c r="H183" i="11400"/>
  <c r="I183" i="11400"/>
  <c r="J183" i="11400"/>
  <c r="M183" i="11400"/>
  <c r="N183" i="11400"/>
  <c r="P183" i="11400"/>
  <c r="Q183" i="11400"/>
  <c r="S183" i="11400"/>
  <c r="T183" i="11400"/>
  <c r="U183" i="11400"/>
  <c r="W183" i="11400"/>
  <c r="C184" i="11400"/>
  <c r="D184" i="11400"/>
  <c r="E184" i="11400"/>
  <c r="H184" i="11400"/>
  <c r="I184" i="11400"/>
  <c r="J184" i="11400"/>
  <c r="M184" i="11400"/>
  <c r="N184" i="11400"/>
  <c r="P184" i="11400"/>
  <c r="Q184" i="11400"/>
  <c r="S184" i="11400"/>
  <c r="T184" i="11400"/>
  <c r="U184" i="11400"/>
  <c r="W184" i="11400"/>
  <c r="C185" i="11400"/>
  <c r="D185" i="11400"/>
  <c r="E185" i="11400"/>
  <c r="H185" i="11400"/>
  <c r="I185" i="11400"/>
  <c r="J185" i="11400"/>
  <c r="M185" i="11400"/>
  <c r="N185" i="11400"/>
  <c r="P185" i="11400"/>
  <c r="Q185" i="11400"/>
  <c r="S185" i="11400"/>
  <c r="T185" i="11400"/>
  <c r="U185" i="11400"/>
  <c r="W185" i="11400"/>
  <c r="C186" i="11400"/>
  <c r="D186" i="11400"/>
  <c r="E186" i="11400"/>
  <c r="H186" i="11400"/>
  <c r="I186" i="11400"/>
  <c r="J186" i="11400"/>
  <c r="M186" i="11400"/>
  <c r="N186" i="11400"/>
  <c r="P186" i="11400"/>
  <c r="Q186" i="11400"/>
  <c r="S186" i="11400"/>
  <c r="T186" i="11400"/>
  <c r="U186" i="11400"/>
  <c r="W186" i="11400"/>
  <c r="C187" i="11400"/>
  <c r="D187" i="11400"/>
  <c r="E187" i="11400"/>
  <c r="H187" i="11400"/>
  <c r="I187" i="11400"/>
  <c r="J187" i="11400"/>
  <c r="M187" i="11400"/>
  <c r="N187" i="11400"/>
  <c r="P187" i="11400"/>
  <c r="Q187" i="11400"/>
  <c r="S187" i="11400"/>
  <c r="T187" i="11400"/>
  <c r="U187" i="11400"/>
  <c r="W187" i="11400"/>
  <c r="C188" i="11400"/>
  <c r="D188" i="11400"/>
  <c r="E188" i="11400"/>
  <c r="H188" i="11400"/>
  <c r="I188" i="11400"/>
  <c r="J188" i="11400"/>
  <c r="M188" i="11400"/>
  <c r="N188" i="11400"/>
  <c r="P188" i="11400"/>
  <c r="Q188" i="11400"/>
  <c r="S188" i="11400"/>
  <c r="T188" i="11400"/>
  <c r="U188" i="11400"/>
  <c r="W188" i="11400"/>
  <c r="C189" i="11400"/>
  <c r="D189" i="11400"/>
  <c r="E189" i="11400"/>
  <c r="H189" i="11400"/>
  <c r="I189" i="11400"/>
  <c r="J189" i="11400"/>
  <c r="M189" i="11400"/>
  <c r="N189" i="11400"/>
  <c r="P189" i="11400"/>
  <c r="Q189" i="11400"/>
  <c r="S189" i="11400"/>
  <c r="T189" i="11400"/>
  <c r="U189" i="11400"/>
  <c r="W189" i="11400"/>
  <c r="C190" i="11400"/>
  <c r="D190" i="11400"/>
  <c r="E190" i="11400"/>
  <c r="H190" i="11400"/>
  <c r="I190" i="11400"/>
  <c r="J190" i="11400"/>
  <c r="M190" i="11400"/>
  <c r="N190" i="11400"/>
  <c r="P190" i="11400"/>
  <c r="Q190" i="11400"/>
  <c r="S190" i="11400"/>
  <c r="T190" i="11400"/>
  <c r="U190" i="11400"/>
  <c r="W190" i="11400"/>
  <c r="C191" i="11400"/>
  <c r="D191" i="11400"/>
  <c r="E191" i="11400"/>
  <c r="H191" i="11400"/>
  <c r="I191" i="11400"/>
  <c r="J191" i="11400"/>
  <c r="M191" i="11400"/>
  <c r="N191" i="11400"/>
  <c r="P191" i="11400"/>
  <c r="Q191" i="11400"/>
  <c r="S191" i="11400"/>
  <c r="T191" i="11400"/>
  <c r="U191" i="11400"/>
  <c r="W191" i="11400"/>
  <c r="C192" i="11400"/>
  <c r="D192" i="11400"/>
  <c r="E192" i="11400"/>
  <c r="H192" i="11400"/>
  <c r="I192" i="11400"/>
  <c r="J192" i="11400"/>
  <c r="M192" i="11400"/>
  <c r="N192" i="11400"/>
  <c r="P192" i="11400"/>
  <c r="Q192" i="11400"/>
  <c r="S192" i="11400"/>
  <c r="T192" i="11400"/>
  <c r="U192" i="11400"/>
  <c r="W192" i="11400"/>
  <c r="C193" i="11400"/>
  <c r="D193" i="11400"/>
  <c r="E193" i="11400"/>
  <c r="H193" i="11400"/>
  <c r="I193" i="11400"/>
  <c r="J193" i="11400"/>
  <c r="M193" i="11400"/>
  <c r="N193" i="11400"/>
  <c r="P193" i="11400"/>
  <c r="Q193" i="11400"/>
  <c r="S193" i="11400"/>
  <c r="T193" i="11400"/>
  <c r="U193" i="11400"/>
  <c r="W193" i="11400"/>
  <c r="C194" i="11400"/>
  <c r="D194" i="11400"/>
  <c r="E194" i="11400"/>
  <c r="H194" i="11400"/>
  <c r="I194" i="11400"/>
  <c r="J194" i="11400"/>
  <c r="M194" i="11400"/>
  <c r="N194" i="11400"/>
  <c r="P194" i="11400"/>
  <c r="Q194" i="11400"/>
  <c r="S194" i="11400"/>
  <c r="T194" i="11400"/>
  <c r="U194" i="11400"/>
  <c r="W194" i="11400"/>
  <c r="C195" i="11400"/>
  <c r="D195" i="11400"/>
  <c r="E195" i="11400"/>
  <c r="H195" i="11400"/>
  <c r="I195" i="11400"/>
  <c r="J195" i="11400"/>
  <c r="M195" i="11400"/>
  <c r="N195" i="11400"/>
  <c r="P195" i="11400"/>
  <c r="Q195" i="11400"/>
  <c r="S195" i="11400"/>
  <c r="T195" i="11400"/>
  <c r="U195" i="11400"/>
  <c r="W195" i="11400"/>
  <c r="C196" i="11400"/>
  <c r="D196" i="11400"/>
  <c r="E196" i="11400"/>
  <c r="H196" i="11400"/>
  <c r="I196" i="11400"/>
  <c r="J196" i="11400"/>
  <c r="M196" i="11400"/>
  <c r="N196" i="11400"/>
  <c r="P196" i="11400"/>
  <c r="Q196" i="11400"/>
  <c r="S196" i="11400"/>
  <c r="T196" i="11400"/>
  <c r="U196" i="11400"/>
  <c r="W196" i="11400"/>
  <c r="C197" i="11400"/>
  <c r="D197" i="11400"/>
  <c r="E197" i="11400"/>
  <c r="H197" i="11400"/>
  <c r="I197" i="11400"/>
  <c r="J197" i="11400"/>
  <c r="M197" i="11400"/>
  <c r="N197" i="11400"/>
  <c r="P197" i="11400"/>
  <c r="Q197" i="11400"/>
  <c r="S197" i="11400"/>
  <c r="T197" i="11400"/>
  <c r="U197" i="11400"/>
  <c r="W197" i="11400"/>
  <c r="C198" i="11400"/>
  <c r="D198" i="11400"/>
  <c r="E198" i="11400"/>
  <c r="H198" i="11400"/>
  <c r="I198" i="11400"/>
  <c r="J198" i="11400"/>
  <c r="M198" i="11400"/>
  <c r="N198" i="11400"/>
  <c r="P198" i="11400"/>
  <c r="Q198" i="11400"/>
  <c r="S198" i="11400"/>
  <c r="T198" i="11400"/>
  <c r="U198" i="11400"/>
  <c r="W198" i="11400"/>
  <c r="C199" i="11400"/>
  <c r="D199" i="11400"/>
  <c r="E199" i="11400"/>
  <c r="H199" i="11400"/>
  <c r="I199" i="11400"/>
  <c r="J199" i="11400"/>
  <c r="M199" i="11400"/>
  <c r="N199" i="11400"/>
  <c r="P199" i="11400"/>
  <c r="Q199" i="11400"/>
  <c r="S199" i="11400"/>
  <c r="T199" i="11400"/>
  <c r="U199" i="11400"/>
  <c r="W199" i="11400"/>
  <c r="C200" i="11400"/>
  <c r="D200" i="11400"/>
  <c r="E200" i="11400"/>
  <c r="H200" i="11400"/>
  <c r="I200" i="11400"/>
  <c r="J200" i="11400"/>
  <c r="M200" i="11400"/>
  <c r="N200" i="11400"/>
  <c r="P200" i="11400"/>
  <c r="Q200" i="11400"/>
  <c r="S200" i="11400"/>
  <c r="T200" i="11400"/>
  <c r="U200" i="11400"/>
  <c r="W200" i="11400"/>
  <c r="C201" i="11400"/>
  <c r="D201" i="11400"/>
  <c r="E201" i="11400"/>
  <c r="H201" i="11400"/>
  <c r="I201" i="11400"/>
  <c r="J201" i="11400"/>
  <c r="M201" i="11400"/>
  <c r="N201" i="11400"/>
  <c r="P201" i="11400"/>
  <c r="Q201" i="11400"/>
  <c r="S201" i="11400"/>
  <c r="T201" i="11400"/>
  <c r="U201" i="11400"/>
  <c r="W201" i="11400"/>
  <c r="C202" i="11400"/>
  <c r="D202" i="11400"/>
  <c r="E202" i="11400"/>
  <c r="H202" i="11400"/>
  <c r="I202" i="11400"/>
  <c r="J202" i="11400"/>
  <c r="M202" i="11400"/>
  <c r="N202" i="11400"/>
  <c r="P202" i="11400"/>
  <c r="Q202" i="11400"/>
  <c r="S202" i="11400"/>
  <c r="T202" i="11400"/>
  <c r="U202" i="11400"/>
  <c r="W202" i="11400"/>
  <c r="C203" i="11400"/>
  <c r="D203" i="11400"/>
  <c r="E203" i="11400"/>
  <c r="H203" i="11400"/>
  <c r="I203" i="11400"/>
  <c r="J203" i="11400"/>
  <c r="M203" i="11400"/>
  <c r="N203" i="11400"/>
  <c r="P203" i="11400"/>
  <c r="Q203" i="11400"/>
  <c r="S203" i="11400"/>
  <c r="T203" i="11400"/>
  <c r="U203" i="11400"/>
  <c r="W203" i="11400"/>
  <c r="C204" i="11400"/>
  <c r="D204" i="11400"/>
  <c r="E204" i="11400"/>
  <c r="H204" i="11400"/>
  <c r="I204" i="11400"/>
  <c r="J204" i="11400"/>
  <c r="M204" i="11400"/>
  <c r="N204" i="11400"/>
  <c r="P204" i="11400"/>
  <c r="Q204" i="11400"/>
  <c r="S204" i="11400"/>
  <c r="T204" i="11400"/>
  <c r="U204" i="11400"/>
  <c r="W204" i="11400"/>
  <c r="C205" i="11400"/>
  <c r="D205" i="11400"/>
  <c r="E205" i="11400"/>
  <c r="H205" i="11400"/>
  <c r="I205" i="11400"/>
  <c r="J205" i="11400"/>
  <c r="M205" i="11400"/>
  <c r="N205" i="11400"/>
  <c r="P205" i="11400"/>
  <c r="Q205" i="11400"/>
  <c r="S205" i="11400"/>
  <c r="T205" i="11400"/>
  <c r="U205" i="11400"/>
  <c r="W205" i="11400"/>
  <c r="C206" i="11400"/>
  <c r="D206" i="11400"/>
  <c r="E206" i="11400"/>
  <c r="H206" i="11400"/>
  <c r="I206" i="11400"/>
  <c r="J206" i="11400"/>
  <c r="M206" i="11400"/>
  <c r="N206" i="11400"/>
  <c r="P206" i="11400"/>
  <c r="Q206" i="11400"/>
  <c r="S206" i="11400"/>
  <c r="T206" i="11400"/>
  <c r="U206" i="11400"/>
  <c r="W206" i="11400"/>
  <c r="C207" i="11400"/>
  <c r="D207" i="11400"/>
  <c r="E207" i="11400"/>
  <c r="H207" i="11400"/>
  <c r="I207" i="11400"/>
  <c r="J207" i="11400"/>
  <c r="M207" i="11400"/>
  <c r="N207" i="11400"/>
  <c r="P207" i="11400"/>
  <c r="Q207" i="11400"/>
  <c r="S207" i="11400"/>
  <c r="T207" i="11400"/>
  <c r="U207" i="11400"/>
  <c r="W207" i="11400"/>
  <c r="C208" i="11400"/>
  <c r="D208" i="11400"/>
  <c r="E208" i="11400"/>
  <c r="H208" i="11400"/>
  <c r="I208" i="11400"/>
  <c r="J208" i="11400"/>
  <c r="M208" i="11400"/>
  <c r="N208" i="11400"/>
  <c r="P208" i="11400"/>
  <c r="Q208" i="11400"/>
  <c r="S208" i="11400"/>
  <c r="T208" i="11400"/>
  <c r="U208" i="11400"/>
  <c r="W208" i="11400"/>
  <c r="C209" i="11400"/>
  <c r="D209" i="11400"/>
  <c r="E209" i="11400"/>
  <c r="H209" i="11400"/>
  <c r="I209" i="11400"/>
  <c r="J209" i="11400"/>
  <c r="M209" i="11400"/>
  <c r="N209" i="11400"/>
  <c r="P209" i="11400"/>
  <c r="Q209" i="11400"/>
  <c r="S209" i="11400"/>
  <c r="T209" i="11400"/>
  <c r="U209" i="11400"/>
  <c r="W209" i="11400"/>
  <c r="C210" i="11400"/>
  <c r="D210" i="11400"/>
  <c r="E210" i="11400"/>
  <c r="H210" i="11400"/>
  <c r="I210" i="11400"/>
  <c r="J210" i="11400"/>
  <c r="M210" i="11400"/>
  <c r="N210" i="11400"/>
  <c r="P210" i="11400"/>
  <c r="Q210" i="11400"/>
  <c r="S210" i="11400"/>
  <c r="T210" i="11400"/>
  <c r="U210" i="11400"/>
  <c r="W210" i="11400"/>
  <c r="C211" i="11400"/>
  <c r="D211" i="11400"/>
  <c r="E211" i="11400"/>
  <c r="H211" i="11400"/>
  <c r="I211" i="11400"/>
  <c r="J211" i="11400"/>
  <c r="M211" i="11400"/>
  <c r="N211" i="11400"/>
  <c r="P211" i="11400"/>
  <c r="Q211" i="11400"/>
  <c r="S211" i="11400"/>
  <c r="T211" i="11400"/>
  <c r="U211" i="11400"/>
  <c r="W211" i="11400"/>
  <c r="C212" i="11400"/>
  <c r="D212" i="11400"/>
  <c r="E212" i="11400"/>
  <c r="H212" i="11400"/>
  <c r="I212" i="11400"/>
  <c r="J212" i="11400"/>
  <c r="M212" i="11400"/>
  <c r="N212" i="11400"/>
  <c r="P212" i="11400"/>
  <c r="Q212" i="11400"/>
  <c r="S212" i="11400"/>
  <c r="T212" i="11400"/>
  <c r="U212" i="11400"/>
  <c r="W212" i="11400"/>
  <c r="C213" i="11400"/>
  <c r="D213" i="11400"/>
  <c r="E213" i="11400"/>
  <c r="H213" i="11400"/>
  <c r="I213" i="11400"/>
  <c r="J213" i="11400"/>
  <c r="M213" i="11400"/>
  <c r="N213" i="11400"/>
  <c r="P213" i="11400"/>
  <c r="Q213" i="11400"/>
  <c r="S213" i="11400"/>
  <c r="T213" i="11400"/>
  <c r="U213" i="11400"/>
  <c r="W213" i="11400"/>
  <c r="C214" i="11400"/>
  <c r="D214" i="11400"/>
  <c r="E214" i="11400"/>
  <c r="H214" i="11400"/>
  <c r="I214" i="11400"/>
  <c r="J214" i="11400"/>
  <c r="M214" i="11400"/>
  <c r="N214" i="11400"/>
  <c r="P214" i="11400"/>
  <c r="Q214" i="11400"/>
  <c r="S214" i="11400"/>
  <c r="T214" i="11400"/>
  <c r="U214" i="11400"/>
  <c r="W214" i="11400"/>
  <c r="C215" i="11400"/>
  <c r="D215" i="11400"/>
  <c r="E215" i="11400"/>
  <c r="H215" i="11400"/>
  <c r="I215" i="11400"/>
  <c r="J215" i="11400"/>
  <c r="M215" i="11400"/>
  <c r="N215" i="11400"/>
  <c r="P215" i="11400"/>
  <c r="Q215" i="11400"/>
  <c r="S215" i="11400"/>
  <c r="T215" i="11400"/>
  <c r="U215" i="11400"/>
  <c r="W215" i="11400"/>
  <c r="C216" i="11400"/>
  <c r="D216" i="11400"/>
  <c r="E216" i="11400"/>
  <c r="H216" i="11400"/>
  <c r="I216" i="11400"/>
  <c r="J216" i="11400"/>
  <c r="M216" i="11400"/>
  <c r="N216" i="11400"/>
  <c r="P216" i="11400"/>
  <c r="Q216" i="11400"/>
  <c r="S216" i="11400"/>
  <c r="T216" i="11400"/>
  <c r="U216" i="11400"/>
  <c r="W216" i="11400"/>
  <c r="C217" i="11400"/>
  <c r="D217" i="11400"/>
  <c r="E217" i="11400"/>
  <c r="H217" i="11400"/>
  <c r="I217" i="11400"/>
  <c r="J217" i="11400"/>
  <c r="M217" i="11400"/>
  <c r="N217" i="11400"/>
  <c r="P217" i="11400"/>
  <c r="Q217" i="11400"/>
  <c r="S217" i="11400"/>
  <c r="T217" i="11400"/>
  <c r="U217" i="11400"/>
  <c r="W217" i="11400"/>
  <c r="C218" i="11400"/>
  <c r="D218" i="11400"/>
  <c r="E218" i="11400"/>
  <c r="H218" i="11400"/>
  <c r="I218" i="11400"/>
  <c r="J218" i="11400"/>
  <c r="M218" i="11400"/>
  <c r="N218" i="11400"/>
  <c r="P218" i="11400"/>
  <c r="Q218" i="11400"/>
  <c r="S218" i="11400"/>
  <c r="T218" i="11400"/>
  <c r="U218" i="11400"/>
  <c r="W218" i="11400"/>
  <c r="C219" i="11400"/>
  <c r="D219" i="11400"/>
  <c r="E219" i="11400"/>
  <c r="H219" i="11400"/>
  <c r="I219" i="11400"/>
  <c r="J219" i="11400"/>
  <c r="M219" i="11400"/>
  <c r="N219" i="11400"/>
  <c r="P219" i="11400"/>
  <c r="Q219" i="11400"/>
  <c r="S219" i="11400"/>
  <c r="T219" i="11400"/>
  <c r="U219" i="11400"/>
  <c r="W219" i="11400"/>
  <c r="C220" i="11400"/>
  <c r="D220" i="11400"/>
  <c r="E220" i="11400"/>
  <c r="H220" i="11400"/>
  <c r="I220" i="11400"/>
  <c r="J220" i="11400"/>
  <c r="M220" i="11400"/>
  <c r="N220" i="11400"/>
  <c r="P220" i="11400"/>
  <c r="Q220" i="11400"/>
  <c r="S220" i="11400"/>
  <c r="T220" i="11400"/>
  <c r="U220" i="11400"/>
  <c r="W220" i="11400"/>
  <c r="C221" i="11400"/>
  <c r="D221" i="11400"/>
  <c r="E221" i="11400"/>
  <c r="H221" i="11400"/>
  <c r="I221" i="11400"/>
  <c r="J221" i="11400"/>
  <c r="M221" i="11400"/>
  <c r="N221" i="11400"/>
  <c r="P221" i="11400"/>
  <c r="Q221" i="11400"/>
  <c r="S221" i="11400"/>
  <c r="T221" i="11400"/>
  <c r="U221" i="11400"/>
  <c r="W221" i="11400"/>
  <c r="C222" i="11400"/>
  <c r="D222" i="11400"/>
  <c r="E222" i="11400"/>
  <c r="H222" i="11400"/>
  <c r="I222" i="11400"/>
  <c r="J222" i="11400"/>
  <c r="M222" i="11400"/>
  <c r="N222" i="11400"/>
  <c r="P222" i="11400"/>
  <c r="Q222" i="11400"/>
  <c r="S222" i="11400"/>
  <c r="T222" i="11400"/>
  <c r="U222" i="11400"/>
  <c r="W222" i="11400"/>
  <c r="C223" i="11400"/>
  <c r="D223" i="11400"/>
  <c r="E223" i="11400"/>
  <c r="H223" i="11400"/>
  <c r="I223" i="11400"/>
  <c r="J223" i="11400"/>
  <c r="M223" i="11400"/>
  <c r="N223" i="11400"/>
  <c r="P223" i="11400"/>
  <c r="Q223" i="11400"/>
  <c r="S223" i="11400"/>
  <c r="T223" i="11400"/>
  <c r="U223" i="11400"/>
  <c r="W223" i="11400"/>
  <c r="C224" i="11400"/>
  <c r="D224" i="11400"/>
  <c r="E224" i="11400"/>
  <c r="H224" i="11400"/>
  <c r="I224" i="11400"/>
  <c r="J224" i="11400"/>
  <c r="M224" i="11400"/>
  <c r="N224" i="11400"/>
  <c r="P224" i="11400"/>
  <c r="Q224" i="11400"/>
  <c r="S224" i="11400"/>
  <c r="T224" i="11400"/>
  <c r="U224" i="11400"/>
  <c r="W224" i="11400"/>
  <c r="C225" i="11400"/>
  <c r="D225" i="11400"/>
  <c r="E225" i="11400"/>
  <c r="H225" i="11400"/>
  <c r="I225" i="11400"/>
  <c r="J225" i="11400"/>
  <c r="M225" i="11400"/>
  <c r="N225" i="11400"/>
  <c r="P225" i="11400"/>
  <c r="Q225" i="11400"/>
  <c r="S225" i="11400"/>
  <c r="T225" i="11400"/>
  <c r="U225" i="11400"/>
  <c r="W225" i="11400"/>
  <c r="C226" i="11400"/>
  <c r="D226" i="11400"/>
  <c r="E226" i="11400"/>
  <c r="H226" i="11400"/>
  <c r="I226" i="11400"/>
  <c r="J226" i="11400"/>
  <c r="M226" i="11400"/>
  <c r="N226" i="11400"/>
  <c r="P226" i="11400"/>
  <c r="Q226" i="11400"/>
  <c r="S226" i="11400"/>
  <c r="T226" i="11400"/>
  <c r="U226" i="11400"/>
  <c r="W226" i="11400"/>
  <c r="C227" i="11400"/>
  <c r="D227" i="11400"/>
  <c r="E227" i="11400"/>
  <c r="H227" i="11400"/>
  <c r="I227" i="11400"/>
  <c r="J227" i="11400"/>
  <c r="M227" i="11400"/>
  <c r="N227" i="11400"/>
  <c r="P227" i="11400"/>
  <c r="Q227" i="11400"/>
  <c r="S227" i="11400"/>
  <c r="T227" i="11400"/>
  <c r="U227" i="11400"/>
  <c r="W227" i="11400"/>
  <c r="C228" i="11400"/>
  <c r="D228" i="11400"/>
  <c r="E228" i="11400"/>
  <c r="H228" i="11400"/>
  <c r="I228" i="11400"/>
  <c r="J228" i="11400"/>
  <c r="M228" i="11400"/>
  <c r="N228" i="11400"/>
  <c r="P228" i="11400"/>
  <c r="Q228" i="11400"/>
  <c r="S228" i="11400"/>
  <c r="T228" i="11400"/>
  <c r="U228" i="11400"/>
  <c r="W228" i="11400"/>
  <c r="C229" i="11400"/>
  <c r="D229" i="11400"/>
  <c r="E229" i="11400"/>
  <c r="H229" i="11400"/>
  <c r="I229" i="11400"/>
  <c r="J229" i="11400"/>
  <c r="M229" i="11400"/>
  <c r="N229" i="11400"/>
  <c r="P229" i="11400"/>
  <c r="Q229" i="11400"/>
  <c r="S229" i="11400"/>
  <c r="T229" i="11400"/>
  <c r="U229" i="11400"/>
  <c r="W229" i="11400"/>
  <c r="C230" i="11400"/>
  <c r="D230" i="11400"/>
  <c r="E230" i="11400"/>
  <c r="H230" i="11400"/>
  <c r="I230" i="11400"/>
  <c r="J230" i="11400"/>
  <c r="M230" i="11400"/>
  <c r="N230" i="11400"/>
  <c r="P230" i="11400"/>
  <c r="Q230" i="11400"/>
  <c r="S230" i="11400"/>
  <c r="T230" i="11400"/>
  <c r="U230" i="11400"/>
  <c r="W230" i="11400"/>
  <c r="C231" i="11400"/>
  <c r="D231" i="11400"/>
  <c r="E231" i="11400"/>
  <c r="H231" i="11400"/>
  <c r="I231" i="11400"/>
  <c r="J231" i="11400"/>
  <c r="M231" i="11400"/>
  <c r="N231" i="11400"/>
  <c r="P231" i="11400"/>
  <c r="Q231" i="11400"/>
  <c r="S231" i="11400"/>
  <c r="T231" i="11400"/>
  <c r="U231" i="11400"/>
  <c r="W231" i="11400"/>
  <c r="C232" i="11400"/>
  <c r="D232" i="11400"/>
  <c r="E232" i="11400"/>
  <c r="H232" i="11400"/>
  <c r="I232" i="11400"/>
  <c r="J232" i="11400"/>
  <c r="M232" i="11400"/>
  <c r="N232" i="11400"/>
  <c r="P232" i="11400"/>
  <c r="Q232" i="11400"/>
  <c r="S232" i="11400"/>
  <c r="T232" i="11400"/>
  <c r="U232" i="11400"/>
  <c r="W232" i="11400"/>
  <c r="C233" i="11400"/>
  <c r="D233" i="11400"/>
  <c r="E233" i="11400"/>
  <c r="H233" i="11400"/>
  <c r="I233" i="11400"/>
  <c r="J233" i="11400"/>
  <c r="M233" i="11400"/>
  <c r="N233" i="11400"/>
  <c r="P233" i="11400"/>
  <c r="Q233" i="11400"/>
  <c r="S233" i="11400"/>
  <c r="T233" i="11400"/>
  <c r="U233" i="11400"/>
  <c r="W233" i="11400"/>
  <c r="C234" i="11400"/>
  <c r="D234" i="11400"/>
  <c r="E234" i="11400"/>
  <c r="H234" i="11400"/>
  <c r="I234" i="11400"/>
  <c r="J234" i="11400"/>
  <c r="M234" i="11400"/>
  <c r="N234" i="11400"/>
  <c r="P234" i="11400"/>
  <c r="Q234" i="11400"/>
  <c r="S234" i="11400"/>
  <c r="T234" i="11400"/>
  <c r="U234" i="11400"/>
  <c r="W234" i="11400"/>
  <c r="C235" i="11400"/>
  <c r="D235" i="11400"/>
  <c r="E235" i="11400"/>
  <c r="H235" i="11400"/>
  <c r="I235" i="11400"/>
  <c r="J235" i="11400"/>
  <c r="M235" i="11400"/>
  <c r="N235" i="11400"/>
  <c r="P235" i="11400"/>
  <c r="Q235" i="11400"/>
  <c r="S235" i="11400"/>
  <c r="T235" i="11400"/>
  <c r="U235" i="11400"/>
  <c r="W235" i="11400"/>
  <c r="C236" i="11400"/>
  <c r="D236" i="11400"/>
  <c r="E236" i="11400"/>
  <c r="H236" i="11400"/>
  <c r="I236" i="11400"/>
  <c r="J236" i="11400"/>
  <c r="M236" i="11400"/>
  <c r="N236" i="11400"/>
  <c r="P236" i="11400"/>
  <c r="Q236" i="11400"/>
  <c r="S236" i="11400"/>
  <c r="T236" i="11400"/>
  <c r="U236" i="11400"/>
  <c r="W236" i="11400"/>
  <c r="C237" i="11400"/>
  <c r="D237" i="11400"/>
  <c r="E237" i="11400"/>
  <c r="H237" i="11400"/>
  <c r="I237" i="11400"/>
  <c r="J237" i="11400"/>
  <c r="M237" i="11400"/>
  <c r="N237" i="11400"/>
  <c r="P237" i="11400"/>
  <c r="Q237" i="11400"/>
  <c r="S237" i="11400"/>
  <c r="T237" i="11400"/>
  <c r="U237" i="11400"/>
  <c r="W237" i="11400"/>
  <c r="C238" i="11400"/>
  <c r="D238" i="11400"/>
  <c r="E238" i="11400"/>
  <c r="H238" i="11400"/>
  <c r="I238" i="11400"/>
  <c r="J238" i="11400"/>
  <c r="M238" i="11400"/>
  <c r="N238" i="11400"/>
  <c r="P238" i="11400"/>
  <c r="Q238" i="11400"/>
  <c r="S238" i="11400"/>
  <c r="T238" i="11400"/>
  <c r="U238" i="11400"/>
  <c r="W238" i="11400"/>
  <c r="O4" i="11406"/>
  <c r="C6" i="11406"/>
  <c r="F6" i="11406"/>
  <c r="U6" i="11406"/>
  <c r="V6" i="11406"/>
  <c r="W6" i="11406"/>
  <c r="X6" i="11406"/>
  <c r="C7" i="11406"/>
  <c r="F7" i="11406"/>
  <c r="J7" i="11406"/>
  <c r="U7" i="11406"/>
  <c r="V7" i="11406"/>
  <c r="W7" i="11406"/>
  <c r="X7" i="11406"/>
  <c r="I8" i="11406"/>
  <c r="J8" i="11406"/>
  <c r="L8" i="11406"/>
  <c r="M8" i="11406"/>
  <c r="N8" i="11406"/>
  <c r="U8" i="11406"/>
  <c r="V8" i="11406"/>
  <c r="W8" i="11406"/>
  <c r="X8" i="11406"/>
  <c r="C9" i="11406"/>
  <c r="F9" i="11406"/>
  <c r="I9" i="11406"/>
  <c r="J9" i="11406"/>
  <c r="L9" i="11406"/>
  <c r="M9" i="11406"/>
  <c r="N9" i="11406"/>
  <c r="U9" i="11406"/>
  <c r="V9" i="11406"/>
  <c r="W9" i="11406"/>
  <c r="X9" i="11406"/>
  <c r="C10" i="11406"/>
  <c r="F10" i="11406"/>
  <c r="I10" i="11406"/>
  <c r="J10" i="11406"/>
  <c r="L10" i="11406"/>
  <c r="M10" i="11406"/>
  <c r="N10" i="11406"/>
  <c r="U10" i="11406"/>
  <c r="V10" i="11406"/>
  <c r="W10" i="11406"/>
  <c r="X10" i="11406"/>
  <c r="AE10" i="11406"/>
  <c r="C11" i="11406"/>
  <c r="F11" i="11406"/>
  <c r="I11" i="11406"/>
  <c r="J11" i="11406"/>
  <c r="L11" i="11406"/>
  <c r="M11" i="11406"/>
  <c r="N11" i="11406"/>
  <c r="U11" i="11406"/>
  <c r="V11" i="11406"/>
  <c r="W11" i="11406"/>
  <c r="X11" i="11406"/>
  <c r="AE11" i="11406"/>
  <c r="I12" i="11406"/>
  <c r="J12" i="11406"/>
  <c r="L12" i="11406"/>
  <c r="M12" i="11406"/>
  <c r="N12" i="11406"/>
  <c r="U12" i="11406"/>
  <c r="V12" i="11406"/>
  <c r="W12" i="11406"/>
  <c r="X12" i="11406"/>
  <c r="AE12" i="11406"/>
  <c r="I13" i="11406"/>
  <c r="J13" i="11406"/>
  <c r="L13" i="11406"/>
  <c r="M13" i="11406"/>
  <c r="N13" i="11406"/>
  <c r="U13" i="11406"/>
  <c r="V13" i="11406"/>
  <c r="W13" i="11406"/>
  <c r="X13" i="11406"/>
  <c r="C14" i="11406"/>
  <c r="F14" i="11406"/>
  <c r="I14" i="11406"/>
  <c r="J14" i="11406"/>
  <c r="L14" i="11406"/>
  <c r="M14" i="11406"/>
  <c r="N14" i="11406"/>
  <c r="U14" i="11406"/>
  <c r="V14" i="11406"/>
  <c r="W14" i="11406"/>
  <c r="X14" i="11406"/>
  <c r="C15" i="11406"/>
  <c r="F15" i="11406"/>
  <c r="I15" i="11406"/>
  <c r="J15" i="11406"/>
  <c r="L15" i="11406"/>
  <c r="M15" i="11406"/>
  <c r="N15" i="11406"/>
  <c r="U15" i="11406"/>
  <c r="V15" i="11406"/>
  <c r="W15" i="11406"/>
  <c r="X15" i="11406"/>
  <c r="C16" i="11406"/>
  <c r="F16" i="11406"/>
  <c r="I16" i="11406"/>
  <c r="J16" i="11406"/>
  <c r="L16" i="11406"/>
  <c r="M16" i="11406"/>
  <c r="N16" i="11406"/>
  <c r="U16" i="11406"/>
  <c r="V16" i="11406"/>
  <c r="W16" i="11406"/>
  <c r="X16" i="11406"/>
  <c r="I17" i="11406"/>
  <c r="J17" i="11406"/>
  <c r="L17" i="11406"/>
  <c r="M17" i="11406"/>
  <c r="N17" i="11406"/>
  <c r="U17" i="11406"/>
  <c r="V17" i="11406"/>
  <c r="W17" i="11406"/>
  <c r="X17" i="11406"/>
  <c r="I18" i="11406"/>
  <c r="J18" i="11406"/>
  <c r="L18" i="11406"/>
  <c r="M18" i="11406"/>
  <c r="N18" i="11406"/>
  <c r="U18" i="11406"/>
  <c r="V18" i="11406"/>
  <c r="W18" i="11406"/>
  <c r="X18" i="11406"/>
  <c r="C19" i="11406"/>
  <c r="F19" i="11406"/>
  <c r="I19" i="11406"/>
  <c r="J19" i="11406"/>
  <c r="L19" i="11406"/>
  <c r="M19" i="11406"/>
  <c r="N19" i="11406"/>
  <c r="U19" i="11406"/>
  <c r="V19" i="11406"/>
  <c r="W19" i="11406"/>
  <c r="X19" i="11406"/>
  <c r="C20" i="11406"/>
  <c r="F20" i="11406"/>
  <c r="I20" i="11406"/>
  <c r="J20" i="11406"/>
  <c r="L20" i="11406"/>
  <c r="M20" i="11406"/>
  <c r="N20" i="11406"/>
  <c r="U20" i="11406"/>
  <c r="V20" i="11406"/>
  <c r="W20" i="11406"/>
  <c r="X20" i="11406"/>
  <c r="I21" i="11406"/>
  <c r="J21" i="11406"/>
  <c r="L21" i="11406"/>
  <c r="M21" i="11406"/>
  <c r="N21" i="11406"/>
  <c r="U21" i="11406"/>
  <c r="V21" i="11406"/>
  <c r="W21" i="11406"/>
  <c r="X21" i="11406"/>
  <c r="C22" i="11406"/>
  <c r="F22" i="11406"/>
  <c r="I22" i="11406"/>
  <c r="J22" i="11406"/>
  <c r="L22" i="11406"/>
  <c r="M22" i="11406"/>
  <c r="N22" i="11406"/>
  <c r="U22" i="11406"/>
  <c r="V22" i="11406"/>
  <c r="W22" i="11406"/>
  <c r="X22" i="11406"/>
  <c r="I23" i="11406"/>
  <c r="J23" i="11406"/>
  <c r="L23" i="11406"/>
  <c r="M23" i="11406"/>
  <c r="N23" i="11406"/>
  <c r="U23" i="11406"/>
  <c r="V23" i="11406"/>
  <c r="W23" i="11406"/>
  <c r="X23" i="11406"/>
  <c r="C24" i="11406"/>
  <c r="F24" i="11406"/>
  <c r="I24" i="11406"/>
  <c r="J24" i="11406"/>
  <c r="L24" i="11406"/>
  <c r="M24" i="11406"/>
  <c r="N24" i="11406"/>
  <c r="U24" i="11406"/>
  <c r="V24" i="11406"/>
  <c r="W24" i="11406"/>
  <c r="X24" i="11406"/>
  <c r="C25" i="11406"/>
  <c r="F25" i="11406"/>
  <c r="I25" i="11406"/>
  <c r="J25" i="11406"/>
  <c r="L25" i="11406"/>
  <c r="M25" i="11406"/>
  <c r="N25" i="11406"/>
  <c r="U25" i="11406"/>
  <c r="V25" i="11406"/>
  <c r="W25" i="11406"/>
  <c r="X25" i="11406"/>
  <c r="C26" i="11406"/>
  <c r="F26" i="11406"/>
  <c r="I26" i="11406"/>
  <c r="J26" i="11406"/>
  <c r="L26" i="11406"/>
  <c r="M26" i="11406"/>
  <c r="N26" i="11406"/>
  <c r="U26" i="11406"/>
  <c r="V26" i="11406"/>
  <c r="W26" i="11406"/>
  <c r="X26" i="11406"/>
  <c r="I27" i="11406"/>
  <c r="J27" i="11406"/>
  <c r="L27" i="11406"/>
  <c r="M27" i="11406"/>
  <c r="N27" i="11406"/>
  <c r="U27" i="11406"/>
  <c r="V27" i="11406"/>
  <c r="W27" i="11406"/>
  <c r="X27" i="11406"/>
  <c r="I28" i="11406"/>
  <c r="J28" i="11406"/>
  <c r="L28" i="11406"/>
  <c r="M28" i="11406"/>
  <c r="N28" i="11406"/>
  <c r="U28" i="11406"/>
  <c r="V28" i="11406"/>
  <c r="W28" i="11406"/>
  <c r="X28" i="11406"/>
  <c r="C29" i="11406"/>
  <c r="F29" i="11406"/>
  <c r="U29" i="11406"/>
  <c r="V29" i="11406"/>
  <c r="W29" i="11406"/>
  <c r="X29" i="11406"/>
  <c r="C30" i="11406"/>
  <c r="F30" i="11406"/>
  <c r="U30" i="11406"/>
  <c r="V30" i="11406"/>
  <c r="W30" i="11406"/>
  <c r="X30" i="11406"/>
  <c r="C31" i="11406"/>
  <c r="F31" i="11406"/>
  <c r="U31" i="11406"/>
  <c r="V31" i="11406"/>
  <c r="W31" i="11406"/>
  <c r="X31" i="11406"/>
  <c r="U32" i="11406"/>
  <c r="V32" i="11406"/>
  <c r="W32" i="11406"/>
  <c r="X32" i="11406"/>
  <c r="U33" i="11406"/>
  <c r="V33" i="11406"/>
  <c r="W33" i="11406"/>
  <c r="X33" i="11406"/>
  <c r="U34" i="11406"/>
  <c r="V34" i="11406"/>
  <c r="W34" i="11406"/>
  <c r="X34" i="11406"/>
  <c r="U35" i="11406"/>
  <c r="V35" i="11406"/>
  <c r="W35" i="11406"/>
  <c r="X35" i="11406"/>
  <c r="U36" i="11406"/>
  <c r="V36" i="11406"/>
  <c r="W36" i="11406"/>
  <c r="X36" i="11406"/>
  <c r="U37" i="11406"/>
  <c r="V37" i="11406"/>
  <c r="W37" i="11406"/>
  <c r="X37" i="11406"/>
  <c r="U38" i="11406"/>
  <c r="V38" i="11406"/>
  <c r="W38" i="11406"/>
  <c r="X38" i="11406"/>
  <c r="I39" i="11406"/>
  <c r="L39" i="11406"/>
  <c r="U39" i="11406"/>
  <c r="V39" i="11406"/>
  <c r="W39" i="11406"/>
  <c r="X39" i="11406"/>
  <c r="U40" i="11406"/>
  <c r="V40" i="11406"/>
  <c r="W40" i="11406"/>
  <c r="X40" i="11406"/>
  <c r="U41" i="11406"/>
  <c r="V41" i="11406"/>
  <c r="W41" i="11406"/>
  <c r="X41" i="11406"/>
  <c r="U42" i="11406"/>
  <c r="V42" i="11406"/>
  <c r="W42" i="11406"/>
  <c r="X42" i="11406"/>
  <c r="L43" i="11406"/>
  <c r="U43" i="11406"/>
  <c r="V43" i="11406"/>
  <c r="W43" i="11406"/>
  <c r="X43" i="11406"/>
  <c r="U44" i="11406"/>
  <c r="V44" i="11406"/>
  <c r="W44" i="11406"/>
  <c r="X44" i="11406"/>
  <c r="I45" i="11406"/>
  <c r="U45" i="11406"/>
  <c r="V45" i="11406"/>
  <c r="W45" i="11406"/>
  <c r="X45" i="11406"/>
  <c r="L46" i="11406"/>
  <c r="U46" i="11406"/>
  <c r="V46" i="11406"/>
  <c r="W46" i="11406"/>
  <c r="X46" i="11406"/>
  <c r="U47" i="11406"/>
  <c r="V47" i="11406"/>
  <c r="W47" i="11406"/>
  <c r="X47" i="11406"/>
  <c r="U48" i="11406"/>
  <c r="V48" i="11406"/>
  <c r="W48" i="11406"/>
  <c r="X48" i="11406"/>
  <c r="U49" i="11406"/>
  <c r="V49" i="11406"/>
  <c r="W49" i="11406"/>
  <c r="X49" i="11406"/>
  <c r="L50" i="11406"/>
  <c r="U50" i="11406"/>
  <c r="V50" i="11406"/>
  <c r="W50" i="11406"/>
  <c r="X50" i="11406"/>
  <c r="U51" i="11406"/>
  <c r="V51" i="11406"/>
  <c r="W51" i="11406"/>
  <c r="X51" i="11406"/>
  <c r="U52" i="11406"/>
  <c r="V52" i="11406"/>
  <c r="W52" i="11406"/>
  <c r="X52" i="11406"/>
  <c r="F53" i="11406"/>
  <c r="U53" i="11406"/>
  <c r="V53" i="11406"/>
  <c r="W53" i="11406"/>
  <c r="X53" i="11406"/>
  <c r="B54" i="11406"/>
  <c r="F54" i="11406"/>
  <c r="U54" i="11406"/>
  <c r="V54" i="11406"/>
  <c r="W54" i="11406"/>
  <c r="X54" i="11406"/>
  <c r="B55" i="11406"/>
  <c r="F55" i="11406"/>
  <c r="U55" i="11406"/>
  <c r="V55" i="11406"/>
  <c r="W55" i="11406"/>
  <c r="X55" i="11406"/>
  <c r="B56" i="11406"/>
  <c r="F56" i="11406"/>
  <c r="U56" i="11406"/>
  <c r="V56" i="11406"/>
  <c r="W56" i="11406"/>
  <c r="X56" i="11406"/>
  <c r="B57" i="11406"/>
  <c r="F57" i="11406"/>
  <c r="U57" i="11406"/>
  <c r="V57" i="11406"/>
  <c r="W57" i="11406"/>
  <c r="X57" i="11406"/>
  <c r="B58" i="11406"/>
  <c r="F58" i="11406"/>
  <c r="U58" i="11406"/>
  <c r="V58" i="11406"/>
  <c r="W58" i="11406"/>
  <c r="X58" i="11406"/>
  <c r="B59" i="11406"/>
  <c r="F59" i="11406"/>
  <c r="U59" i="11406"/>
  <c r="V59" i="11406"/>
  <c r="W59" i="11406"/>
  <c r="X59" i="11406"/>
  <c r="B60" i="11406"/>
  <c r="F60" i="11406"/>
  <c r="U60" i="11406"/>
  <c r="V60" i="11406"/>
  <c r="W60" i="11406"/>
  <c r="X60" i="11406"/>
  <c r="B61" i="11406"/>
  <c r="F61" i="11406"/>
  <c r="U61" i="11406"/>
  <c r="V61" i="11406"/>
  <c r="W61" i="11406"/>
  <c r="X61" i="11406"/>
  <c r="B62" i="11406"/>
  <c r="F62" i="11406"/>
  <c r="U62" i="11406"/>
  <c r="V62" i="11406"/>
  <c r="W62" i="11406"/>
  <c r="X62" i="11406"/>
  <c r="B63" i="11406"/>
  <c r="F63" i="11406"/>
  <c r="U63" i="11406"/>
  <c r="V63" i="11406"/>
  <c r="W63" i="11406"/>
  <c r="X63" i="11406"/>
  <c r="B64" i="11406"/>
  <c r="F64" i="11406"/>
  <c r="U64" i="11406"/>
  <c r="V64" i="11406"/>
  <c r="W64" i="11406"/>
  <c r="X64" i="11406"/>
  <c r="B65" i="11406"/>
  <c r="F65" i="11406"/>
  <c r="U65" i="11406"/>
  <c r="V65" i="11406"/>
  <c r="W65" i="11406"/>
  <c r="X65" i="11406"/>
  <c r="B66" i="11406"/>
  <c r="F66" i="11406"/>
  <c r="U66" i="11406"/>
  <c r="V66" i="11406"/>
  <c r="W66" i="11406"/>
  <c r="X66" i="11406"/>
  <c r="B67" i="11406"/>
  <c r="F67" i="11406"/>
  <c r="U67" i="11406"/>
  <c r="V67" i="11406"/>
  <c r="W67" i="11406"/>
  <c r="X67" i="11406"/>
  <c r="B68" i="11406"/>
  <c r="F68" i="11406"/>
  <c r="U68" i="11406"/>
  <c r="V68" i="11406"/>
  <c r="W68" i="11406"/>
  <c r="X68" i="11406"/>
  <c r="B69" i="11406"/>
  <c r="F69" i="11406"/>
  <c r="U69" i="11406"/>
  <c r="V69" i="11406"/>
  <c r="W69" i="11406"/>
  <c r="X69" i="11406"/>
  <c r="B70" i="11406"/>
  <c r="F70" i="11406"/>
  <c r="U70" i="11406"/>
  <c r="V70" i="11406"/>
  <c r="W70" i="11406"/>
  <c r="X70" i="11406"/>
  <c r="B71" i="11406"/>
  <c r="F71" i="11406"/>
  <c r="U71" i="11406"/>
  <c r="V71" i="11406"/>
  <c r="W71" i="11406"/>
  <c r="X71" i="11406"/>
  <c r="B72" i="11406"/>
  <c r="F72" i="11406"/>
  <c r="U72" i="11406"/>
  <c r="V72" i="11406"/>
  <c r="W72" i="11406"/>
  <c r="X72" i="11406"/>
  <c r="B73" i="11406"/>
  <c r="F73" i="11406"/>
  <c r="U73" i="11406"/>
  <c r="V73" i="11406"/>
  <c r="W73" i="11406"/>
  <c r="X73" i="11406"/>
  <c r="U74" i="11406"/>
  <c r="V74" i="11406"/>
  <c r="W74" i="11406"/>
  <c r="X74" i="11406"/>
  <c r="U75" i="11406"/>
  <c r="V75" i="11406"/>
  <c r="W75" i="11406"/>
  <c r="X75" i="11406"/>
  <c r="U76" i="11406"/>
  <c r="V76" i="11406"/>
  <c r="W76" i="11406"/>
  <c r="X76" i="11406"/>
  <c r="U77" i="11406"/>
  <c r="V77" i="11406"/>
  <c r="W77" i="11406"/>
  <c r="X77" i="11406"/>
  <c r="U78" i="11406"/>
  <c r="V78" i="11406"/>
  <c r="W78" i="11406"/>
  <c r="X78" i="11406"/>
  <c r="U79" i="11406"/>
  <c r="V79" i="11406"/>
  <c r="W79" i="11406"/>
  <c r="X79" i="11406"/>
  <c r="U80" i="11406"/>
  <c r="V80" i="11406"/>
  <c r="W80" i="11406"/>
  <c r="X80" i="11406"/>
  <c r="U81" i="11406"/>
  <c r="V81" i="11406"/>
  <c r="W81" i="11406"/>
  <c r="X81" i="11406"/>
  <c r="U82" i="11406"/>
  <c r="V82" i="11406"/>
  <c r="W82" i="11406"/>
  <c r="X82" i="11406"/>
  <c r="U83" i="11406"/>
  <c r="V83" i="11406"/>
  <c r="W83" i="11406"/>
  <c r="X83" i="11406"/>
  <c r="U84" i="11406"/>
  <c r="V84" i="11406"/>
  <c r="W84" i="11406"/>
  <c r="X84" i="11406"/>
  <c r="U85" i="11406"/>
  <c r="V85" i="11406"/>
  <c r="W85" i="11406"/>
  <c r="X85" i="11406"/>
  <c r="U86" i="11406"/>
  <c r="V86" i="11406"/>
  <c r="W86" i="11406"/>
  <c r="X86" i="11406"/>
  <c r="U87" i="11406"/>
  <c r="V87" i="11406"/>
  <c r="W87" i="11406"/>
  <c r="X87" i="11406"/>
  <c r="U88" i="11406"/>
  <c r="V88" i="11406"/>
  <c r="W88" i="11406"/>
  <c r="X88" i="11406"/>
  <c r="U89" i="11406"/>
  <c r="V89" i="11406"/>
  <c r="W89" i="11406"/>
  <c r="X89" i="11406"/>
  <c r="U90" i="11406"/>
  <c r="V90" i="11406"/>
  <c r="W90" i="11406"/>
  <c r="X90" i="11406"/>
  <c r="U91" i="11406"/>
  <c r="V91" i="11406"/>
  <c r="W91" i="11406"/>
  <c r="X91" i="11406"/>
  <c r="U92" i="11406"/>
  <c r="V92" i="11406"/>
  <c r="W92" i="11406"/>
  <c r="X92" i="11406"/>
  <c r="U93" i="11406"/>
  <c r="V93" i="11406"/>
  <c r="W93" i="11406"/>
  <c r="X93" i="11406"/>
  <c r="U94" i="11406"/>
  <c r="V94" i="11406"/>
  <c r="W94" i="11406"/>
  <c r="X94" i="11406"/>
  <c r="U95" i="11406"/>
  <c r="V95" i="11406"/>
  <c r="W95" i="11406"/>
  <c r="X95" i="11406"/>
  <c r="U96" i="11406"/>
  <c r="V96" i="11406"/>
  <c r="W96" i="11406"/>
  <c r="X96" i="11406"/>
  <c r="U97" i="11406"/>
  <c r="V97" i="11406"/>
  <c r="W97" i="11406"/>
  <c r="X97" i="11406"/>
  <c r="U98" i="11406"/>
  <c r="V98" i="11406"/>
  <c r="W98" i="11406"/>
  <c r="X98" i="11406"/>
  <c r="U99" i="11406"/>
  <c r="V99" i="11406"/>
  <c r="W99" i="11406"/>
  <c r="X99" i="11406"/>
  <c r="U100" i="11406"/>
  <c r="V100" i="11406"/>
  <c r="W100" i="11406"/>
  <c r="X100" i="11406"/>
  <c r="U101" i="11406"/>
  <c r="V101" i="11406"/>
  <c r="W101" i="11406"/>
  <c r="X101" i="11406"/>
  <c r="U102" i="11406"/>
  <c r="V102" i="11406"/>
  <c r="W102" i="11406"/>
  <c r="X102" i="11406"/>
  <c r="U103" i="11406"/>
  <c r="V103" i="11406"/>
  <c r="W103" i="11406"/>
  <c r="X103" i="11406"/>
  <c r="U104" i="11406"/>
  <c r="V104" i="11406"/>
  <c r="W104" i="11406"/>
  <c r="X104" i="11406"/>
  <c r="U105" i="11406"/>
  <c r="V105" i="11406"/>
  <c r="W105" i="11406"/>
  <c r="X105" i="11406"/>
  <c r="U106" i="11406"/>
  <c r="V106" i="11406"/>
  <c r="W106" i="11406"/>
  <c r="X106" i="11406"/>
  <c r="U107" i="11406"/>
  <c r="V107" i="11406"/>
  <c r="W107" i="11406"/>
  <c r="X107" i="11406"/>
  <c r="U108" i="11406"/>
  <c r="V108" i="11406"/>
  <c r="W108" i="11406"/>
  <c r="X108" i="11406"/>
  <c r="U109" i="11406"/>
  <c r="V109" i="11406"/>
  <c r="W109" i="11406"/>
  <c r="X109" i="11406"/>
  <c r="U110" i="11406"/>
  <c r="V110" i="11406"/>
  <c r="W110" i="11406"/>
  <c r="X110" i="11406"/>
  <c r="U111" i="11406"/>
  <c r="V111" i="11406"/>
  <c r="W111" i="11406"/>
  <c r="X111" i="11406"/>
  <c r="U112" i="11406"/>
  <c r="V112" i="11406"/>
  <c r="W112" i="11406"/>
  <c r="X112" i="11406"/>
  <c r="U113" i="11406"/>
  <c r="V113" i="11406"/>
  <c r="W113" i="11406"/>
  <c r="X113" i="11406"/>
  <c r="U114" i="11406"/>
  <c r="V114" i="11406"/>
  <c r="W114" i="11406"/>
  <c r="X114" i="11406"/>
  <c r="U115" i="11406"/>
  <c r="V115" i="11406"/>
  <c r="W115" i="11406"/>
  <c r="X115" i="11406"/>
  <c r="U116" i="11406"/>
  <c r="V116" i="11406"/>
  <c r="W116" i="11406"/>
  <c r="X116" i="11406"/>
  <c r="U117" i="11406"/>
  <c r="V117" i="11406"/>
  <c r="W117" i="11406"/>
  <c r="X117" i="11406"/>
  <c r="U118" i="11406"/>
  <c r="V118" i="11406"/>
  <c r="W118" i="11406"/>
  <c r="X118" i="11406"/>
  <c r="U119" i="11406"/>
  <c r="V119" i="11406"/>
  <c r="W119" i="11406"/>
  <c r="X119" i="11406"/>
  <c r="U120" i="11406"/>
  <c r="V120" i="11406"/>
  <c r="W120" i="11406"/>
  <c r="X120" i="11406"/>
  <c r="U121" i="11406"/>
  <c r="V121" i="11406"/>
  <c r="W121" i="11406"/>
  <c r="X121" i="11406"/>
  <c r="U122" i="11406"/>
  <c r="V122" i="11406"/>
  <c r="W122" i="11406"/>
  <c r="X122" i="11406"/>
  <c r="U123" i="11406"/>
  <c r="V123" i="11406"/>
  <c r="W123" i="11406"/>
  <c r="X123" i="11406"/>
  <c r="U124" i="11406"/>
  <c r="V124" i="11406"/>
  <c r="W124" i="11406"/>
  <c r="X124" i="11406"/>
  <c r="U125" i="11406"/>
  <c r="V125" i="11406"/>
  <c r="W125" i="11406"/>
  <c r="X125" i="11406"/>
  <c r="U126" i="11406"/>
  <c r="V126" i="11406"/>
  <c r="W126" i="11406"/>
  <c r="X126" i="11406"/>
  <c r="U127" i="11406"/>
  <c r="V127" i="11406"/>
  <c r="W127" i="11406"/>
  <c r="X127" i="11406"/>
  <c r="U128" i="11406"/>
  <c r="V128" i="11406"/>
  <c r="W128" i="11406"/>
  <c r="X128" i="11406"/>
  <c r="U129" i="11406"/>
  <c r="V129" i="11406"/>
  <c r="W129" i="11406"/>
  <c r="X129" i="11406"/>
  <c r="U130" i="11406"/>
  <c r="V130" i="11406"/>
  <c r="W130" i="11406"/>
  <c r="X130" i="11406"/>
  <c r="U131" i="11406"/>
  <c r="V131" i="11406"/>
  <c r="W131" i="11406"/>
  <c r="X131" i="11406"/>
  <c r="U132" i="11406"/>
  <c r="V132" i="11406"/>
  <c r="W132" i="11406"/>
  <c r="X132" i="11406"/>
  <c r="U133" i="11406"/>
  <c r="V133" i="11406"/>
  <c r="W133" i="11406"/>
  <c r="X133" i="11406"/>
  <c r="U134" i="11406"/>
  <c r="V134" i="11406"/>
  <c r="W134" i="11406"/>
  <c r="X134" i="11406"/>
  <c r="U135" i="11406"/>
  <c r="V135" i="11406"/>
  <c r="W135" i="11406"/>
  <c r="X135" i="11406"/>
  <c r="U136" i="11406"/>
  <c r="V136" i="11406"/>
  <c r="W136" i="11406"/>
  <c r="X136" i="11406"/>
  <c r="U137" i="11406"/>
  <c r="V137" i="11406"/>
  <c r="W137" i="11406"/>
  <c r="X137" i="11406"/>
  <c r="U138" i="11406"/>
  <c r="V138" i="11406"/>
  <c r="W138" i="11406"/>
  <c r="X138" i="11406"/>
  <c r="U139" i="11406"/>
  <c r="V139" i="11406"/>
  <c r="W139" i="11406"/>
  <c r="X139" i="11406"/>
  <c r="U140" i="11406"/>
  <c r="V140" i="11406"/>
  <c r="W140" i="11406"/>
  <c r="X140" i="11406"/>
  <c r="U141" i="11406"/>
  <c r="V141" i="11406"/>
  <c r="W141" i="11406"/>
  <c r="X141" i="11406"/>
  <c r="U142" i="11406"/>
  <c r="V142" i="11406"/>
  <c r="W142" i="11406"/>
  <c r="X142" i="11406"/>
  <c r="U143" i="11406"/>
  <c r="V143" i="11406"/>
  <c r="W143" i="11406"/>
  <c r="X143" i="11406"/>
  <c r="U144" i="11406"/>
  <c r="V144" i="11406"/>
  <c r="W144" i="11406"/>
  <c r="X144" i="11406"/>
  <c r="U145" i="11406"/>
  <c r="V145" i="11406"/>
  <c r="W145" i="11406"/>
  <c r="X145" i="11406"/>
  <c r="U146" i="11406"/>
  <c r="V146" i="11406"/>
  <c r="W146" i="11406"/>
  <c r="X146" i="11406"/>
  <c r="U147" i="11406"/>
  <c r="V147" i="11406"/>
  <c r="W147" i="11406"/>
  <c r="X147" i="11406"/>
  <c r="U148" i="11406"/>
  <c r="V148" i="11406"/>
  <c r="W148" i="11406"/>
  <c r="X148" i="11406"/>
  <c r="U149" i="11406"/>
  <c r="V149" i="11406"/>
  <c r="W149" i="11406"/>
  <c r="X149" i="11406"/>
  <c r="U150" i="11406"/>
  <c r="V150" i="11406"/>
  <c r="W150" i="11406"/>
  <c r="X150" i="11406"/>
  <c r="U151" i="11406"/>
  <c r="V151" i="11406"/>
  <c r="W151" i="11406"/>
  <c r="X151" i="11406"/>
  <c r="U152" i="11406"/>
  <c r="V152" i="11406"/>
  <c r="W152" i="11406"/>
  <c r="X152" i="11406"/>
  <c r="U153" i="11406"/>
  <c r="V153" i="11406"/>
  <c r="W153" i="11406"/>
  <c r="X153" i="11406"/>
  <c r="U154" i="11406"/>
  <c r="V154" i="11406"/>
  <c r="W154" i="11406"/>
  <c r="X154" i="11406"/>
  <c r="U155" i="11406"/>
  <c r="V155" i="11406"/>
  <c r="W155" i="11406"/>
  <c r="X155" i="11406"/>
  <c r="U156" i="11406"/>
  <c r="V156" i="11406"/>
  <c r="W156" i="11406"/>
  <c r="X156" i="11406"/>
  <c r="U157" i="11406"/>
  <c r="V157" i="11406"/>
  <c r="W157" i="11406"/>
  <c r="X157" i="11406"/>
  <c r="U158" i="11406"/>
  <c r="V158" i="11406"/>
  <c r="W158" i="11406"/>
  <c r="X158" i="11406"/>
  <c r="U159" i="11406"/>
  <c r="V159" i="11406"/>
  <c r="W159" i="11406"/>
  <c r="X159" i="11406"/>
  <c r="U160" i="11406"/>
  <c r="V160" i="11406"/>
  <c r="W160" i="11406"/>
  <c r="X160" i="11406"/>
  <c r="U161" i="11406"/>
  <c r="V161" i="11406"/>
  <c r="W161" i="11406"/>
  <c r="X161" i="11406"/>
  <c r="U162" i="11406"/>
  <c r="V162" i="11406"/>
  <c r="W162" i="11406"/>
  <c r="X162" i="11406"/>
  <c r="U163" i="11406"/>
  <c r="V163" i="11406"/>
  <c r="W163" i="11406"/>
  <c r="X163" i="11406"/>
  <c r="U164" i="11406"/>
  <c r="V164" i="11406"/>
  <c r="W164" i="11406"/>
  <c r="X164" i="11406"/>
  <c r="U165" i="11406"/>
  <c r="V165" i="11406"/>
  <c r="W165" i="11406"/>
  <c r="X165" i="11406"/>
  <c r="U166" i="11406"/>
  <c r="V166" i="11406"/>
  <c r="W166" i="11406"/>
  <c r="X166" i="11406"/>
  <c r="U167" i="11406"/>
  <c r="V167" i="11406"/>
  <c r="W167" i="11406"/>
  <c r="X167" i="11406"/>
  <c r="U168" i="11406"/>
  <c r="V168" i="11406"/>
  <c r="W168" i="11406"/>
  <c r="X168" i="11406"/>
  <c r="U169" i="11406"/>
  <c r="V169" i="11406"/>
  <c r="W169" i="11406"/>
  <c r="X169" i="11406"/>
  <c r="U170" i="11406"/>
  <c r="V170" i="11406"/>
  <c r="W170" i="11406"/>
  <c r="X170" i="11406"/>
  <c r="U171" i="11406"/>
  <c r="V171" i="11406"/>
  <c r="W171" i="11406"/>
  <c r="X171" i="11406"/>
  <c r="U172" i="11406"/>
  <c r="V172" i="11406"/>
  <c r="W172" i="11406"/>
  <c r="X172" i="11406"/>
  <c r="U173" i="11406"/>
  <c r="V173" i="11406"/>
  <c r="W173" i="11406"/>
  <c r="X173" i="11406"/>
  <c r="U174" i="11406"/>
  <c r="V174" i="11406"/>
  <c r="W174" i="11406"/>
  <c r="X174" i="11406"/>
  <c r="U175" i="11406"/>
  <c r="V175" i="11406"/>
  <c r="W175" i="11406"/>
  <c r="X175" i="11406"/>
  <c r="U176" i="11406"/>
  <c r="V176" i="11406"/>
  <c r="W176" i="11406"/>
  <c r="X176" i="11406"/>
  <c r="U177" i="11406"/>
  <c r="V177" i="11406"/>
  <c r="W177" i="11406"/>
  <c r="X177" i="11406"/>
  <c r="U178" i="11406"/>
  <c r="V178" i="11406"/>
  <c r="W178" i="11406"/>
  <c r="X178" i="11406"/>
  <c r="U179" i="11406"/>
  <c r="V179" i="11406"/>
  <c r="W179" i="11406"/>
  <c r="X179" i="11406"/>
  <c r="U180" i="11406"/>
  <c r="V180" i="11406"/>
  <c r="W180" i="11406"/>
  <c r="X180" i="11406"/>
  <c r="U181" i="11406"/>
  <c r="V181" i="11406"/>
  <c r="W181" i="11406"/>
  <c r="X181" i="11406"/>
  <c r="U182" i="11406"/>
  <c r="V182" i="11406"/>
  <c r="W182" i="11406"/>
  <c r="X182" i="11406"/>
  <c r="U183" i="11406"/>
  <c r="V183" i="11406"/>
  <c r="W183" i="11406"/>
  <c r="X183" i="11406"/>
  <c r="U184" i="11406"/>
  <c r="V184" i="11406"/>
  <c r="W184" i="11406"/>
  <c r="X184" i="11406"/>
  <c r="U185" i="11406"/>
  <c r="V185" i="11406"/>
  <c r="W185" i="11406"/>
  <c r="X185" i="11406"/>
  <c r="U186" i="11406"/>
  <c r="V186" i="11406"/>
  <c r="W186" i="11406"/>
  <c r="X186" i="11406"/>
  <c r="U187" i="11406"/>
  <c r="V187" i="11406"/>
  <c r="W187" i="11406"/>
  <c r="X187" i="11406"/>
  <c r="U188" i="11406"/>
  <c r="V188" i="11406"/>
  <c r="W188" i="11406"/>
  <c r="X188" i="11406"/>
  <c r="U189" i="11406"/>
  <c r="V189" i="11406"/>
  <c r="W189" i="11406"/>
  <c r="X189" i="11406"/>
  <c r="U190" i="11406"/>
  <c r="V190" i="11406"/>
  <c r="W190" i="11406"/>
  <c r="X190" i="11406"/>
  <c r="U191" i="11406"/>
  <c r="V191" i="11406"/>
  <c r="W191" i="11406"/>
  <c r="X191" i="11406"/>
  <c r="U192" i="11406"/>
  <c r="V192" i="11406"/>
  <c r="W192" i="11406"/>
  <c r="X192" i="11406"/>
  <c r="U193" i="11406"/>
  <c r="V193" i="11406"/>
  <c r="W193" i="11406"/>
  <c r="X193" i="11406"/>
  <c r="U194" i="11406"/>
  <c r="V194" i="11406"/>
  <c r="W194" i="11406"/>
  <c r="X194" i="11406"/>
  <c r="U195" i="11406"/>
  <c r="V195" i="11406"/>
  <c r="W195" i="11406"/>
  <c r="X195" i="11406"/>
  <c r="U196" i="11406"/>
  <c r="V196" i="11406"/>
  <c r="W196" i="11406"/>
  <c r="X196" i="11406"/>
  <c r="U197" i="11406"/>
  <c r="V197" i="11406"/>
  <c r="W197" i="11406"/>
  <c r="X197" i="11406"/>
  <c r="U198" i="11406"/>
  <c r="V198" i="11406"/>
  <c r="W198" i="11406"/>
  <c r="X198" i="11406"/>
  <c r="U199" i="11406"/>
  <c r="V199" i="11406"/>
  <c r="W199" i="11406"/>
  <c r="X199" i="11406"/>
  <c r="U200" i="11406"/>
  <c r="V200" i="11406"/>
  <c r="W200" i="11406"/>
  <c r="X200" i="11406"/>
  <c r="U201" i="11406"/>
  <c r="V201" i="11406"/>
  <c r="W201" i="11406"/>
  <c r="X201" i="11406"/>
  <c r="U202" i="11406"/>
  <c r="V202" i="11406"/>
  <c r="W202" i="11406"/>
  <c r="X202" i="11406"/>
  <c r="U203" i="11406"/>
  <c r="V203" i="11406"/>
  <c r="W203" i="11406"/>
  <c r="X203" i="11406"/>
  <c r="U204" i="11406"/>
  <c r="V204" i="11406"/>
  <c r="W204" i="11406"/>
  <c r="X204" i="11406"/>
  <c r="U205" i="11406"/>
  <c r="V205" i="11406"/>
  <c r="W205" i="11406"/>
  <c r="X205" i="11406"/>
  <c r="U206" i="11406"/>
  <c r="V206" i="11406"/>
  <c r="W206" i="11406"/>
  <c r="X206" i="11406"/>
  <c r="U207" i="11406"/>
  <c r="V207" i="11406"/>
  <c r="W207" i="11406"/>
  <c r="X207" i="11406"/>
  <c r="U208" i="11406"/>
  <c r="V208" i="11406"/>
  <c r="W208" i="11406"/>
  <c r="X208" i="11406"/>
  <c r="U209" i="11406"/>
  <c r="V209" i="11406"/>
  <c r="W209" i="11406"/>
  <c r="X209" i="11406"/>
  <c r="U210" i="11406"/>
  <c r="V210" i="11406"/>
  <c r="W210" i="11406"/>
  <c r="X210" i="11406"/>
  <c r="U211" i="11406"/>
  <c r="V211" i="11406"/>
  <c r="W211" i="11406"/>
  <c r="X211" i="11406"/>
  <c r="U212" i="11406"/>
  <c r="V212" i="11406"/>
  <c r="W212" i="11406"/>
  <c r="X212" i="11406"/>
  <c r="U213" i="11406"/>
  <c r="V213" i="11406"/>
  <c r="W213" i="11406"/>
  <c r="X213" i="11406"/>
  <c r="U214" i="11406"/>
  <c r="V214" i="11406"/>
  <c r="W214" i="11406"/>
  <c r="X214" i="11406"/>
  <c r="U215" i="11406"/>
  <c r="V215" i="11406"/>
  <c r="W215" i="11406"/>
  <c r="X215" i="11406"/>
  <c r="U216" i="11406"/>
  <c r="V216" i="11406"/>
  <c r="W216" i="11406"/>
  <c r="X216" i="11406"/>
  <c r="U217" i="11406"/>
  <c r="V217" i="11406"/>
  <c r="W217" i="11406"/>
  <c r="X217" i="11406"/>
  <c r="U218" i="11406"/>
  <c r="V218" i="11406"/>
  <c r="W218" i="11406"/>
  <c r="X218" i="11406"/>
  <c r="U219" i="11406"/>
  <c r="V219" i="11406"/>
  <c r="W219" i="11406"/>
  <c r="X219" i="11406"/>
  <c r="U220" i="11406"/>
  <c r="V220" i="11406"/>
  <c r="W220" i="11406"/>
  <c r="X220" i="11406"/>
  <c r="U221" i="11406"/>
  <c r="V221" i="11406"/>
  <c r="W221" i="11406"/>
  <c r="X221" i="11406"/>
  <c r="U222" i="11406"/>
  <c r="V222" i="11406"/>
  <c r="W222" i="11406"/>
  <c r="X222" i="11406"/>
  <c r="U223" i="11406"/>
  <c r="V223" i="11406"/>
  <c r="W223" i="11406"/>
  <c r="X223" i="11406"/>
  <c r="U224" i="11406"/>
  <c r="V224" i="11406"/>
  <c r="W224" i="11406"/>
  <c r="X224" i="11406"/>
  <c r="U225" i="11406"/>
  <c r="V225" i="11406"/>
  <c r="W225" i="11406"/>
  <c r="X225" i="11406"/>
  <c r="U226" i="11406"/>
  <c r="V226" i="11406"/>
  <c r="W226" i="11406"/>
  <c r="X226" i="11406"/>
  <c r="U227" i="11406"/>
  <c r="V227" i="11406"/>
  <c r="W227" i="11406"/>
  <c r="X227" i="11406"/>
  <c r="U228" i="11406"/>
  <c r="V228" i="11406"/>
  <c r="W228" i="11406"/>
  <c r="X228" i="11406"/>
  <c r="U229" i="11406"/>
  <c r="V229" i="11406"/>
  <c r="W229" i="11406"/>
  <c r="X229" i="11406"/>
  <c r="U230" i="11406"/>
  <c r="V230" i="11406"/>
  <c r="W230" i="11406"/>
  <c r="X230" i="11406"/>
  <c r="U231" i="11406"/>
  <c r="V231" i="11406"/>
  <c r="W231" i="11406"/>
  <c r="X231" i="11406"/>
  <c r="U232" i="11406"/>
  <c r="V232" i="11406"/>
  <c r="W232" i="11406"/>
  <c r="X232" i="11406"/>
  <c r="U233" i="11406"/>
  <c r="V233" i="11406"/>
  <c r="W233" i="11406"/>
  <c r="X233" i="11406"/>
  <c r="U234" i="11406"/>
  <c r="V234" i="11406"/>
  <c r="W234" i="11406"/>
  <c r="X234" i="11406"/>
  <c r="U235" i="11406"/>
  <c r="V235" i="11406"/>
  <c r="W235" i="11406"/>
  <c r="X235" i="11406"/>
  <c r="U236" i="11406"/>
  <c r="V236" i="11406"/>
  <c r="W236" i="11406"/>
  <c r="X236" i="11406"/>
  <c r="U237" i="11406"/>
  <c r="V237" i="11406"/>
  <c r="W237" i="11406"/>
  <c r="X237" i="11406"/>
  <c r="U238" i="11406"/>
  <c r="V238" i="11406"/>
  <c r="W238" i="11406"/>
  <c r="X238" i="11406"/>
  <c r="U239" i="11406"/>
  <c r="V239" i="11406"/>
  <c r="W239" i="11406"/>
  <c r="X239" i="11406"/>
  <c r="U240" i="11406"/>
  <c r="V240" i="11406"/>
  <c r="W240" i="11406"/>
  <c r="X240" i="11406"/>
  <c r="AP1" i="56"/>
  <c r="AS1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E3" i="56"/>
  <c r="AF3" i="56"/>
  <c r="AJ3" i="56"/>
  <c r="AK3" i="56"/>
  <c r="AM3" i="56"/>
  <c r="AN3" i="56"/>
  <c r="AE4" i="56"/>
  <c r="AF4" i="56"/>
  <c r="AH4" i="56"/>
  <c r="AJ4" i="56"/>
  <c r="AK4" i="56"/>
  <c r="AM4" i="56"/>
  <c r="AN4" i="56"/>
  <c r="AS4" i="56"/>
  <c r="I5" i="56"/>
  <c r="J5" i="56"/>
  <c r="K5" i="56"/>
  <c r="L5" i="56"/>
  <c r="M5" i="56"/>
  <c r="N5" i="56"/>
  <c r="O5" i="56"/>
  <c r="P5" i="56"/>
  <c r="Q5" i="56"/>
  <c r="R5" i="56"/>
  <c r="S5" i="56"/>
  <c r="T5" i="56"/>
  <c r="U5" i="56"/>
  <c r="V5" i="56"/>
  <c r="W5" i="56"/>
  <c r="X5" i="56"/>
  <c r="Y5" i="56"/>
  <c r="Z5" i="56"/>
  <c r="AA5" i="56"/>
  <c r="AB5" i="56"/>
  <c r="AE5" i="56"/>
  <c r="AF5" i="56"/>
  <c r="AH5" i="56"/>
  <c r="AJ5" i="56"/>
  <c r="AK5" i="56"/>
  <c r="AM5" i="56"/>
  <c r="AN5" i="56"/>
  <c r="AS5" i="56"/>
  <c r="AE6" i="56"/>
  <c r="AF6" i="56"/>
  <c r="AH6" i="56"/>
  <c r="AJ6" i="56"/>
  <c r="AK6" i="56"/>
  <c r="AM6" i="56"/>
  <c r="AN6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E7" i="56"/>
  <c r="AF7" i="56"/>
  <c r="AH7" i="56"/>
  <c r="AJ7" i="56"/>
  <c r="AK7" i="56"/>
  <c r="AM7" i="56"/>
  <c r="AN7" i="56"/>
  <c r="AS7" i="56"/>
  <c r="C8" i="56"/>
  <c r="D8" i="56"/>
  <c r="I8" i="56"/>
  <c r="J8" i="56"/>
  <c r="K8" i="56"/>
  <c r="L8" i="56"/>
  <c r="M8" i="56"/>
  <c r="N8" i="56"/>
  <c r="O8" i="56"/>
  <c r="P8" i="56"/>
  <c r="Q8" i="56"/>
  <c r="R8" i="56"/>
  <c r="S8" i="56"/>
  <c r="T8" i="56"/>
  <c r="U8" i="56"/>
  <c r="V8" i="56"/>
  <c r="W8" i="56"/>
  <c r="X8" i="56"/>
  <c r="Y8" i="56"/>
  <c r="Z8" i="56"/>
  <c r="AA8" i="56"/>
  <c r="AB8" i="56"/>
  <c r="AE8" i="56"/>
  <c r="AF8" i="56"/>
  <c r="AH8" i="56"/>
  <c r="AJ8" i="56"/>
  <c r="AK8" i="56"/>
  <c r="AM8" i="56"/>
  <c r="AN8" i="56"/>
  <c r="AS8" i="56"/>
  <c r="C9" i="56"/>
  <c r="D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E9" i="56"/>
  <c r="AF9" i="56"/>
  <c r="AH9" i="56"/>
  <c r="AJ9" i="56"/>
  <c r="AK9" i="56"/>
  <c r="AM9" i="56"/>
  <c r="AN9" i="56"/>
  <c r="C10" i="56"/>
  <c r="D10" i="56"/>
  <c r="AE10" i="56"/>
  <c r="AF10" i="56"/>
  <c r="AH10" i="56"/>
  <c r="AJ10" i="56"/>
  <c r="AK10" i="56"/>
  <c r="AM10" i="56"/>
  <c r="AN10" i="56"/>
  <c r="C11" i="56"/>
  <c r="D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Z11" i="56"/>
  <c r="AA11" i="56"/>
  <c r="AB11" i="56"/>
  <c r="AE11" i="56"/>
  <c r="AF11" i="56"/>
  <c r="AH11" i="56"/>
  <c r="AJ11" i="56"/>
  <c r="AK11" i="56"/>
  <c r="AM11" i="56"/>
  <c r="AN11" i="56"/>
  <c r="C12" i="56"/>
  <c r="D12" i="56"/>
  <c r="AE12" i="56"/>
  <c r="AF12" i="56"/>
  <c r="AH12" i="56"/>
  <c r="AJ12" i="56"/>
  <c r="AK12" i="56"/>
  <c r="AM12" i="56"/>
  <c r="AN12" i="56"/>
  <c r="AS12" i="56"/>
  <c r="AT12" i="56"/>
  <c r="AU12" i="56"/>
  <c r="AV12" i="56"/>
  <c r="AW12" i="56"/>
  <c r="AX12" i="56"/>
  <c r="AY12" i="56"/>
  <c r="AZ12" i="56"/>
  <c r="BA12" i="56"/>
  <c r="BB12" i="56"/>
  <c r="BC12" i="56"/>
  <c r="BD12" i="56"/>
  <c r="BE12" i="56"/>
  <c r="BF12" i="56"/>
  <c r="BG12" i="56"/>
  <c r="BH12" i="56"/>
  <c r="BI12" i="56"/>
  <c r="BJ12" i="56"/>
  <c r="BK12" i="56"/>
  <c r="BL12" i="56"/>
  <c r="C13" i="56"/>
  <c r="D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W13" i="56"/>
  <c r="X13" i="56"/>
  <c r="Y13" i="56"/>
  <c r="Z13" i="56"/>
  <c r="AA13" i="56"/>
  <c r="AB13" i="56"/>
  <c r="AE13" i="56"/>
  <c r="AF13" i="56"/>
  <c r="AH13" i="56"/>
  <c r="AJ13" i="56"/>
  <c r="AK13" i="56"/>
  <c r="AM13" i="56"/>
  <c r="AN13" i="56"/>
  <c r="AS13" i="56"/>
  <c r="AT13" i="56"/>
  <c r="AU13" i="56"/>
  <c r="AV13" i="56"/>
  <c r="AW13" i="56"/>
  <c r="AX13" i="56"/>
  <c r="AY13" i="56"/>
  <c r="AZ13" i="56"/>
  <c r="BA13" i="56"/>
  <c r="BB13" i="56"/>
  <c r="BC13" i="56"/>
  <c r="BD13" i="56"/>
  <c r="BE13" i="56"/>
  <c r="BF13" i="56"/>
  <c r="BG13" i="56"/>
  <c r="BH13" i="56"/>
  <c r="BI13" i="56"/>
  <c r="BJ13" i="56"/>
  <c r="BK13" i="56"/>
  <c r="BL13" i="56"/>
  <c r="C14" i="56"/>
  <c r="D14" i="56"/>
  <c r="AE14" i="56"/>
  <c r="AF14" i="56"/>
  <c r="AH14" i="56"/>
  <c r="AJ14" i="56"/>
  <c r="AK14" i="56"/>
  <c r="AM14" i="56"/>
  <c r="AN14" i="56"/>
  <c r="AS14" i="56"/>
  <c r="AT14" i="56"/>
  <c r="AU14" i="56"/>
  <c r="AV14" i="56"/>
  <c r="AW14" i="56"/>
  <c r="AX14" i="56"/>
  <c r="AY14" i="56"/>
  <c r="AZ14" i="56"/>
  <c r="BA14" i="56"/>
  <c r="BB14" i="56"/>
  <c r="BC14" i="56"/>
  <c r="BD14" i="56"/>
  <c r="BE14" i="56"/>
  <c r="BF14" i="56"/>
  <c r="BG14" i="56"/>
  <c r="BH14" i="56"/>
  <c r="BI14" i="56"/>
  <c r="BJ14" i="56"/>
  <c r="BK14" i="56"/>
  <c r="BL14" i="56"/>
  <c r="C15" i="56"/>
  <c r="D15" i="56"/>
  <c r="H15" i="56"/>
  <c r="I15" i="56"/>
  <c r="J15" i="56"/>
  <c r="K15" i="56"/>
  <c r="L15" i="56"/>
  <c r="M15" i="56"/>
  <c r="N15" i="56"/>
  <c r="O15" i="56"/>
  <c r="P15" i="56"/>
  <c r="Q15" i="56"/>
  <c r="R15" i="56"/>
  <c r="S15" i="56"/>
  <c r="T15" i="56"/>
  <c r="U15" i="56"/>
  <c r="V15" i="56"/>
  <c r="W15" i="56"/>
  <c r="X15" i="56"/>
  <c r="Y15" i="56"/>
  <c r="Z15" i="56"/>
  <c r="AA15" i="56"/>
  <c r="AB15" i="56"/>
  <c r="AE15" i="56"/>
  <c r="AF15" i="56"/>
  <c r="AH15" i="56"/>
  <c r="AJ15" i="56"/>
  <c r="AK15" i="56"/>
  <c r="AM15" i="56"/>
  <c r="AN15" i="56"/>
  <c r="AS15" i="56"/>
  <c r="AT15" i="56"/>
  <c r="AU15" i="56"/>
  <c r="AV15" i="56"/>
  <c r="AW15" i="56"/>
  <c r="AX15" i="56"/>
  <c r="AY15" i="56"/>
  <c r="AZ15" i="56"/>
  <c r="BA15" i="56"/>
  <c r="BB15" i="56"/>
  <c r="BC15" i="56"/>
  <c r="BD15" i="56"/>
  <c r="BE15" i="56"/>
  <c r="BF15" i="56"/>
  <c r="BG15" i="56"/>
  <c r="BH15" i="56"/>
  <c r="BI15" i="56"/>
  <c r="BJ15" i="56"/>
  <c r="BK15" i="56"/>
  <c r="BL15" i="56"/>
  <c r="C16" i="56"/>
  <c r="D16" i="56"/>
  <c r="I16" i="56"/>
  <c r="J16" i="56"/>
  <c r="K16" i="56"/>
  <c r="L16" i="56"/>
  <c r="M16" i="56"/>
  <c r="N16" i="56"/>
  <c r="O16" i="56"/>
  <c r="P16" i="56"/>
  <c r="Q16" i="56"/>
  <c r="R16" i="56"/>
  <c r="S16" i="56"/>
  <c r="T16" i="56"/>
  <c r="U16" i="56"/>
  <c r="V16" i="56"/>
  <c r="W16" i="56"/>
  <c r="X16" i="56"/>
  <c r="Y16" i="56"/>
  <c r="Z16" i="56"/>
  <c r="AA16" i="56"/>
  <c r="AB16" i="56"/>
  <c r="AE16" i="56"/>
  <c r="AF16" i="56"/>
  <c r="AH16" i="56"/>
  <c r="AJ16" i="56"/>
  <c r="AK16" i="56"/>
  <c r="AM16" i="56"/>
  <c r="AN16" i="56"/>
  <c r="C17" i="56"/>
  <c r="D17" i="56"/>
  <c r="AE17" i="56"/>
  <c r="AF17" i="56"/>
  <c r="AH17" i="56"/>
  <c r="AJ17" i="56"/>
  <c r="AK17" i="56"/>
  <c r="AM17" i="56"/>
  <c r="AN17" i="56"/>
  <c r="C18" i="56"/>
  <c r="D18" i="56"/>
  <c r="AE18" i="56"/>
  <c r="AF18" i="56"/>
  <c r="AH18" i="56"/>
  <c r="AJ18" i="56"/>
  <c r="AK18" i="56"/>
  <c r="AM18" i="56"/>
  <c r="AN18" i="56"/>
  <c r="AS18" i="56"/>
  <c r="AT18" i="56"/>
  <c r="AU18" i="56"/>
  <c r="AV18" i="56"/>
  <c r="AW18" i="56"/>
  <c r="AX18" i="56"/>
  <c r="AY18" i="56"/>
  <c r="AZ18" i="56"/>
  <c r="BA18" i="56"/>
  <c r="BB18" i="56"/>
  <c r="BC18" i="56"/>
  <c r="BD18" i="56"/>
  <c r="BE18" i="56"/>
  <c r="BF18" i="56"/>
  <c r="BG18" i="56"/>
  <c r="BH18" i="56"/>
  <c r="BI18" i="56"/>
  <c r="BJ18" i="56"/>
  <c r="BK18" i="56"/>
  <c r="BL18" i="56"/>
  <c r="C19" i="56"/>
  <c r="D19" i="56"/>
  <c r="H19" i="56"/>
  <c r="I19" i="56"/>
  <c r="J19" i="56"/>
  <c r="K19" i="56"/>
  <c r="L19" i="56"/>
  <c r="M19" i="56"/>
  <c r="N19" i="56"/>
  <c r="O19" i="56"/>
  <c r="P19" i="56"/>
  <c r="Q19" i="56"/>
  <c r="R19" i="56"/>
  <c r="S19" i="56"/>
  <c r="T19" i="56"/>
  <c r="U19" i="56"/>
  <c r="V19" i="56"/>
  <c r="W19" i="56"/>
  <c r="X19" i="56"/>
  <c r="Y19" i="56"/>
  <c r="Z19" i="56"/>
  <c r="AA19" i="56"/>
  <c r="AE19" i="56"/>
  <c r="AF19" i="56"/>
  <c r="AH19" i="56"/>
  <c r="AJ19" i="56"/>
  <c r="AK19" i="56"/>
  <c r="AM19" i="56"/>
  <c r="AN19" i="56"/>
  <c r="AS19" i="56"/>
  <c r="AT19" i="56"/>
  <c r="AU19" i="56"/>
  <c r="AV19" i="56"/>
  <c r="AW19" i="56"/>
  <c r="AX19" i="56"/>
  <c r="AY19" i="56"/>
  <c r="AZ19" i="56"/>
  <c r="BA19" i="56"/>
  <c r="BB19" i="56"/>
  <c r="BC19" i="56"/>
  <c r="BD19" i="56"/>
  <c r="BE19" i="56"/>
  <c r="BF19" i="56"/>
  <c r="BG19" i="56"/>
  <c r="BH19" i="56"/>
  <c r="BI19" i="56"/>
  <c r="BJ19" i="56"/>
  <c r="BK19" i="56"/>
  <c r="BL19" i="56"/>
  <c r="C20" i="56"/>
  <c r="D20" i="56"/>
  <c r="AE20" i="56"/>
  <c r="AF20" i="56"/>
  <c r="AH20" i="56"/>
  <c r="AJ20" i="56"/>
  <c r="AK20" i="56"/>
  <c r="AM20" i="56"/>
  <c r="AN20" i="56"/>
  <c r="C21" i="56"/>
  <c r="D21" i="56"/>
  <c r="I21" i="56"/>
  <c r="J21" i="56"/>
  <c r="K21" i="56"/>
  <c r="L21" i="56"/>
  <c r="M21" i="56"/>
  <c r="N21" i="56"/>
  <c r="O21" i="56"/>
  <c r="P21" i="56"/>
  <c r="Q21" i="56"/>
  <c r="R21" i="56"/>
  <c r="S21" i="56"/>
  <c r="T21" i="56"/>
  <c r="U21" i="56"/>
  <c r="V21" i="56"/>
  <c r="W21" i="56"/>
  <c r="X21" i="56"/>
  <c r="Y21" i="56"/>
  <c r="Z21" i="56"/>
  <c r="AA21" i="56"/>
  <c r="AB21" i="56"/>
  <c r="AE21" i="56"/>
  <c r="AF21" i="56"/>
  <c r="AH21" i="56"/>
  <c r="AJ21" i="56"/>
  <c r="AK21" i="56"/>
  <c r="AM21" i="56"/>
  <c r="AN21" i="56"/>
  <c r="AS21" i="56"/>
  <c r="AT21" i="56"/>
  <c r="AU21" i="56"/>
  <c r="AV21" i="56"/>
  <c r="AW21" i="56"/>
  <c r="AX21" i="56"/>
  <c r="AY21" i="56"/>
  <c r="AZ21" i="56"/>
  <c r="BA21" i="56"/>
  <c r="BB21" i="56"/>
  <c r="BC21" i="56"/>
  <c r="BD21" i="56"/>
  <c r="BE21" i="56"/>
  <c r="BF21" i="56"/>
  <c r="BG21" i="56"/>
  <c r="BH21" i="56"/>
  <c r="BI21" i="56"/>
  <c r="BJ21" i="56"/>
  <c r="BK21" i="56"/>
  <c r="BL21" i="56"/>
  <c r="C22" i="56"/>
  <c r="D22" i="56"/>
  <c r="AE22" i="56"/>
  <c r="AF22" i="56"/>
  <c r="AH22" i="56"/>
  <c r="AJ22" i="56"/>
  <c r="AK22" i="56"/>
  <c r="AM22" i="56"/>
  <c r="AN22" i="56"/>
  <c r="C23" i="56"/>
  <c r="D23" i="56"/>
  <c r="AE23" i="56"/>
  <c r="AF23" i="56"/>
  <c r="AH23" i="56"/>
  <c r="AJ23" i="56"/>
  <c r="AK23" i="56"/>
  <c r="AM23" i="56"/>
  <c r="AN23" i="56"/>
  <c r="AS23" i="56"/>
  <c r="AT23" i="56"/>
  <c r="AU23" i="56"/>
  <c r="AV23" i="56"/>
  <c r="AW23" i="56"/>
  <c r="AX23" i="56"/>
  <c r="AY23" i="56"/>
  <c r="AZ23" i="56"/>
  <c r="BA23" i="56"/>
  <c r="BB23" i="56"/>
  <c r="BC23" i="56"/>
  <c r="BD23" i="56"/>
  <c r="BE23" i="56"/>
  <c r="BF23" i="56"/>
  <c r="BG23" i="56"/>
  <c r="BH23" i="56"/>
  <c r="BI23" i="56"/>
  <c r="BJ23" i="56"/>
  <c r="BK23" i="56"/>
  <c r="BL23" i="56"/>
  <c r="C24" i="56"/>
  <c r="D24" i="56"/>
  <c r="AJ24" i="56"/>
  <c r="AN24" i="56"/>
  <c r="AS24" i="56"/>
  <c r="C25" i="56"/>
  <c r="D25" i="56"/>
  <c r="AN25" i="56"/>
  <c r="AS25" i="56"/>
  <c r="C26" i="56"/>
  <c r="D26" i="56"/>
  <c r="C27" i="56"/>
  <c r="D27" i="56"/>
  <c r="C28" i="56"/>
  <c r="D28" i="56"/>
  <c r="C29" i="56"/>
  <c r="D29" i="56"/>
  <c r="C30" i="56"/>
  <c r="D30" i="56"/>
  <c r="C31" i="56"/>
  <c r="D31" i="56"/>
  <c r="C32" i="56"/>
  <c r="D32" i="56"/>
  <c r="C33" i="56"/>
  <c r="D33" i="56"/>
  <c r="C34" i="56"/>
  <c r="D34" i="56"/>
  <c r="C35" i="56"/>
  <c r="D35" i="56"/>
  <c r="C36" i="56"/>
  <c r="D36" i="56"/>
  <c r="C37" i="56"/>
  <c r="D37" i="56"/>
  <c r="C38" i="56"/>
  <c r="D38" i="56"/>
  <c r="C39" i="56"/>
  <c r="D39" i="56"/>
  <c r="C40" i="56"/>
  <c r="D40" i="56"/>
  <c r="C41" i="56"/>
  <c r="D41" i="56"/>
  <c r="C42" i="56"/>
  <c r="D42" i="56"/>
  <c r="C43" i="56"/>
  <c r="D43" i="56"/>
  <c r="C44" i="56"/>
  <c r="D44" i="56"/>
  <c r="C45" i="56"/>
  <c r="D45" i="56"/>
  <c r="C46" i="56"/>
  <c r="D46" i="56"/>
  <c r="C47" i="56"/>
  <c r="D47" i="56"/>
  <c r="C48" i="56"/>
  <c r="D48" i="56"/>
  <c r="C49" i="56"/>
  <c r="D49" i="56"/>
  <c r="C50" i="56"/>
  <c r="D50" i="56"/>
  <c r="C51" i="56"/>
  <c r="D51" i="56"/>
  <c r="C52" i="56"/>
  <c r="D52" i="56"/>
  <c r="C53" i="56"/>
  <c r="D53" i="56"/>
  <c r="C54" i="56"/>
  <c r="D54" i="56"/>
  <c r="C55" i="56"/>
  <c r="D55" i="56"/>
  <c r="C56" i="56"/>
  <c r="D56" i="56"/>
  <c r="C57" i="56"/>
  <c r="D57" i="56"/>
  <c r="C58" i="56"/>
  <c r="D58" i="56"/>
  <c r="C59" i="56"/>
  <c r="D59" i="56"/>
  <c r="C60" i="56"/>
  <c r="D60" i="56"/>
  <c r="C61" i="56"/>
  <c r="D61" i="56"/>
  <c r="C62" i="56"/>
  <c r="D62" i="56"/>
  <c r="C63" i="56"/>
  <c r="D63" i="56"/>
  <c r="C64" i="56"/>
  <c r="D64" i="56"/>
  <c r="C65" i="56"/>
  <c r="D65" i="56"/>
  <c r="C66" i="56"/>
  <c r="D66" i="56"/>
  <c r="C67" i="56"/>
  <c r="D67" i="56"/>
  <c r="C68" i="56"/>
  <c r="D68" i="56"/>
  <c r="C69" i="56"/>
  <c r="D69" i="56"/>
  <c r="C70" i="56"/>
  <c r="D70" i="56"/>
  <c r="C71" i="56"/>
  <c r="D71" i="56"/>
  <c r="C72" i="56"/>
  <c r="D72" i="56"/>
  <c r="C73" i="56"/>
  <c r="D73" i="56"/>
  <c r="C74" i="56"/>
  <c r="D74" i="56"/>
  <c r="C75" i="56"/>
  <c r="D75" i="56"/>
  <c r="C76" i="56"/>
  <c r="D76" i="56"/>
  <c r="C77" i="56"/>
  <c r="D77" i="56"/>
  <c r="C78" i="56"/>
  <c r="D78" i="56"/>
  <c r="C79" i="56"/>
  <c r="D79" i="56"/>
  <c r="C80" i="56"/>
  <c r="D80" i="56"/>
  <c r="C81" i="56"/>
  <c r="D81" i="56"/>
  <c r="C82" i="56"/>
  <c r="D82" i="56"/>
  <c r="C83" i="56"/>
  <c r="D83" i="56"/>
  <c r="C84" i="56"/>
  <c r="D84" i="56"/>
  <c r="C85" i="56"/>
  <c r="D85" i="56"/>
  <c r="C86" i="56"/>
  <c r="D86" i="56"/>
  <c r="C87" i="56"/>
  <c r="D87" i="56"/>
  <c r="C88" i="56"/>
  <c r="D88" i="56"/>
  <c r="C89" i="56"/>
  <c r="D89" i="56"/>
  <c r="C90" i="56"/>
  <c r="D90" i="56"/>
  <c r="C91" i="56"/>
  <c r="D91" i="56"/>
  <c r="C92" i="56"/>
  <c r="D92" i="56"/>
  <c r="C93" i="56"/>
  <c r="D93" i="56"/>
  <c r="C94" i="56"/>
  <c r="D94" i="56"/>
  <c r="C95" i="56"/>
  <c r="D95" i="56"/>
  <c r="C96" i="56"/>
  <c r="D96" i="56"/>
  <c r="C97" i="56"/>
  <c r="D97" i="56"/>
  <c r="C98" i="56"/>
  <c r="D98" i="56"/>
  <c r="C99" i="56"/>
  <c r="D99" i="56"/>
  <c r="C100" i="56"/>
  <c r="D100" i="56"/>
  <c r="C101" i="56"/>
  <c r="D101" i="56"/>
  <c r="C102" i="56"/>
  <c r="D102" i="56"/>
  <c r="C103" i="56"/>
  <c r="D103" i="56"/>
  <c r="C104" i="56"/>
  <c r="D104" i="56"/>
  <c r="C105" i="56"/>
  <c r="D105" i="56"/>
  <c r="C106" i="56"/>
  <c r="D106" i="56"/>
  <c r="C107" i="56"/>
  <c r="D107" i="56"/>
  <c r="C108" i="56"/>
  <c r="D108" i="56"/>
  <c r="C109" i="56"/>
  <c r="D109" i="56"/>
  <c r="C110" i="56"/>
  <c r="D110" i="56"/>
  <c r="C111" i="56"/>
  <c r="D111" i="56"/>
  <c r="C112" i="56"/>
  <c r="D112" i="56"/>
  <c r="C113" i="56"/>
  <c r="D113" i="56"/>
  <c r="C114" i="56"/>
  <c r="D114" i="56"/>
  <c r="C115" i="56"/>
  <c r="D115" i="56"/>
  <c r="C116" i="56"/>
  <c r="D116" i="56"/>
  <c r="C117" i="56"/>
  <c r="D117" i="56"/>
  <c r="C118" i="56"/>
  <c r="D118" i="56"/>
  <c r="C119" i="56"/>
  <c r="D119" i="56"/>
  <c r="C120" i="56"/>
  <c r="D120" i="56"/>
  <c r="C121" i="56"/>
  <c r="D121" i="56"/>
  <c r="C122" i="56"/>
  <c r="D122" i="56"/>
  <c r="C123" i="56"/>
  <c r="D123" i="56"/>
  <c r="C124" i="56"/>
  <c r="D124" i="56"/>
  <c r="C125" i="56"/>
  <c r="D125" i="56"/>
  <c r="C126" i="56"/>
  <c r="D126" i="56"/>
  <c r="C127" i="56"/>
  <c r="D127" i="56"/>
  <c r="C128" i="56"/>
  <c r="D128" i="56"/>
  <c r="C129" i="56"/>
  <c r="D129" i="56"/>
  <c r="C130" i="56"/>
  <c r="D130" i="56"/>
  <c r="C131" i="56"/>
  <c r="D131" i="56"/>
  <c r="C132" i="56"/>
  <c r="D132" i="56"/>
  <c r="C133" i="56"/>
  <c r="D133" i="56"/>
  <c r="C134" i="56"/>
  <c r="D134" i="56"/>
  <c r="C135" i="56"/>
  <c r="D135" i="56"/>
  <c r="C136" i="56"/>
  <c r="D136" i="56"/>
  <c r="C137" i="56"/>
  <c r="D137" i="56"/>
  <c r="C138" i="56"/>
  <c r="D138" i="56"/>
  <c r="C139" i="56"/>
  <c r="D139" i="56"/>
  <c r="C140" i="56"/>
  <c r="D140" i="56"/>
  <c r="C141" i="56"/>
  <c r="D141" i="56"/>
  <c r="C142" i="56"/>
  <c r="D142" i="56"/>
  <c r="C143" i="56"/>
  <c r="D143" i="56"/>
  <c r="C144" i="56"/>
  <c r="D144" i="56"/>
  <c r="C145" i="56"/>
  <c r="D145" i="56"/>
  <c r="C146" i="56"/>
  <c r="D146" i="56"/>
  <c r="C147" i="56"/>
  <c r="D147" i="56"/>
  <c r="C148" i="56"/>
  <c r="D148" i="56"/>
  <c r="C149" i="56"/>
  <c r="D149" i="56"/>
  <c r="C150" i="56"/>
  <c r="D150" i="56"/>
  <c r="C151" i="56"/>
  <c r="D151" i="56"/>
  <c r="C152" i="56"/>
  <c r="D152" i="56"/>
  <c r="C153" i="56"/>
  <c r="D153" i="56"/>
  <c r="C154" i="56"/>
  <c r="D154" i="56"/>
  <c r="C155" i="56"/>
  <c r="D155" i="56"/>
  <c r="C156" i="56"/>
  <c r="D156" i="56"/>
  <c r="C157" i="56"/>
  <c r="D157" i="56"/>
  <c r="C158" i="56"/>
  <c r="D158" i="56"/>
  <c r="C159" i="56"/>
  <c r="D159" i="56"/>
  <c r="C160" i="56"/>
  <c r="D160" i="56"/>
  <c r="C161" i="56"/>
  <c r="D161" i="56"/>
  <c r="C162" i="56"/>
  <c r="D162" i="56"/>
  <c r="C163" i="56"/>
  <c r="D163" i="56"/>
  <c r="C164" i="56"/>
  <c r="D164" i="56"/>
  <c r="C165" i="56"/>
  <c r="D165" i="56"/>
  <c r="C166" i="56"/>
  <c r="D166" i="56"/>
  <c r="C167" i="56"/>
  <c r="D167" i="56"/>
  <c r="C168" i="56"/>
  <c r="D168" i="56"/>
  <c r="C169" i="56"/>
  <c r="D169" i="56"/>
  <c r="C170" i="56"/>
  <c r="D170" i="56"/>
  <c r="C171" i="56"/>
  <c r="D171" i="56"/>
  <c r="C172" i="56"/>
  <c r="D172" i="56"/>
  <c r="C173" i="56"/>
  <c r="D173" i="56"/>
  <c r="C174" i="56"/>
  <c r="D174" i="56"/>
  <c r="C175" i="56"/>
  <c r="D175" i="56"/>
  <c r="C176" i="56"/>
  <c r="D176" i="56"/>
  <c r="C177" i="56"/>
  <c r="D177" i="56"/>
  <c r="C178" i="56"/>
  <c r="D178" i="56"/>
  <c r="C179" i="56"/>
  <c r="D179" i="56"/>
  <c r="C180" i="56"/>
  <c r="D180" i="56"/>
  <c r="C181" i="56"/>
  <c r="D181" i="56"/>
  <c r="C182" i="56"/>
  <c r="D182" i="56"/>
  <c r="C183" i="56"/>
  <c r="D183" i="56"/>
  <c r="C184" i="56"/>
  <c r="D184" i="56"/>
  <c r="C185" i="56"/>
  <c r="D185" i="56"/>
  <c r="C186" i="56"/>
  <c r="D186" i="56"/>
  <c r="C187" i="56"/>
  <c r="D187" i="56"/>
  <c r="C188" i="56"/>
  <c r="D188" i="56"/>
  <c r="C189" i="56"/>
  <c r="D189" i="56"/>
  <c r="C190" i="56"/>
  <c r="D190" i="56"/>
  <c r="C191" i="56"/>
  <c r="D191" i="56"/>
  <c r="C192" i="56"/>
  <c r="D192" i="56"/>
  <c r="C193" i="56"/>
  <c r="D193" i="56"/>
  <c r="C194" i="56"/>
  <c r="D194" i="56"/>
  <c r="C195" i="56"/>
  <c r="D195" i="56"/>
  <c r="C196" i="56"/>
  <c r="D196" i="56"/>
  <c r="C197" i="56"/>
  <c r="D197" i="56"/>
  <c r="C198" i="56"/>
  <c r="D198" i="56"/>
  <c r="C199" i="56"/>
  <c r="D199" i="56"/>
  <c r="C200" i="56"/>
  <c r="D200" i="56"/>
  <c r="C201" i="56"/>
  <c r="D201" i="56"/>
  <c r="C202" i="56"/>
  <c r="D202" i="56"/>
  <c r="C203" i="56"/>
  <c r="D203" i="56"/>
  <c r="C204" i="56"/>
  <c r="D204" i="56"/>
  <c r="C205" i="56"/>
  <c r="D205" i="56"/>
  <c r="C206" i="56"/>
  <c r="D206" i="56"/>
  <c r="C207" i="56"/>
  <c r="D207" i="56"/>
  <c r="C208" i="56"/>
  <c r="D208" i="56"/>
  <c r="C209" i="56"/>
  <c r="D209" i="56"/>
  <c r="C210" i="56"/>
  <c r="D210" i="56"/>
  <c r="C211" i="56"/>
  <c r="D211" i="56"/>
  <c r="C212" i="56"/>
  <c r="D212" i="56"/>
  <c r="C213" i="56"/>
  <c r="D213" i="56"/>
  <c r="C214" i="56"/>
  <c r="D214" i="56"/>
  <c r="C215" i="56"/>
  <c r="D215" i="56"/>
  <c r="C216" i="56"/>
  <c r="D216" i="56"/>
  <c r="C217" i="56"/>
  <c r="D217" i="56"/>
  <c r="C218" i="56"/>
  <c r="D218" i="56"/>
  <c r="C219" i="56"/>
  <c r="D219" i="56"/>
  <c r="C220" i="56"/>
  <c r="D220" i="56"/>
  <c r="C221" i="56"/>
  <c r="D221" i="56"/>
  <c r="C222" i="56"/>
  <c r="D222" i="56"/>
  <c r="C223" i="56"/>
  <c r="D223" i="56"/>
  <c r="C224" i="56"/>
  <c r="D224" i="56"/>
  <c r="C225" i="56"/>
  <c r="D225" i="56"/>
  <c r="C226" i="56"/>
  <c r="D226" i="56"/>
  <c r="C227" i="56"/>
  <c r="D227" i="56"/>
  <c r="C228" i="56"/>
  <c r="D228" i="56"/>
  <c r="C229" i="56"/>
  <c r="D229" i="56"/>
  <c r="C230" i="56"/>
  <c r="D230" i="56"/>
  <c r="C231" i="56"/>
  <c r="D231" i="56"/>
  <c r="C232" i="56"/>
  <c r="D232" i="56"/>
  <c r="C233" i="56"/>
  <c r="D233" i="56"/>
  <c r="C234" i="56"/>
  <c r="D234" i="56"/>
  <c r="C235" i="56"/>
  <c r="D235" i="56"/>
  <c r="C236" i="56"/>
  <c r="D236" i="56"/>
  <c r="C237" i="56"/>
  <c r="D237" i="56"/>
  <c r="C238" i="56"/>
  <c r="D238" i="56"/>
  <c r="C239" i="56"/>
  <c r="D239" i="56"/>
  <c r="C240" i="56"/>
  <c r="D240" i="56"/>
  <c r="C241" i="56"/>
  <c r="D241" i="56"/>
  <c r="C242" i="56"/>
  <c r="D242" i="56"/>
  <c r="C243" i="56"/>
  <c r="D243" i="56"/>
  <c r="C244" i="56"/>
  <c r="D244" i="56"/>
  <c r="C245" i="56"/>
  <c r="D245" i="56"/>
  <c r="C246" i="56"/>
  <c r="D246" i="56"/>
  <c r="B247" i="56"/>
  <c r="D1" i="11396"/>
  <c r="E1" i="11396"/>
  <c r="F1" i="11396"/>
  <c r="G1" i="11396"/>
  <c r="H1" i="11396"/>
  <c r="I1" i="11396"/>
  <c r="J1" i="11396"/>
  <c r="K1" i="11396"/>
  <c r="L1" i="11396"/>
  <c r="M1" i="11396"/>
  <c r="N1" i="11396"/>
  <c r="O1" i="11396"/>
  <c r="P1" i="11396"/>
  <c r="Q1" i="11396"/>
  <c r="R1" i="11396"/>
  <c r="S1" i="11396"/>
  <c r="T1" i="11396"/>
  <c r="U1" i="11396"/>
  <c r="V1" i="11396"/>
  <c r="W1" i="11396"/>
  <c r="D2" i="11396"/>
  <c r="E2" i="11396"/>
  <c r="F2" i="11396"/>
  <c r="G2" i="11396"/>
  <c r="H2" i="11396"/>
  <c r="I2" i="11396"/>
  <c r="J2" i="11396"/>
  <c r="K2" i="11396"/>
  <c r="L2" i="11396"/>
  <c r="M2" i="11396"/>
  <c r="N2" i="11396"/>
  <c r="O2" i="11396"/>
  <c r="P2" i="11396"/>
  <c r="Q2" i="11396"/>
  <c r="R2" i="11396"/>
  <c r="S2" i="11396"/>
  <c r="T2" i="11396"/>
  <c r="U2" i="11396"/>
  <c r="V2" i="11396"/>
  <c r="W2" i="11396"/>
  <c r="D6" i="11396"/>
  <c r="E6" i="11396"/>
  <c r="F6" i="11396"/>
  <c r="G6" i="11396"/>
  <c r="H6" i="11396"/>
  <c r="I6" i="11396"/>
  <c r="J6" i="11396"/>
  <c r="K6" i="11396"/>
  <c r="L6" i="11396"/>
  <c r="M6" i="11396"/>
  <c r="N6" i="11396"/>
  <c r="O6" i="11396"/>
  <c r="P6" i="11396"/>
  <c r="Q6" i="11396"/>
  <c r="R6" i="11396"/>
  <c r="S6" i="11396"/>
  <c r="T6" i="11396"/>
  <c r="U6" i="11396"/>
  <c r="V6" i="11396"/>
  <c r="D8" i="11396"/>
  <c r="E8" i="11396"/>
  <c r="F8" i="11396"/>
  <c r="G8" i="11396"/>
  <c r="H8" i="11396"/>
  <c r="I8" i="11396"/>
  <c r="J8" i="11396"/>
  <c r="K8" i="11396"/>
  <c r="L8" i="11396"/>
  <c r="M8" i="11396"/>
  <c r="N8" i="11396"/>
  <c r="O8" i="11396"/>
  <c r="P8" i="11396"/>
  <c r="Q8" i="11396"/>
  <c r="R8" i="11396"/>
  <c r="S8" i="11396"/>
  <c r="T8" i="11396"/>
  <c r="U8" i="11396"/>
  <c r="V8" i="11396"/>
  <c r="W8" i="11396"/>
  <c r="C11" i="11396"/>
  <c r="D11" i="11396"/>
  <c r="E11" i="11396"/>
  <c r="F11" i="11396"/>
  <c r="G11" i="11396"/>
  <c r="H11" i="11396"/>
  <c r="I11" i="11396"/>
  <c r="J11" i="11396"/>
  <c r="K11" i="11396"/>
  <c r="L11" i="11396"/>
  <c r="M11" i="11396"/>
  <c r="N11" i="11396"/>
  <c r="O11" i="11396"/>
  <c r="P11" i="11396"/>
  <c r="Q11" i="11396"/>
  <c r="R11" i="11396"/>
  <c r="S11" i="11396"/>
  <c r="T11" i="11396"/>
  <c r="U11" i="11396"/>
  <c r="V11" i="11396"/>
  <c r="W11" i="11396"/>
  <c r="C12" i="11396"/>
  <c r="D12" i="11396"/>
  <c r="E12" i="11396"/>
  <c r="F12" i="11396"/>
  <c r="G12" i="11396"/>
  <c r="H12" i="11396"/>
  <c r="I12" i="11396"/>
  <c r="J12" i="11396"/>
  <c r="K12" i="11396"/>
  <c r="L12" i="11396"/>
  <c r="M12" i="11396"/>
  <c r="N12" i="11396"/>
  <c r="O12" i="11396"/>
  <c r="P12" i="11396"/>
  <c r="Q12" i="11396"/>
  <c r="R12" i="11396"/>
  <c r="S12" i="11396"/>
  <c r="T12" i="11396"/>
  <c r="U12" i="11396"/>
  <c r="V12" i="11396"/>
  <c r="W12" i="11396"/>
  <c r="C14" i="11396"/>
  <c r="D14" i="11396"/>
  <c r="E14" i="11396"/>
  <c r="F14" i="11396"/>
  <c r="G14" i="11396"/>
  <c r="H14" i="11396"/>
  <c r="I14" i="11396"/>
  <c r="J14" i="11396"/>
  <c r="K14" i="11396"/>
  <c r="L14" i="11396"/>
  <c r="M14" i="11396"/>
  <c r="N14" i="11396"/>
  <c r="O14" i="11396"/>
  <c r="P14" i="11396"/>
  <c r="Q14" i="11396"/>
  <c r="R14" i="11396"/>
  <c r="S14" i="11396"/>
  <c r="T14" i="11396"/>
  <c r="U14" i="11396"/>
  <c r="V14" i="11396"/>
  <c r="W14" i="11396"/>
  <c r="C15" i="11396"/>
  <c r="D15" i="11396"/>
  <c r="E15" i="11396"/>
  <c r="F15" i="11396"/>
  <c r="G15" i="11396"/>
  <c r="H15" i="11396"/>
  <c r="I15" i="11396"/>
  <c r="J15" i="11396"/>
  <c r="K15" i="11396"/>
  <c r="L15" i="11396"/>
  <c r="M15" i="11396"/>
  <c r="N15" i="11396"/>
  <c r="O15" i="11396"/>
  <c r="P15" i="11396"/>
  <c r="Q15" i="11396"/>
  <c r="R15" i="11396"/>
  <c r="S15" i="11396"/>
  <c r="T15" i="11396"/>
  <c r="U15" i="11396"/>
  <c r="V15" i="11396"/>
  <c r="W15" i="11396"/>
  <c r="C16" i="11396"/>
  <c r="D16" i="11396"/>
  <c r="E16" i="11396"/>
  <c r="F16" i="11396"/>
  <c r="G16" i="11396"/>
  <c r="H16" i="11396"/>
  <c r="I16" i="11396"/>
  <c r="J16" i="11396"/>
  <c r="K16" i="11396"/>
  <c r="L16" i="11396"/>
  <c r="M16" i="11396"/>
  <c r="N16" i="11396"/>
  <c r="O16" i="11396"/>
  <c r="P16" i="11396"/>
  <c r="Q16" i="11396"/>
  <c r="R16" i="11396"/>
  <c r="S16" i="11396"/>
  <c r="T16" i="11396"/>
  <c r="U16" i="11396"/>
  <c r="V16" i="11396"/>
  <c r="W16" i="11396"/>
  <c r="C18" i="11396"/>
  <c r="D18" i="11396"/>
  <c r="E18" i="11396"/>
  <c r="F18" i="11396"/>
  <c r="G18" i="11396"/>
  <c r="H18" i="11396"/>
  <c r="I18" i="11396"/>
  <c r="J18" i="11396"/>
  <c r="K18" i="11396"/>
  <c r="L18" i="11396"/>
  <c r="M18" i="11396"/>
  <c r="N18" i="11396"/>
  <c r="O18" i="11396"/>
  <c r="P18" i="11396"/>
  <c r="Q18" i="11396"/>
  <c r="R18" i="11396"/>
  <c r="S18" i="11396"/>
  <c r="T18" i="11396"/>
  <c r="U18" i="11396"/>
  <c r="V18" i="11396"/>
  <c r="W18" i="11396"/>
  <c r="Y18" i="11396"/>
  <c r="Z18" i="11396"/>
  <c r="AA18" i="11396"/>
  <c r="C21" i="11396"/>
  <c r="D21" i="11396"/>
  <c r="E21" i="11396"/>
  <c r="F21" i="11396"/>
  <c r="G21" i="11396"/>
  <c r="H21" i="11396"/>
  <c r="I21" i="11396"/>
  <c r="J21" i="11396"/>
  <c r="K21" i="11396"/>
  <c r="L21" i="11396"/>
  <c r="M21" i="11396"/>
  <c r="N21" i="11396"/>
  <c r="O21" i="11396"/>
  <c r="P21" i="11396"/>
  <c r="Q21" i="11396"/>
  <c r="R21" i="11396"/>
  <c r="S21" i="11396"/>
  <c r="T21" i="11396"/>
  <c r="U21" i="11396"/>
  <c r="V21" i="11396"/>
  <c r="W21" i="11396"/>
  <c r="C22" i="11396"/>
  <c r="D22" i="11396"/>
  <c r="E22" i="11396"/>
  <c r="F22" i="11396"/>
  <c r="G22" i="11396"/>
  <c r="H22" i="11396"/>
  <c r="I22" i="11396"/>
  <c r="J22" i="11396"/>
  <c r="K22" i="11396"/>
  <c r="L22" i="11396"/>
  <c r="M22" i="11396"/>
  <c r="N22" i="11396"/>
  <c r="O22" i="11396"/>
  <c r="P22" i="11396"/>
  <c r="Q22" i="11396"/>
  <c r="R22" i="11396"/>
  <c r="S22" i="11396"/>
  <c r="T22" i="11396"/>
  <c r="U22" i="11396"/>
  <c r="V22" i="11396"/>
  <c r="W22" i="11396"/>
  <c r="C24" i="11396"/>
  <c r="D24" i="11396"/>
  <c r="E24" i="11396"/>
  <c r="F24" i="11396"/>
  <c r="G24" i="11396"/>
  <c r="H24" i="11396"/>
  <c r="I24" i="11396"/>
  <c r="J24" i="11396"/>
  <c r="K24" i="11396"/>
  <c r="L24" i="11396"/>
  <c r="M24" i="11396"/>
  <c r="N24" i="11396"/>
  <c r="O24" i="11396"/>
  <c r="P24" i="11396"/>
  <c r="Q24" i="11396"/>
  <c r="R24" i="11396"/>
  <c r="S24" i="11396"/>
  <c r="T24" i="11396"/>
  <c r="U24" i="11396"/>
  <c r="V24" i="11396"/>
  <c r="W24" i="11396"/>
  <c r="Y24" i="11396"/>
  <c r="Z24" i="11396"/>
  <c r="AA24" i="11396"/>
  <c r="C28" i="11396"/>
  <c r="D28" i="11396"/>
  <c r="E28" i="11396"/>
  <c r="F28" i="11396"/>
  <c r="G28" i="11396"/>
  <c r="H28" i="11396"/>
  <c r="I28" i="11396"/>
  <c r="J28" i="11396"/>
  <c r="K28" i="11396"/>
  <c r="L28" i="11396"/>
  <c r="M28" i="11396"/>
  <c r="N28" i="11396"/>
  <c r="O28" i="11396"/>
  <c r="P28" i="11396"/>
  <c r="Q28" i="11396"/>
  <c r="R28" i="11396"/>
  <c r="S28" i="11396"/>
  <c r="T28" i="11396"/>
  <c r="U28" i="11396"/>
  <c r="V28" i="11396"/>
  <c r="W28" i="11396"/>
  <c r="D31" i="11396"/>
  <c r="E31" i="11396"/>
  <c r="F31" i="11396"/>
  <c r="G31" i="11396"/>
  <c r="H31" i="11396"/>
  <c r="I31" i="11396"/>
  <c r="J31" i="11396"/>
  <c r="K31" i="11396"/>
  <c r="L31" i="11396"/>
  <c r="M31" i="11396"/>
  <c r="N31" i="11396"/>
  <c r="O31" i="11396"/>
  <c r="P31" i="11396"/>
  <c r="Q31" i="11396"/>
  <c r="R31" i="11396"/>
  <c r="S31" i="11396"/>
  <c r="T31" i="11396"/>
  <c r="U31" i="11396"/>
  <c r="V31" i="11396"/>
  <c r="W31" i="11396"/>
  <c r="C32" i="11396"/>
  <c r="D32" i="11396"/>
  <c r="E32" i="11396"/>
  <c r="F32" i="11396"/>
  <c r="G32" i="11396"/>
  <c r="H32" i="11396"/>
  <c r="I32" i="11396"/>
  <c r="J32" i="11396"/>
  <c r="K32" i="11396"/>
  <c r="L32" i="11396"/>
  <c r="M32" i="11396"/>
  <c r="N32" i="11396"/>
  <c r="O32" i="11396"/>
  <c r="P32" i="11396"/>
  <c r="Q32" i="11396"/>
  <c r="R32" i="11396"/>
  <c r="S32" i="11396"/>
  <c r="T32" i="11396"/>
  <c r="U32" i="11396"/>
  <c r="V32" i="11396"/>
  <c r="W32" i="11396"/>
  <c r="Y32" i="11396"/>
  <c r="Z32" i="11396"/>
  <c r="AA32" i="11396"/>
  <c r="C33" i="11396"/>
  <c r="D33" i="11396"/>
  <c r="E33" i="11396"/>
  <c r="F33" i="11396"/>
  <c r="G33" i="11396"/>
  <c r="H33" i="11396"/>
  <c r="I33" i="11396"/>
  <c r="J33" i="11396"/>
  <c r="K33" i="11396"/>
  <c r="L33" i="11396"/>
  <c r="M33" i="11396"/>
  <c r="N33" i="11396"/>
  <c r="O33" i="11396"/>
  <c r="P33" i="11396"/>
  <c r="Q33" i="11396"/>
  <c r="R33" i="11396"/>
  <c r="S33" i="11396"/>
  <c r="T33" i="11396"/>
  <c r="U33" i="11396"/>
  <c r="V33" i="11396"/>
  <c r="W33" i="11396"/>
  <c r="Y33" i="11396"/>
  <c r="Z33" i="11396"/>
  <c r="AA33" i="11396"/>
  <c r="C34" i="11396"/>
  <c r="D34" i="11396"/>
  <c r="E34" i="11396"/>
  <c r="F34" i="11396"/>
  <c r="G34" i="11396"/>
  <c r="H34" i="11396"/>
  <c r="I34" i="11396"/>
  <c r="J34" i="11396"/>
  <c r="K34" i="11396"/>
  <c r="L34" i="11396"/>
  <c r="M34" i="11396"/>
  <c r="N34" i="11396"/>
  <c r="O34" i="11396"/>
  <c r="P34" i="11396"/>
  <c r="Q34" i="11396"/>
  <c r="R34" i="11396"/>
  <c r="S34" i="11396"/>
  <c r="T34" i="11396"/>
  <c r="U34" i="11396"/>
  <c r="V34" i="11396"/>
  <c r="W34" i="11396"/>
  <c r="Y34" i="11396"/>
  <c r="Z34" i="11396"/>
  <c r="AA34" i="11396"/>
  <c r="C35" i="11396"/>
  <c r="D35" i="11396"/>
  <c r="E35" i="11396"/>
  <c r="F35" i="11396"/>
  <c r="G35" i="11396"/>
  <c r="H35" i="11396"/>
  <c r="I35" i="11396"/>
  <c r="J35" i="11396"/>
  <c r="K35" i="11396"/>
  <c r="L35" i="11396"/>
  <c r="M35" i="11396"/>
  <c r="N35" i="11396"/>
  <c r="O35" i="11396"/>
  <c r="P35" i="11396"/>
  <c r="Q35" i="11396"/>
  <c r="R35" i="11396"/>
  <c r="S35" i="11396"/>
  <c r="T35" i="11396"/>
  <c r="U35" i="11396"/>
  <c r="V35" i="11396"/>
  <c r="W35" i="11396"/>
  <c r="E37" i="11396"/>
  <c r="F37" i="11396"/>
  <c r="G37" i="11396"/>
  <c r="H37" i="11396"/>
  <c r="I37" i="11396"/>
  <c r="J37" i="11396"/>
  <c r="K37" i="11396"/>
  <c r="L37" i="11396"/>
  <c r="M37" i="11396"/>
  <c r="N37" i="11396"/>
  <c r="O37" i="11396"/>
  <c r="P37" i="11396"/>
  <c r="Q37" i="11396"/>
  <c r="R37" i="11396"/>
  <c r="S37" i="11396"/>
  <c r="T37" i="11396"/>
  <c r="U37" i="11396"/>
  <c r="V37" i="11396"/>
  <c r="W37" i="11396"/>
  <c r="C38" i="11396"/>
  <c r="D38" i="11396"/>
  <c r="E38" i="11396"/>
  <c r="F38" i="11396"/>
  <c r="G38" i="11396"/>
  <c r="H38" i="11396"/>
  <c r="I38" i="11396"/>
  <c r="J38" i="11396"/>
  <c r="K38" i="11396"/>
  <c r="L38" i="11396"/>
  <c r="M38" i="11396"/>
  <c r="N38" i="11396"/>
  <c r="O38" i="11396"/>
  <c r="P38" i="11396"/>
  <c r="Q38" i="11396"/>
  <c r="R38" i="11396"/>
  <c r="S38" i="11396"/>
  <c r="T38" i="11396"/>
  <c r="U38" i="11396"/>
  <c r="V38" i="11396"/>
  <c r="W38" i="11396"/>
  <c r="D40" i="11396"/>
  <c r="E40" i="11396"/>
  <c r="F40" i="11396"/>
  <c r="G40" i="11396"/>
  <c r="H40" i="11396"/>
  <c r="I40" i="11396"/>
  <c r="J40" i="11396"/>
  <c r="K40" i="11396"/>
  <c r="L40" i="11396"/>
  <c r="M40" i="11396"/>
  <c r="N40" i="11396"/>
  <c r="O40" i="11396"/>
  <c r="P40" i="11396"/>
  <c r="Q40" i="11396"/>
  <c r="R40" i="11396"/>
  <c r="S40" i="11396"/>
  <c r="T40" i="11396"/>
  <c r="U40" i="11396"/>
  <c r="V40" i="11396"/>
  <c r="W40" i="11396"/>
  <c r="C41" i="11396"/>
  <c r="D41" i="11396"/>
  <c r="E41" i="11396"/>
  <c r="F41" i="11396"/>
  <c r="G41" i="11396"/>
  <c r="H41" i="11396"/>
  <c r="I41" i="11396"/>
  <c r="J41" i="11396"/>
  <c r="K41" i="11396"/>
  <c r="L41" i="11396"/>
  <c r="M41" i="11396"/>
  <c r="N41" i="11396"/>
  <c r="O41" i="11396"/>
  <c r="P41" i="11396"/>
  <c r="Q41" i="11396"/>
  <c r="R41" i="11396"/>
  <c r="S41" i="11396"/>
  <c r="T41" i="11396"/>
  <c r="U41" i="11396"/>
  <c r="V41" i="11396"/>
  <c r="W41" i="11396"/>
  <c r="C43" i="11396"/>
  <c r="D43" i="11396"/>
  <c r="E43" i="11396"/>
  <c r="F43" i="11396"/>
  <c r="G43" i="11396"/>
  <c r="H43" i="11396"/>
  <c r="I43" i="11396"/>
  <c r="J43" i="11396"/>
  <c r="K43" i="11396"/>
  <c r="L43" i="11396"/>
  <c r="M43" i="11396"/>
  <c r="N43" i="11396"/>
  <c r="O43" i="11396"/>
  <c r="P43" i="11396"/>
  <c r="Q43" i="11396"/>
  <c r="R43" i="11396"/>
  <c r="S43" i="11396"/>
  <c r="T43" i="11396"/>
  <c r="U43" i="11396"/>
  <c r="V43" i="11396"/>
  <c r="W43" i="11396"/>
  <c r="C44" i="11396"/>
  <c r="D44" i="11396"/>
  <c r="E44" i="11396"/>
  <c r="F44" i="11396"/>
  <c r="G44" i="11396"/>
  <c r="H44" i="11396"/>
  <c r="I44" i="11396"/>
  <c r="J44" i="11396"/>
  <c r="K44" i="11396"/>
  <c r="L44" i="11396"/>
  <c r="M44" i="11396"/>
  <c r="N44" i="11396"/>
  <c r="O44" i="11396"/>
  <c r="P44" i="11396"/>
  <c r="Q44" i="11396"/>
  <c r="R44" i="11396"/>
  <c r="S44" i="11396"/>
  <c r="T44" i="11396"/>
  <c r="U44" i="11396"/>
  <c r="V44" i="11396"/>
  <c r="W44" i="11396"/>
  <c r="C47" i="11396"/>
  <c r="D47" i="11396"/>
  <c r="E47" i="11396"/>
  <c r="F47" i="11396"/>
  <c r="G47" i="11396"/>
  <c r="H47" i="11396"/>
  <c r="I47" i="11396"/>
  <c r="J47" i="11396"/>
  <c r="K47" i="11396"/>
  <c r="L47" i="11396"/>
  <c r="M47" i="11396"/>
  <c r="N47" i="11396"/>
  <c r="O47" i="11396"/>
  <c r="P47" i="11396"/>
  <c r="Q47" i="11396"/>
  <c r="R47" i="11396"/>
  <c r="S47" i="11396"/>
  <c r="T47" i="11396"/>
  <c r="U47" i="11396"/>
  <c r="V47" i="11396"/>
  <c r="W47" i="11396"/>
  <c r="C49" i="11396"/>
  <c r="D49" i="11396"/>
  <c r="E49" i="11396"/>
  <c r="F49" i="11396"/>
  <c r="G49" i="11396"/>
  <c r="H49" i="11396"/>
  <c r="I49" i="11396"/>
  <c r="J49" i="11396"/>
  <c r="K49" i="11396"/>
  <c r="L49" i="11396"/>
  <c r="M49" i="11396"/>
  <c r="N49" i="11396"/>
  <c r="O49" i="11396"/>
  <c r="P49" i="11396"/>
  <c r="Q49" i="11396"/>
  <c r="R49" i="11396"/>
  <c r="S49" i="11396"/>
  <c r="T49" i="11396"/>
  <c r="U49" i="11396"/>
  <c r="V49" i="11396"/>
  <c r="W49" i="11396"/>
  <c r="C50" i="11396"/>
  <c r="D50" i="11396"/>
  <c r="E50" i="11396"/>
  <c r="F50" i="11396"/>
  <c r="G50" i="11396"/>
  <c r="H50" i="11396"/>
  <c r="I50" i="11396"/>
  <c r="J50" i="11396"/>
  <c r="K50" i="11396"/>
  <c r="L50" i="11396"/>
  <c r="M50" i="11396"/>
  <c r="N50" i="11396"/>
  <c r="O50" i="11396"/>
  <c r="P50" i="11396"/>
  <c r="Q50" i="11396"/>
  <c r="R50" i="11396"/>
  <c r="S50" i="11396"/>
  <c r="T50" i="11396"/>
  <c r="U50" i="11396"/>
  <c r="V50" i="11396"/>
  <c r="W50" i="11396"/>
  <c r="C51" i="11396"/>
  <c r="D51" i="11396"/>
  <c r="E51" i="11396"/>
  <c r="F51" i="11396"/>
  <c r="G51" i="11396"/>
  <c r="H51" i="11396"/>
  <c r="I51" i="11396"/>
  <c r="J51" i="11396"/>
  <c r="K51" i="11396"/>
  <c r="L51" i="11396"/>
  <c r="M51" i="11396"/>
  <c r="N51" i="11396"/>
  <c r="O51" i="11396"/>
  <c r="P51" i="11396"/>
  <c r="Q51" i="11396"/>
  <c r="R51" i="11396"/>
  <c r="S51" i="11396"/>
  <c r="T51" i="11396"/>
  <c r="U51" i="11396"/>
  <c r="V51" i="11396"/>
  <c r="W51" i="11396"/>
  <c r="D54" i="11396"/>
  <c r="E54" i="11396"/>
  <c r="F54" i="11396"/>
  <c r="G54" i="11396"/>
  <c r="H54" i="11396"/>
  <c r="I54" i="11396"/>
  <c r="J54" i="11396"/>
  <c r="K54" i="11396"/>
  <c r="L54" i="11396"/>
  <c r="M54" i="11396"/>
  <c r="N54" i="11396"/>
  <c r="O54" i="11396"/>
  <c r="P54" i="11396"/>
  <c r="Q54" i="11396"/>
  <c r="R54" i="11396"/>
  <c r="S54" i="11396"/>
  <c r="T54" i="11396"/>
  <c r="U54" i="11396"/>
  <c r="V54" i="11396"/>
  <c r="W54" i="11396"/>
  <c r="C55" i="11396"/>
  <c r="D55" i="11396"/>
  <c r="E55" i="11396"/>
  <c r="F55" i="11396"/>
  <c r="G55" i="11396"/>
  <c r="H55" i="11396"/>
  <c r="I55" i="11396"/>
  <c r="J55" i="11396"/>
  <c r="K55" i="11396"/>
  <c r="L55" i="11396"/>
  <c r="M55" i="11396"/>
  <c r="N55" i="11396"/>
  <c r="O55" i="11396"/>
  <c r="P55" i="11396"/>
  <c r="Q55" i="11396"/>
  <c r="R55" i="11396"/>
  <c r="S55" i="11396"/>
  <c r="T55" i="11396"/>
  <c r="U55" i="11396"/>
  <c r="V55" i="11396"/>
  <c r="W55" i="11396"/>
  <c r="C56" i="11396"/>
  <c r="D56" i="11396"/>
  <c r="E56" i="11396"/>
  <c r="F56" i="11396"/>
  <c r="G56" i="11396"/>
  <c r="H56" i="11396"/>
  <c r="I56" i="11396"/>
  <c r="J56" i="11396"/>
  <c r="K56" i="11396"/>
  <c r="L56" i="11396"/>
  <c r="M56" i="11396"/>
  <c r="N56" i="11396"/>
  <c r="O56" i="11396"/>
  <c r="P56" i="11396"/>
  <c r="Q56" i="11396"/>
  <c r="R56" i="11396"/>
  <c r="S56" i="11396"/>
  <c r="T56" i="11396"/>
  <c r="U56" i="11396"/>
  <c r="V56" i="11396"/>
  <c r="W56" i="11396"/>
  <c r="C57" i="11396"/>
  <c r="D57" i="11396"/>
  <c r="E57" i="11396"/>
  <c r="F57" i="11396"/>
  <c r="G57" i="11396"/>
  <c r="H57" i="11396"/>
  <c r="I57" i="11396"/>
  <c r="J57" i="11396"/>
  <c r="K57" i="11396"/>
  <c r="L57" i="11396"/>
  <c r="M57" i="11396"/>
  <c r="N57" i="11396"/>
  <c r="O57" i="11396"/>
  <c r="P57" i="11396"/>
  <c r="Q57" i="11396"/>
  <c r="R57" i="11396"/>
  <c r="S57" i="11396"/>
  <c r="T57" i="11396"/>
  <c r="U57" i="11396"/>
  <c r="V57" i="11396"/>
  <c r="W57" i="11396"/>
  <c r="C59" i="11396"/>
  <c r="D59" i="11396"/>
  <c r="E59" i="11396"/>
  <c r="F59" i="11396"/>
  <c r="G59" i="11396"/>
  <c r="H59" i="11396"/>
  <c r="I59" i="11396"/>
  <c r="J59" i="11396"/>
  <c r="K59" i="11396"/>
  <c r="L59" i="11396"/>
  <c r="M59" i="11396"/>
  <c r="N59" i="11396"/>
  <c r="O59" i="11396"/>
  <c r="P59" i="11396"/>
  <c r="Q59" i="11396"/>
  <c r="R59" i="11396"/>
  <c r="S59" i="11396"/>
  <c r="T59" i="11396"/>
  <c r="U59" i="11396"/>
  <c r="V59" i="11396"/>
  <c r="W59" i="11396"/>
  <c r="C60" i="11396"/>
  <c r="D60" i="11396"/>
  <c r="E60" i="11396"/>
  <c r="F60" i="11396"/>
  <c r="G60" i="11396"/>
  <c r="H60" i="11396"/>
  <c r="I60" i="11396"/>
  <c r="J60" i="11396"/>
  <c r="K60" i="11396"/>
  <c r="L60" i="11396"/>
  <c r="M60" i="11396"/>
  <c r="N60" i="11396"/>
  <c r="O60" i="11396"/>
  <c r="P60" i="11396"/>
  <c r="Q60" i="11396"/>
  <c r="R60" i="11396"/>
  <c r="S60" i="11396"/>
  <c r="T60" i="11396"/>
  <c r="U60" i="11396"/>
  <c r="V60" i="11396"/>
  <c r="W60" i="11396"/>
  <c r="C61" i="11396"/>
  <c r="D61" i="11396"/>
  <c r="E61" i="11396"/>
  <c r="F61" i="11396"/>
  <c r="G61" i="11396"/>
  <c r="H61" i="11396"/>
  <c r="I61" i="11396"/>
  <c r="J61" i="11396"/>
  <c r="K61" i="11396"/>
  <c r="L61" i="11396"/>
  <c r="M61" i="11396"/>
  <c r="N61" i="11396"/>
  <c r="O61" i="11396"/>
  <c r="P61" i="11396"/>
  <c r="Q61" i="11396"/>
  <c r="R61" i="11396"/>
  <c r="S61" i="11396"/>
  <c r="T61" i="11396"/>
  <c r="U61" i="11396"/>
  <c r="V61" i="11396"/>
  <c r="W61" i="11396"/>
  <c r="C64" i="11396"/>
  <c r="D64" i="11396"/>
  <c r="E64" i="11396"/>
  <c r="F64" i="11396"/>
  <c r="G64" i="11396"/>
  <c r="H64" i="11396"/>
  <c r="I64" i="11396"/>
  <c r="J64" i="11396"/>
  <c r="K64" i="11396"/>
  <c r="L64" i="11396"/>
  <c r="M64" i="11396"/>
  <c r="N64" i="11396"/>
  <c r="O64" i="11396"/>
  <c r="P64" i="11396"/>
  <c r="Q64" i="11396"/>
  <c r="R64" i="11396"/>
  <c r="S64" i="11396"/>
  <c r="T64" i="11396"/>
  <c r="U64" i="11396"/>
  <c r="V64" i="11396"/>
  <c r="W64" i="11396"/>
  <c r="C65" i="11396"/>
  <c r="D65" i="11396"/>
  <c r="E65" i="11396"/>
  <c r="F65" i="11396"/>
  <c r="G65" i="11396"/>
  <c r="H65" i="11396"/>
  <c r="I65" i="11396"/>
  <c r="J65" i="11396"/>
  <c r="K65" i="11396"/>
  <c r="L65" i="11396"/>
  <c r="M65" i="11396"/>
  <c r="N65" i="11396"/>
  <c r="O65" i="11396"/>
  <c r="P65" i="11396"/>
  <c r="Q65" i="11396"/>
  <c r="R65" i="11396"/>
  <c r="S65" i="11396"/>
  <c r="T65" i="11396"/>
  <c r="U65" i="11396"/>
  <c r="V65" i="11396"/>
  <c r="W65" i="11396"/>
  <c r="C66" i="11396"/>
  <c r="D66" i="11396"/>
  <c r="E66" i="11396"/>
  <c r="F66" i="11396"/>
  <c r="G66" i="11396"/>
  <c r="H66" i="11396"/>
  <c r="I66" i="11396"/>
  <c r="J66" i="11396"/>
  <c r="K66" i="11396"/>
  <c r="L66" i="11396"/>
  <c r="M66" i="11396"/>
  <c r="N66" i="11396"/>
  <c r="O66" i="11396"/>
  <c r="P66" i="11396"/>
  <c r="Q66" i="11396"/>
  <c r="R66" i="11396"/>
  <c r="S66" i="11396"/>
  <c r="T66" i="11396"/>
  <c r="U66" i="11396"/>
  <c r="V66" i="11396"/>
  <c r="W66" i="11396"/>
  <c r="E68" i="11396"/>
  <c r="F68" i="11396"/>
  <c r="G68" i="11396"/>
  <c r="H68" i="11396"/>
  <c r="I68" i="11396"/>
  <c r="J68" i="11396"/>
  <c r="K68" i="11396"/>
  <c r="L68" i="11396"/>
  <c r="M68" i="11396"/>
  <c r="N68" i="11396"/>
  <c r="O68" i="11396"/>
  <c r="P68" i="11396"/>
  <c r="Q68" i="11396"/>
  <c r="R68" i="11396"/>
  <c r="S68" i="11396"/>
  <c r="T68" i="11396"/>
  <c r="U68" i="11396"/>
  <c r="V68" i="11396"/>
  <c r="W68" i="11396"/>
  <c r="H3" i="41"/>
  <c r="E7" i="41"/>
  <c r="F7" i="41"/>
  <c r="H7" i="41"/>
  <c r="E8" i="41"/>
  <c r="F8" i="41"/>
  <c r="H8" i="41"/>
  <c r="E9" i="41"/>
  <c r="F9" i="41"/>
  <c r="H9" i="41"/>
  <c r="E10" i="41"/>
  <c r="F10" i="41"/>
  <c r="H10" i="41"/>
  <c r="E11" i="41"/>
  <c r="F11" i="41"/>
  <c r="H11" i="41"/>
  <c r="E12" i="41"/>
  <c r="F12" i="41"/>
  <c r="H12" i="41"/>
  <c r="E13" i="41"/>
  <c r="F13" i="41"/>
  <c r="H13" i="41"/>
  <c r="E14" i="41"/>
  <c r="F14" i="41"/>
  <c r="H14" i="41"/>
  <c r="E15" i="41"/>
  <c r="F15" i="41"/>
  <c r="H15" i="41"/>
  <c r="E16" i="41"/>
  <c r="F16" i="41"/>
  <c r="H16" i="41"/>
  <c r="E17" i="41"/>
  <c r="F17" i="41"/>
  <c r="H17" i="41"/>
  <c r="E18" i="41"/>
  <c r="F18" i="41"/>
  <c r="H18" i="41"/>
  <c r="E19" i="41"/>
  <c r="F19" i="41"/>
  <c r="H19" i="41"/>
  <c r="E20" i="41"/>
  <c r="F20" i="41"/>
  <c r="H20" i="41"/>
  <c r="E21" i="41"/>
  <c r="F21" i="41"/>
  <c r="H21" i="41"/>
  <c r="E22" i="41"/>
  <c r="F22" i="41"/>
  <c r="H22" i="41"/>
  <c r="E23" i="41"/>
  <c r="F23" i="41"/>
  <c r="H23" i="41"/>
  <c r="E24" i="41"/>
  <c r="F24" i="41"/>
  <c r="H24" i="41"/>
  <c r="E25" i="41"/>
  <c r="F25" i="41"/>
  <c r="H25" i="41"/>
  <c r="E26" i="41"/>
  <c r="F26" i="41"/>
  <c r="H26" i="41"/>
  <c r="E27" i="41"/>
  <c r="F27" i="41"/>
  <c r="H27" i="41"/>
  <c r="E28" i="41"/>
  <c r="F28" i="41"/>
  <c r="H28" i="41"/>
  <c r="E29" i="41"/>
  <c r="F29" i="41"/>
  <c r="H29" i="41"/>
  <c r="E30" i="41"/>
  <c r="F30" i="41"/>
  <c r="H30" i="41"/>
  <c r="E31" i="41"/>
  <c r="F31" i="41"/>
  <c r="H31" i="41"/>
  <c r="E32" i="41"/>
  <c r="F32" i="41"/>
  <c r="H32" i="41"/>
  <c r="E33" i="41"/>
  <c r="F33" i="41"/>
  <c r="H33" i="41"/>
  <c r="E34" i="41"/>
  <c r="F34" i="41"/>
  <c r="H34" i="41"/>
  <c r="E35" i="41"/>
  <c r="F35" i="41"/>
  <c r="H35" i="41"/>
  <c r="E36" i="41"/>
  <c r="F36" i="41"/>
  <c r="H36" i="41"/>
  <c r="E37" i="41"/>
  <c r="F37" i="41"/>
  <c r="H37" i="41"/>
  <c r="E38" i="41"/>
  <c r="F38" i="41"/>
  <c r="H38" i="41"/>
  <c r="E39" i="41"/>
  <c r="F39" i="41"/>
  <c r="H39" i="41"/>
  <c r="E40" i="41"/>
  <c r="F40" i="41"/>
  <c r="H40" i="41"/>
  <c r="E41" i="41"/>
  <c r="F41" i="41"/>
  <c r="H41" i="41"/>
  <c r="E42" i="41"/>
  <c r="F42" i="41"/>
  <c r="H42" i="41"/>
  <c r="E43" i="41"/>
  <c r="F43" i="41"/>
  <c r="H43" i="41"/>
  <c r="E44" i="41"/>
  <c r="F44" i="41"/>
  <c r="H44" i="41"/>
  <c r="E45" i="41"/>
  <c r="F45" i="41"/>
  <c r="H45" i="41"/>
  <c r="E46" i="41"/>
  <c r="F46" i="41"/>
  <c r="H46" i="41"/>
  <c r="E47" i="41"/>
  <c r="F47" i="41"/>
  <c r="H47" i="41"/>
  <c r="E48" i="41"/>
  <c r="F48" i="41"/>
  <c r="H48" i="41"/>
  <c r="E49" i="41"/>
  <c r="F49" i="41"/>
  <c r="H49" i="41"/>
  <c r="E50" i="41"/>
  <c r="F50" i="41"/>
  <c r="H50" i="41"/>
  <c r="E51" i="41"/>
  <c r="F51" i="41"/>
  <c r="H51" i="41"/>
  <c r="E52" i="41"/>
  <c r="F52" i="41"/>
  <c r="H52" i="41"/>
  <c r="E53" i="41"/>
  <c r="F53" i="41"/>
  <c r="H53" i="41"/>
  <c r="E54" i="41"/>
  <c r="F54" i="41"/>
  <c r="H54" i="41"/>
  <c r="E55" i="41"/>
  <c r="F55" i="41"/>
  <c r="H55" i="41"/>
  <c r="E56" i="41"/>
  <c r="F56" i="41"/>
  <c r="H56" i="41"/>
  <c r="E57" i="41"/>
  <c r="F57" i="41"/>
  <c r="H57" i="41"/>
  <c r="E58" i="41"/>
  <c r="F58" i="41"/>
  <c r="H58" i="41"/>
  <c r="E59" i="41"/>
  <c r="F59" i="41"/>
  <c r="H59" i="41"/>
  <c r="E60" i="41"/>
  <c r="F60" i="41"/>
  <c r="H60" i="41"/>
  <c r="E61" i="41"/>
  <c r="F61" i="41"/>
  <c r="H61" i="41"/>
  <c r="E62" i="41"/>
  <c r="F62" i="41"/>
  <c r="H62" i="41"/>
  <c r="E63" i="41"/>
  <c r="F63" i="41"/>
  <c r="H63" i="41"/>
  <c r="E64" i="41"/>
  <c r="F64" i="41"/>
  <c r="H64" i="41"/>
  <c r="E65" i="41"/>
  <c r="F65" i="41"/>
  <c r="H65" i="41"/>
  <c r="E66" i="41"/>
  <c r="F66" i="41"/>
  <c r="H66" i="41"/>
  <c r="E67" i="41"/>
  <c r="F67" i="41"/>
  <c r="H67" i="41"/>
  <c r="E68" i="41"/>
  <c r="F68" i="41"/>
  <c r="H68" i="41"/>
  <c r="E69" i="41"/>
  <c r="F69" i="41"/>
  <c r="H69" i="41"/>
  <c r="E70" i="41"/>
  <c r="F70" i="41"/>
  <c r="H70" i="41"/>
  <c r="E71" i="41"/>
  <c r="F71" i="41"/>
  <c r="H71" i="41"/>
  <c r="E72" i="41"/>
  <c r="F72" i="41"/>
  <c r="H72" i="41"/>
  <c r="E73" i="41"/>
  <c r="F73" i="41"/>
  <c r="H73" i="41"/>
  <c r="E74" i="41"/>
  <c r="F74" i="41"/>
  <c r="H74" i="41"/>
  <c r="E75" i="41"/>
  <c r="F75" i="41"/>
  <c r="H75" i="41"/>
  <c r="E76" i="41"/>
  <c r="F76" i="41"/>
  <c r="H76" i="41"/>
  <c r="E77" i="41"/>
  <c r="F77" i="41"/>
  <c r="H77" i="41"/>
  <c r="E78" i="41"/>
  <c r="F78" i="41"/>
  <c r="H78" i="41"/>
  <c r="E79" i="41"/>
  <c r="F79" i="41"/>
  <c r="H79" i="41"/>
  <c r="E80" i="41"/>
  <c r="F80" i="41"/>
  <c r="H80" i="41"/>
  <c r="E81" i="41"/>
  <c r="F81" i="41"/>
  <c r="H81" i="41"/>
  <c r="E82" i="41"/>
  <c r="F82" i="41"/>
  <c r="H82" i="41"/>
  <c r="E83" i="41"/>
  <c r="F83" i="41"/>
  <c r="H83" i="41"/>
  <c r="E84" i="41"/>
  <c r="F84" i="41"/>
  <c r="H84" i="41"/>
  <c r="E85" i="41"/>
  <c r="F85" i="41"/>
  <c r="H85" i="41"/>
  <c r="E86" i="41"/>
  <c r="F86" i="41"/>
  <c r="H86" i="41"/>
  <c r="E87" i="41"/>
  <c r="F87" i="41"/>
  <c r="H87" i="41"/>
  <c r="E88" i="41"/>
  <c r="F88" i="41"/>
  <c r="H88" i="41"/>
  <c r="E89" i="41"/>
  <c r="F89" i="41"/>
  <c r="H89" i="41"/>
  <c r="E90" i="41"/>
  <c r="F90" i="41"/>
  <c r="H90" i="41"/>
  <c r="E91" i="41"/>
  <c r="F91" i="41"/>
  <c r="H91" i="41"/>
  <c r="E92" i="41"/>
  <c r="F92" i="41"/>
  <c r="H92" i="41"/>
  <c r="E93" i="41"/>
  <c r="F93" i="41"/>
  <c r="H93" i="41"/>
  <c r="E94" i="41"/>
  <c r="F94" i="41"/>
  <c r="H94" i="41"/>
  <c r="E95" i="41"/>
  <c r="F95" i="41"/>
  <c r="H95" i="41"/>
  <c r="E96" i="41"/>
  <c r="F96" i="41"/>
  <c r="H96" i="41"/>
  <c r="E97" i="41"/>
  <c r="F97" i="41"/>
  <c r="H97" i="41"/>
  <c r="E98" i="41"/>
  <c r="F98" i="41"/>
  <c r="H98" i="41"/>
  <c r="E99" i="41"/>
  <c r="F99" i="41"/>
  <c r="H99" i="41"/>
  <c r="E100" i="41"/>
  <c r="F100" i="41"/>
  <c r="H100" i="41"/>
  <c r="E101" i="41"/>
  <c r="F101" i="41"/>
  <c r="H101" i="41"/>
  <c r="E102" i="41"/>
  <c r="F102" i="41"/>
  <c r="H102" i="41"/>
  <c r="E103" i="41"/>
  <c r="F103" i="41"/>
  <c r="H103" i="41"/>
  <c r="E104" i="41"/>
  <c r="F104" i="41"/>
  <c r="H104" i="41"/>
  <c r="E105" i="41"/>
  <c r="F105" i="41"/>
  <c r="H105" i="41"/>
  <c r="E106" i="41"/>
  <c r="F106" i="41"/>
  <c r="H106" i="41"/>
  <c r="E107" i="41"/>
  <c r="F107" i="41"/>
  <c r="H107" i="41"/>
  <c r="E108" i="41"/>
  <c r="F108" i="41"/>
  <c r="H108" i="41"/>
  <c r="E109" i="41"/>
  <c r="F109" i="41"/>
  <c r="H109" i="41"/>
  <c r="E110" i="41"/>
  <c r="F110" i="41"/>
  <c r="H110" i="41"/>
  <c r="E111" i="41"/>
  <c r="F111" i="41"/>
  <c r="H111" i="41"/>
  <c r="E112" i="41"/>
  <c r="F112" i="41"/>
  <c r="H112" i="41"/>
  <c r="E113" i="41"/>
  <c r="F113" i="41"/>
  <c r="H113" i="41"/>
  <c r="E114" i="41"/>
  <c r="F114" i="41"/>
  <c r="H114" i="41"/>
  <c r="E115" i="41"/>
  <c r="F115" i="41"/>
  <c r="H115" i="41"/>
  <c r="E116" i="41"/>
  <c r="F116" i="41"/>
  <c r="H116" i="41"/>
  <c r="E117" i="41"/>
  <c r="F117" i="41"/>
  <c r="H117" i="41"/>
  <c r="E118" i="41"/>
  <c r="F118" i="41"/>
  <c r="H118" i="41"/>
  <c r="E119" i="41"/>
  <c r="F119" i="41"/>
  <c r="H119" i="41"/>
  <c r="E120" i="41"/>
  <c r="F120" i="41"/>
  <c r="H120" i="41"/>
  <c r="E121" i="41"/>
  <c r="F121" i="41"/>
  <c r="H121" i="41"/>
  <c r="E122" i="41"/>
  <c r="F122" i="41"/>
  <c r="H122" i="41"/>
  <c r="E123" i="41"/>
  <c r="F123" i="41"/>
  <c r="H123" i="41"/>
  <c r="E124" i="41"/>
  <c r="F124" i="41"/>
  <c r="H124" i="41"/>
  <c r="E125" i="41"/>
  <c r="F125" i="41"/>
  <c r="H125" i="41"/>
  <c r="E126" i="41"/>
  <c r="F126" i="41"/>
  <c r="H126" i="41"/>
  <c r="E127" i="41"/>
  <c r="F127" i="41"/>
  <c r="H127" i="41"/>
  <c r="E128" i="41"/>
  <c r="F128" i="41"/>
  <c r="H128" i="41"/>
  <c r="E129" i="41"/>
  <c r="F129" i="41"/>
  <c r="H129" i="41"/>
  <c r="E130" i="41"/>
  <c r="F130" i="41"/>
  <c r="H130" i="41"/>
  <c r="E131" i="41"/>
  <c r="F131" i="41"/>
  <c r="H131" i="41"/>
  <c r="E132" i="41"/>
  <c r="F132" i="41"/>
  <c r="H132" i="41"/>
  <c r="E133" i="41"/>
  <c r="F133" i="41"/>
  <c r="H133" i="41"/>
  <c r="E134" i="41"/>
  <c r="F134" i="41"/>
  <c r="H134" i="41"/>
  <c r="E135" i="41"/>
  <c r="F135" i="41"/>
  <c r="H135" i="41"/>
  <c r="E136" i="41"/>
  <c r="F136" i="41"/>
  <c r="H136" i="41"/>
  <c r="E137" i="41"/>
  <c r="F137" i="41"/>
  <c r="H137" i="41"/>
  <c r="E138" i="41"/>
  <c r="F138" i="41"/>
  <c r="H138" i="41"/>
  <c r="E139" i="41"/>
  <c r="F139" i="41"/>
  <c r="H139" i="41"/>
  <c r="E140" i="41"/>
  <c r="F140" i="41"/>
  <c r="H140" i="41"/>
  <c r="E141" i="41"/>
  <c r="F141" i="41"/>
  <c r="H141" i="41"/>
  <c r="E142" i="41"/>
  <c r="F142" i="41"/>
  <c r="H142" i="41"/>
  <c r="E143" i="41"/>
  <c r="F143" i="41"/>
  <c r="H143" i="41"/>
  <c r="E144" i="41"/>
  <c r="F144" i="41"/>
  <c r="H144" i="41"/>
  <c r="E145" i="41"/>
  <c r="F145" i="41"/>
  <c r="H145" i="41"/>
  <c r="E146" i="41"/>
  <c r="F146" i="41"/>
  <c r="H146" i="41"/>
  <c r="E147" i="41"/>
  <c r="F147" i="41"/>
  <c r="H147" i="41"/>
  <c r="E148" i="41"/>
  <c r="F148" i="41"/>
  <c r="H148" i="41"/>
  <c r="E149" i="41"/>
  <c r="F149" i="41"/>
  <c r="H149" i="41"/>
  <c r="E150" i="41"/>
  <c r="F150" i="41"/>
  <c r="H150" i="41"/>
  <c r="E151" i="41"/>
  <c r="F151" i="41"/>
  <c r="H151" i="41"/>
  <c r="E152" i="41"/>
  <c r="F152" i="41"/>
  <c r="H152" i="41"/>
  <c r="E153" i="41"/>
  <c r="F153" i="41"/>
  <c r="H153" i="41"/>
  <c r="E154" i="41"/>
  <c r="F154" i="41"/>
  <c r="H154" i="41"/>
  <c r="E155" i="41"/>
  <c r="F155" i="41"/>
  <c r="H155" i="41"/>
  <c r="E156" i="41"/>
  <c r="F156" i="41"/>
  <c r="H156" i="41"/>
  <c r="E157" i="41"/>
  <c r="F157" i="41"/>
  <c r="H157" i="41"/>
  <c r="E158" i="41"/>
  <c r="F158" i="41"/>
  <c r="H158" i="41"/>
  <c r="E159" i="41"/>
  <c r="F159" i="41"/>
  <c r="H159" i="41"/>
  <c r="E160" i="41"/>
  <c r="F160" i="41"/>
  <c r="H160" i="41"/>
  <c r="E161" i="41"/>
  <c r="F161" i="41"/>
  <c r="H161" i="41"/>
  <c r="E162" i="41"/>
  <c r="F162" i="41"/>
  <c r="H162" i="41"/>
  <c r="E163" i="41"/>
  <c r="F163" i="41"/>
  <c r="H163" i="41"/>
  <c r="E164" i="41"/>
  <c r="F164" i="41"/>
  <c r="H164" i="41"/>
  <c r="E165" i="41"/>
  <c r="F165" i="41"/>
  <c r="H165" i="41"/>
  <c r="E166" i="41"/>
  <c r="F166" i="41"/>
  <c r="H166" i="41"/>
  <c r="E167" i="41"/>
  <c r="F167" i="41"/>
  <c r="H167" i="41"/>
  <c r="E168" i="41"/>
  <c r="F168" i="41"/>
  <c r="H168" i="41"/>
  <c r="E169" i="41"/>
  <c r="F169" i="41"/>
  <c r="H169" i="41"/>
  <c r="E170" i="41"/>
  <c r="F170" i="41"/>
  <c r="H170" i="41"/>
  <c r="E171" i="41"/>
  <c r="F171" i="41"/>
  <c r="H171" i="41"/>
  <c r="E172" i="41"/>
  <c r="F172" i="41"/>
  <c r="H172" i="41"/>
  <c r="E173" i="41"/>
  <c r="F173" i="41"/>
  <c r="H173" i="41"/>
  <c r="E174" i="41"/>
  <c r="F174" i="41"/>
  <c r="H174" i="41"/>
  <c r="E175" i="41"/>
  <c r="F175" i="41"/>
  <c r="H175" i="41"/>
  <c r="E176" i="41"/>
  <c r="F176" i="41"/>
  <c r="H176" i="41"/>
  <c r="E177" i="41"/>
  <c r="F177" i="41"/>
  <c r="H177" i="41"/>
  <c r="E178" i="41"/>
  <c r="F178" i="41"/>
  <c r="H178" i="41"/>
  <c r="E179" i="41"/>
  <c r="F179" i="41"/>
  <c r="H179" i="41"/>
  <c r="E180" i="41"/>
  <c r="F180" i="41"/>
  <c r="H180" i="41"/>
  <c r="E181" i="41"/>
  <c r="F181" i="41"/>
  <c r="H181" i="41"/>
  <c r="E182" i="41"/>
  <c r="F182" i="41"/>
  <c r="H182" i="41"/>
  <c r="E183" i="41"/>
  <c r="F183" i="41"/>
  <c r="H183" i="41"/>
  <c r="E184" i="41"/>
  <c r="F184" i="41"/>
  <c r="H184" i="41"/>
  <c r="E185" i="41"/>
  <c r="F185" i="41"/>
  <c r="H185" i="41"/>
  <c r="E186" i="41"/>
  <c r="F186" i="41"/>
  <c r="H186" i="41"/>
  <c r="E187" i="41"/>
  <c r="F187" i="41"/>
  <c r="H187" i="41"/>
  <c r="E188" i="41"/>
  <c r="F188" i="41"/>
  <c r="H188" i="41"/>
  <c r="E189" i="41"/>
  <c r="F189" i="41"/>
  <c r="H189" i="41"/>
  <c r="E190" i="41"/>
  <c r="F190" i="41"/>
  <c r="H190" i="41"/>
  <c r="E191" i="41"/>
  <c r="F191" i="41"/>
  <c r="H191" i="41"/>
  <c r="E192" i="41"/>
  <c r="F192" i="41"/>
  <c r="H192" i="41"/>
  <c r="E193" i="41"/>
  <c r="F193" i="41"/>
  <c r="H193" i="41"/>
  <c r="E194" i="41"/>
  <c r="F194" i="41"/>
  <c r="H194" i="41"/>
  <c r="E195" i="41"/>
  <c r="F195" i="41"/>
  <c r="H195" i="41"/>
  <c r="E196" i="41"/>
  <c r="F196" i="41"/>
  <c r="H196" i="41"/>
  <c r="E197" i="41"/>
  <c r="F197" i="41"/>
  <c r="H197" i="41"/>
  <c r="E198" i="41"/>
  <c r="F198" i="41"/>
  <c r="H198" i="41"/>
  <c r="E199" i="41"/>
  <c r="F199" i="41"/>
  <c r="H199" i="41"/>
  <c r="E200" i="41"/>
  <c r="F200" i="41"/>
  <c r="H200" i="41"/>
  <c r="E201" i="41"/>
  <c r="F201" i="41"/>
  <c r="H201" i="41"/>
  <c r="E202" i="41"/>
  <c r="F202" i="41"/>
  <c r="H202" i="41"/>
  <c r="E203" i="41"/>
  <c r="F203" i="41"/>
  <c r="H203" i="41"/>
  <c r="E204" i="41"/>
  <c r="F204" i="41"/>
  <c r="H204" i="41"/>
  <c r="E205" i="41"/>
  <c r="F205" i="41"/>
  <c r="H205" i="41"/>
  <c r="E206" i="41"/>
  <c r="F206" i="41"/>
  <c r="H206" i="41"/>
  <c r="E207" i="41"/>
  <c r="F207" i="41"/>
  <c r="H207" i="41"/>
  <c r="E208" i="41"/>
  <c r="F208" i="41"/>
  <c r="H208" i="41"/>
  <c r="E209" i="41"/>
  <c r="F209" i="41"/>
  <c r="H209" i="41"/>
  <c r="E210" i="41"/>
  <c r="F210" i="41"/>
  <c r="H210" i="41"/>
  <c r="E211" i="41"/>
  <c r="F211" i="41"/>
  <c r="H211" i="41"/>
  <c r="E212" i="41"/>
  <c r="F212" i="41"/>
  <c r="H212" i="41"/>
  <c r="E213" i="41"/>
  <c r="F213" i="41"/>
  <c r="H213" i="41"/>
  <c r="E214" i="41"/>
  <c r="F214" i="41"/>
  <c r="H214" i="41"/>
  <c r="E215" i="41"/>
  <c r="F215" i="41"/>
  <c r="H215" i="41"/>
  <c r="E216" i="41"/>
  <c r="F216" i="41"/>
  <c r="H216" i="41"/>
  <c r="E217" i="41"/>
  <c r="F217" i="41"/>
  <c r="H217" i="41"/>
  <c r="E218" i="41"/>
  <c r="F218" i="41"/>
  <c r="H218" i="41"/>
  <c r="E219" i="41"/>
  <c r="F219" i="41"/>
  <c r="H219" i="41"/>
  <c r="E220" i="41"/>
  <c r="F220" i="41"/>
  <c r="H220" i="41"/>
  <c r="E221" i="41"/>
  <c r="F221" i="41"/>
  <c r="H221" i="41"/>
  <c r="E222" i="41"/>
  <c r="F222" i="41"/>
  <c r="H222" i="41"/>
  <c r="E223" i="41"/>
  <c r="F223" i="41"/>
  <c r="H223" i="41"/>
  <c r="E224" i="41"/>
  <c r="F224" i="41"/>
  <c r="H224" i="41"/>
  <c r="E225" i="41"/>
  <c r="F225" i="41"/>
  <c r="H225" i="41"/>
  <c r="E226" i="41"/>
  <c r="F226" i="41"/>
  <c r="H226" i="41"/>
  <c r="E227" i="41"/>
  <c r="F227" i="41"/>
  <c r="H227" i="41"/>
  <c r="E228" i="41"/>
  <c r="F228" i="41"/>
  <c r="H228" i="41"/>
  <c r="E229" i="41"/>
  <c r="F229" i="41"/>
  <c r="H229" i="41"/>
  <c r="E230" i="41"/>
  <c r="F230" i="41"/>
  <c r="H230" i="41"/>
  <c r="E231" i="41"/>
  <c r="F231" i="41"/>
  <c r="H231" i="41"/>
  <c r="E232" i="41"/>
  <c r="F232" i="41"/>
  <c r="H232" i="41"/>
  <c r="E233" i="41"/>
  <c r="F233" i="41"/>
  <c r="H233" i="41"/>
  <c r="E234" i="41"/>
  <c r="F234" i="41"/>
  <c r="H234" i="41"/>
  <c r="E235" i="41"/>
  <c r="F235" i="41"/>
  <c r="H235" i="41"/>
  <c r="E236" i="41"/>
  <c r="F236" i="41"/>
  <c r="H236" i="41"/>
  <c r="E237" i="41"/>
  <c r="F237" i="41"/>
  <c r="H237" i="41"/>
  <c r="E238" i="41"/>
  <c r="F238" i="41"/>
  <c r="H238" i="41"/>
  <c r="E239" i="41"/>
  <c r="F239" i="41"/>
  <c r="H239" i="41"/>
  <c r="E240" i="41"/>
  <c r="F240" i="41"/>
  <c r="H240" i="41"/>
  <c r="E241" i="41"/>
  <c r="F241" i="41"/>
  <c r="H241" i="41"/>
  <c r="E242" i="41"/>
  <c r="F242" i="41"/>
  <c r="H242" i="41"/>
  <c r="E243" i="41"/>
  <c r="F243" i="41"/>
  <c r="H243" i="41"/>
  <c r="E244" i="41"/>
  <c r="F244" i="41"/>
  <c r="H244" i="41"/>
  <c r="E245" i="41"/>
  <c r="F245" i="41"/>
  <c r="H245" i="41"/>
  <c r="E246" i="41"/>
  <c r="F246" i="41"/>
  <c r="H246" i="41"/>
  <c r="E247" i="41"/>
  <c r="F247" i="41"/>
  <c r="E248" i="41"/>
  <c r="F248" i="41"/>
  <c r="E249" i="41"/>
  <c r="F249" i="41"/>
  <c r="E250" i="41"/>
  <c r="F250" i="41"/>
  <c r="E251" i="41"/>
  <c r="F251" i="41"/>
  <c r="E252" i="41"/>
  <c r="F252" i="41"/>
  <c r="E253" i="41"/>
  <c r="F253" i="41"/>
  <c r="E254" i="41"/>
  <c r="F254" i="41"/>
  <c r="E255" i="41"/>
  <c r="F255" i="41"/>
  <c r="E256" i="41"/>
  <c r="F256" i="41"/>
  <c r="E257" i="41"/>
  <c r="F257" i="41"/>
  <c r="E258" i="41"/>
  <c r="F258" i="41"/>
  <c r="E259" i="41"/>
  <c r="F259" i="41"/>
  <c r="E260" i="41"/>
  <c r="F260" i="41"/>
  <c r="E261" i="41"/>
  <c r="F261" i="41"/>
  <c r="E262" i="41"/>
  <c r="F262" i="41"/>
  <c r="E263" i="41"/>
  <c r="F263" i="41"/>
  <c r="E264" i="41"/>
  <c r="F264" i="41"/>
  <c r="E265" i="41"/>
  <c r="F265" i="41"/>
  <c r="E266" i="41"/>
  <c r="F266" i="41"/>
  <c r="E267" i="41"/>
  <c r="F267" i="41"/>
  <c r="E268" i="41"/>
  <c r="F268" i="41"/>
  <c r="B1" i="11397"/>
  <c r="B8" i="11397"/>
  <c r="B9" i="11397"/>
  <c r="B10" i="11397"/>
  <c r="B11" i="11397"/>
  <c r="B12" i="11397"/>
  <c r="C12" i="11397"/>
  <c r="D12" i="11397"/>
  <c r="E12" i="11397"/>
  <c r="F12" i="11397"/>
  <c r="G12" i="11397"/>
  <c r="H12" i="11397"/>
  <c r="I12" i="11397"/>
  <c r="J12" i="11397"/>
  <c r="B13" i="11397"/>
  <c r="C13" i="11397"/>
  <c r="D13" i="11397"/>
  <c r="E13" i="11397"/>
  <c r="F13" i="11397"/>
  <c r="G13" i="11397"/>
  <c r="H13" i="11397"/>
  <c r="I13" i="11397"/>
  <c r="J13" i="11397"/>
  <c r="B14" i="11397"/>
  <c r="C14" i="11397"/>
  <c r="D14" i="11397"/>
  <c r="E14" i="11397"/>
  <c r="F14" i="11397"/>
  <c r="G14" i="11397"/>
  <c r="H14" i="11397"/>
  <c r="I14" i="11397"/>
  <c r="J14" i="11397"/>
  <c r="B15" i="11397"/>
  <c r="C15" i="11397"/>
  <c r="D15" i="11397"/>
  <c r="E15" i="11397"/>
  <c r="F15" i="11397"/>
  <c r="G15" i="11397"/>
  <c r="H15" i="11397"/>
  <c r="I15" i="11397"/>
  <c r="J15" i="11397"/>
  <c r="B16" i="11397"/>
  <c r="C16" i="11397"/>
  <c r="D16" i="11397"/>
  <c r="E16" i="11397"/>
  <c r="F16" i="11397"/>
  <c r="G16" i="11397"/>
  <c r="H16" i="11397"/>
  <c r="I16" i="11397"/>
  <c r="J16" i="11397"/>
  <c r="B17" i="11397"/>
  <c r="C17" i="11397"/>
  <c r="D17" i="11397"/>
  <c r="E17" i="11397"/>
  <c r="F17" i="11397"/>
  <c r="G17" i="11397"/>
  <c r="H17" i="11397"/>
  <c r="I17" i="11397"/>
  <c r="J17" i="11397"/>
  <c r="B18" i="11397"/>
  <c r="C18" i="11397"/>
  <c r="D18" i="11397"/>
  <c r="E18" i="11397"/>
  <c r="F18" i="11397"/>
  <c r="G18" i="11397"/>
  <c r="H18" i="11397"/>
  <c r="I18" i="11397"/>
  <c r="J18" i="11397"/>
  <c r="B19" i="11397"/>
  <c r="C19" i="11397"/>
  <c r="D19" i="11397"/>
  <c r="E19" i="11397"/>
  <c r="F19" i="11397"/>
  <c r="G19" i="11397"/>
  <c r="H19" i="11397"/>
  <c r="I19" i="11397"/>
  <c r="J19" i="11397"/>
  <c r="B20" i="11397"/>
  <c r="C20" i="11397"/>
  <c r="D20" i="11397"/>
  <c r="E20" i="11397"/>
  <c r="F20" i="11397"/>
  <c r="G20" i="11397"/>
  <c r="H20" i="11397"/>
  <c r="I20" i="11397"/>
  <c r="J20" i="11397"/>
  <c r="B21" i="11397"/>
  <c r="C21" i="11397"/>
  <c r="D21" i="11397"/>
  <c r="E21" i="11397"/>
  <c r="F21" i="11397"/>
  <c r="G21" i="11397"/>
  <c r="H21" i="11397"/>
  <c r="I21" i="11397"/>
  <c r="J21" i="11397"/>
  <c r="B22" i="11397"/>
  <c r="C22" i="11397"/>
  <c r="D22" i="11397"/>
  <c r="E22" i="11397"/>
  <c r="F22" i="11397"/>
  <c r="G22" i="11397"/>
  <c r="H22" i="11397"/>
  <c r="I22" i="11397"/>
  <c r="J22" i="11397"/>
  <c r="B23" i="11397"/>
  <c r="C23" i="11397"/>
  <c r="D23" i="11397"/>
  <c r="E23" i="11397"/>
  <c r="F23" i="11397"/>
  <c r="G23" i="11397"/>
  <c r="H23" i="11397"/>
  <c r="I23" i="11397"/>
  <c r="J23" i="11397"/>
  <c r="B24" i="11397"/>
  <c r="C24" i="11397"/>
  <c r="D24" i="11397"/>
  <c r="E24" i="11397"/>
  <c r="F24" i="11397"/>
  <c r="G24" i="11397"/>
  <c r="H24" i="11397"/>
  <c r="I24" i="11397"/>
  <c r="J24" i="11397"/>
  <c r="B25" i="11397"/>
  <c r="C25" i="11397"/>
  <c r="D25" i="11397"/>
  <c r="E25" i="11397"/>
  <c r="F25" i="11397"/>
  <c r="G25" i="11397"/>
  <c r="H25" i="11397"/>
  <c r="I25" i="11397"/>
  <c r="J25" i="11397"/>
  <c r="B26" i="11397"/>
  <c r="C26" i="11397"/>
  <c r="D26" i="11397"/>
  <c r="E26" i="11397"/>
  <c r="F26" i="11397"/>
  <c r="G26" i="11397"/>
  <c r="H26" i="11397"/>
  <c r="I26" i="11397"/>
  <c r="J26" i="11397"/>
  <c r="B27" i="11397"/>
  <c r="C27" i="11397"/>
  <c r="D27" i="11397"/>
  <c r="E27" i="11397"/>
  <c r="F27" i="11397"/>
  <c r="G27" i="11397"/>
  <c r="H27" i="11397"/>
  <c r="I27" i="11397"/>
  <c r="J27" i="11397"/>
  <c r="B28" i="11397"/>
  <c r="C28" i="11397"/>
  <c r="D28" i="11397"/>
  <c r="E28" i="11397"/>
  <c r="F28" i="11397"/>
  <c r="G28" i="11397"/>
  <c r="H28" i="11397"/>
  <c r="I28" i="11397"/>
  <c r="J28" i="11397"/>
  <c r="B29" i="11397"/>
  <c r="C29" i="11397"/>
  <c r="D29" i="11397"/>
  <c r="E29" i="11397"/>
  <c r="F29" i="11397"/>
  <c r="G29" i="11397"/>
  <c r="H29" i="11397"/>
  <c r="I29" i="11397"/>
  <c r="J29" i="11397"/>
  <c r="B30" i="11397"/>
  <c r="C30" i="11397"/>
  <c r="D30" i="11397"/>
  <c r="E30" i="11397"/>
  <c r="F30" i="11397"/>
  <c r="G30" i="11397"/>
  <c r="H30" i="11397"/>
  <c r="I30" i="11397"/>
  <c r="J30" i="11397"/>
  <c r="B31" i="11397"/>
  <c r="C31" i="11397"/>
  <c r="D31" i="11397"/>
  <c r="E31" i="11397"/>
  <c r="F31" i="11397"/>
  <c r="G31" i="11397"/>
  <c r="H31" i="11397"/>
  <c r="I31" i="11397"/>
  <c r="J31" i="11397"/>
  <c r="B32" i="11397"/>
  <c r="C32" i="11397"/>
  <c r="D32" i="11397"/>
  <c r="E32" i="11397"/>
  <c r="F32" i="11397"/>
  <c r="G32" i="11397"/>
  <c r="H32" i="11397"/>
  <c r="I32" i="11397"/>
  <c r="J32" i="11397"/>
  <c r="B33" i="11397"/>
  <c r="C33" i="11397"/>
  <c r="D33" i="11397"/>
  <c r="E33" i="11397"/>
  <c r="F33" i="11397"/>
  <c r="G33" i="11397"/>
  <c r="H33" i="11397"/>
  <c r="I33" i="11397"/>
  <c r="J33" i="11397"/>
  <c r="B34" i="11397"/>
  <c r="C34" i="11397"/>
  <c r="D34" i="11397"/>
  <c r="E34" i="11397"/>
  <c r="F34" i="11397"/>
  <c r="G34" i="11397"/>
  <c r="H34" i="11397"/>
  <c r="I34" i="11397"/>
  <c r="J34" i="11397"/>
  <c r="B35" i="11397"/>
  <c r="C35" i="11397"/>
  <c r="D35" i="11397"/>
  <c r="E35" i="11397"/>
  <c r="F35" i="11397"/>
  <c r="G35" i="11397"/>
  <c r="H35" i="11397"/>
  <c r="I35" i="11397"/>
  <c r="J35" i="11397"/>
  <c r="B36" i="11397"/>
  <c r="C36" i="11397"/>
  <c r="D36" i="11397"/>
  <c r="E36" i="11397"/>
  <c r="F36" i="11397"/>
  <c r="G36" i="11397"/>
  <c r="H36" i="11397"/>
  <c r="I36" i="11397"/>
  <c r="J36" i="11397"/>
  <c r="B37" i="11397"/>
  <c r="C37" i="11397"/>
  <c r="D37" i="11397"/>
  <c r="E37" i="11397"/>
  <c r="F37" i="11397"/>
  <c r="G37" i="11397"/>
  <c r="H37" i="11397"/>
  <c r="I37" i="11397"/>
  <c r="J37" i="11397"/>
  <c r="B38" i="11397"/>
  <c r="C38" i="11397"/>
  <c r="D38" i="11397"/>
  <c r="E38" i="11397"/>
  <c r="F38" i="11397"/>
  <c r="G38" i="11397"/>
  <c r="H38" i="11397"/>
  <c r="I38" i="11397"/>
  <c r="J38" i="11397"/>
  <c r="B39" i="11397"/>
  <c r="C39" i="11397"/>
  <c r="D39" i="11397"/>
  <c r="E39" i="11397"/>
  <c r="F39" i="11397"/>
  <c r="G39" i="11397"/>
  <c r="H39" i="11397"/>
  <c r="I39" i="11397"/>
  <c r="J39" i="11397"/>
  <c r="B40" i="11397"/>
  <c r="C40" i="11397"/>
  <c r="D40" i="11397"/>
  <c r="E40" i="11397"/>
  <c r="F40" i="11397"/>
  <c r="G40" i="11397"/>
  <c r="H40" i="11397"/>
  <c r="I40" i="11397"/>
  <c r="J40" i="11397"/>
  <c r="B41" i="11397"/>
  <c r="C41" i="11397"/>
  <c r="D41" i="11397"/>
  <c r="E41" i="11397"/>
  <c r="F41" i="11397"/>
  <c r="G41" i="11397"/>
  <c r="H41" i="11397"/>
  <c r="I41" i="11397"/>
  <c r="J41" i="11397"/>
  <c r="B42" i="11397"/>
  <c r="C42" i="11397"/>
  <c r="D42" i="11397"/>
  <c r="E42" i="11397"/>
  <c r="F42" i="11397"/>
  <c r="G42" i="11397"/>
  <c r="H42" i="11397"/>
  <c r="I42" i="11397"/>
  <c r="J42" i="11397"/>
  <c r="B43" i="11397"/>
  <c r="C43" i="11397"/>
  <c r="D43" i="11397"/>
  <c r="E43" i="11397"/>
  <c r="F43" i="11397"/>
  <c r="G43" i="11397"/>
  <c r="H43" i="11397"/>
  <c r="I43" i="11397"/>
  <c r="J43" i="11397"/>
  <c r="B44" i="11397"/>
  <c r="C44" i="11397"/>
  <c r="D44" i="11397"/>
  <c r="E44" i="11397"/>
  <c r="F44" i="11397"/>
  <c r="G44" i="11397"/>
  <c r="H44" i="11397"/>
  <c r="I44" i="11397"/>
  <c r="J44" i="11397"/>
  <c r="B45" i="11397"/>
  <c r="C45" i="11397"/>
  <c r="D45" i="11397"/>
  <c r="E45" i="11397"/>
  <c r="F45" i="11397"/>
  <c r="G45" i="11397"/>
  <c r="H45" i="11397"/>
  <c r="I45" i="11397"/>
  <c r="J45" i="11397"/>
  <c r="B46" i="11397"/>
  <c r="C46" i="11397"/>
  <c r="D46" i="11397"/>
  <c r="E46" i="11397"/>
  <c r="F46" i="11397"/>
  <c r="G46" i="11397"/>
  <c r="H46" i="11397"/>
  <c r="I46" i="11397"/>
  <c r="J46" i="11397"/>
  <c r="B47" i="11397"/>
  <c r="C47" i="11397"/>
  <c r="D47" i="11397"/>
  <c r="E47" i="11397"/>
  <c r="F47" i="11397"/>
  <c r="G47" i="11397"/>
  <c r="H47" i="11397"/>
  <c r="I47" i="11397"/>
  <c r="J47" i="11397"/>
  <c r="B48" i="11397"/>
  <c r="C48" i="11397"/>
  <c r="D48" i="11397"/>
  <c r="E48" i="11397"/>
  <c r="F48" i="11397"/>
  <c r="G48" i="11397"/>
  <c r="H48" i="11397"/>
  <c r="I48" i="11397"/>
  <c r="J48" i="11397"/>
  <c r="B49" i="11397"/>
  <c r="C49" i="11397"/>
  <c r="D49" i="11397"/>
  <c r="E49" i="11397"/>
  <c r="F49" i="11397"/>
  <c r="G49" i="11397"/>
  <c r="H49" i="11397"/>
  <c r="I49" i="11397"/>
  <c r="J49" i="11397"/>
  <c r="B50" i="11397"/>
  <c r="C50" i="11397"/>
  <c r="D50" i="11397"/>
  <c r="E50" i="11397"/>
  <c r="F50" i="11397"/>
  <c r="G50" i="11397"/>
  <c r="H50" i="11397"/>
  <c r="I50" i="11397"/>
  <c r="J50" i="11397"/>
  <c r="B51" i="11397"/>
  <c r="C51" i="11397"/>
  <c r="D51" i="11397"/>
  <c r="E51" i="11397"/>
  <c r="F51" i="11397"/>
  <c r="G51" i="11397"/>
  <c r="H51" i="11397"/>
  <c r="I51" i="11397"/>
  <c r="J51" i="11397"/>
  <c r="B52" i="11397"/>
  <c r="C52" i="11397"/>
  <c r="D52" i="11397"/>
  <c r="E52" i="11397"/>
  <c r="F52" i="11397"/>
  <c r="G52" i="11397"/>
  <c r="H52" i="11397"/>
  <c r="I52" i="11397"/>
  <c r="J52" i="11397"/>
  <c r="B53" i="11397"/>
  <c r="C53" i="11397"/>
  <c r="D53" i="11397"/>
  <c r="E53" i="11397"/>
  <c r="F53" i="11397"/>
  <c r="G53" i="11397"/>
  <c r="H53" i="11397"/>
  <c r="I53" i="11397"/>
  <c r="J53" i="11397"/>
  <c r="B54" i="11397"/>
  <c r="C54" i="11397"/>
  <c r="D54" i="11397"/>
  <c r="E54" i="11397"/>
  <c r="F54" i="11397"/>
  <c r="G54" i="11397"/>
  <c r="H54" i="11397"/>
  <c r="I54" i="11397"/>
  <c r="J54" i="11397"/>
  <c r="B55" i="11397"/>
  <c r="C55" i="11397"/>
  <c r="D55" i="11397"/>
  <c r="E55" i="11397"/>
  <c r="F55" i="11397"/>
  <c r="G55" i="11397"/>
  <c r="H55" i="11397"/>
  <c r="I55" i="11397"/>
  <c r="J55" i="11397"/>
  <c r="B56" i="11397"/>
  <c r="C56" i="11397"/>
  <c r="D56" i="11397"/>
  <c r="E56" i="11397"/>
  <c r="F56" i="11397"/>
  <c r="G56" i="11397"/>
  <c r="H56" i="11397"/>
  <c r="I56" i="11397"/>
  <c r="J56" i="11397"/>
  <c r="B57" i="11397"/>
  <c r="C57" i="11397"/>
  <c r="D57" i="11397"/>
  <c r="E57" i="11397"/>
  <c r="F57" i="11397"/>
  <c r="G57" i="11397"/>
  <c r="H57" i="11397"/>
  <c r="I57" i="11397"/>
  <c r="J57" i="11397"/>
  <c r="B58" i="11397"/>
  <c r="C58" i="11397"/>
  <c r="D58" i="11397"/>
  <c r="E58" i="11397"/>
  <c r="F58" i="11397"/>
  <c r="G58" i="11397"/>
  <c r="H58" i="11397"/>
  <c r="I58" i="11397"/>
  <c r="J58" i="11397"/>
  <c r="B59" i="11397"/>
  <c r="C59" i="11397"/>
  <c r="D59" i="11397"/>
  <c r="E59" i="11397"/>
  <c r="F59" i="11397"/>
  <c r="G59" i="11397"/>
  <c r="H59" i="11397"/>
  <c r="I59" i="11397"/>
  <c r="J59" i="11397"/>
  <c r="B60" i="11397"/>
  <c r="C60" i="11397"/>
  <c r="D60" i="11397"/>
  <c r="E60" i="11397"/>
  <c r="F60" i="11397"/>
  <c r="G60" i="11397"/>
  <c r="H60" i="11397"/>
  <c r="I60" i="11397"/>
  <c r="J60" i="11397"/>
  <c r="B61" i="11397"/>
  <c r="C61" i="11397"/>
  <c r="D61" i="11397"/>
  <c r="E61" i="11397"/>
  <c r="F61" i="11397"/>
  <c r="G61" i="11397"/>
  <c r="H61" i="11397"/>
  <c r="I61" i="11397"/>
  <c r="J61" i="11397"/>
  <c r="B62" i="11397"/>
  <c r="C62" i="11397"/>
  <c r="D62" i="11397"/>
  <c r="E62" i="11397"/>
  <c r="F62" i="11397"/>
  <c r="G62" i="11397"/>
  <c r="H62" i="11397"/>
  <c r="I62" i="11397"/>
  <c r="J62" i="11397"/>
  <c r="B63" i="11397"/>
  <c r="C63" i="11397"/>
  <c r="D63" i="11397"/>
  <c r="E63" i="11397"/>
  <c r="F63" i="11397"/>
  <c r="G63" i="11397"/>
  <c r="H63" i="11397"/>
  <c r="I63" i="11397"/>
  <c r="J63" i="11397"/>
  <c r="B64" i="11397"/>
  <c r="C64" i="11397"/>
  <c r="D64" i="11397"/>
  <c r="E64" i="11397"/>
  <c r="F64" i="11397"/>
  <c r="G64" i="11397"/>
  <c r="H64" i="11397"/>
  <c r="I64" i="11397"/>
  <c r="J64" i="11397"/>
  <c r="B65" i="11397"/>
  <c r="C65" i="11397"/>
  <c r="D65" i="11397"/>
  <c r="E65" i="11397"/>
  <c r="F65" i="11397"/>
  <c r="G65" i="11397"/>
  <c r="H65" i="11397"/>
  <c r="I65" i="11397"/>
  <c r="J65" i="11397"/>
  <c r="B66" i="11397"/>
  <c r="C66" i="11397"/>
  <c r="D66" i="11397"/>
  <c r="E66" i="11397"/>
  <c r="F66" i="11397"/>
  <c r="G66" i="11397"/>
  <c r="H66" i="11397"/>
  <c r="I66" i="11397"/>
  <c r="J66" i="11397"/>
  <c r="B67" i="11397"/>
  <c r="C67" i="11397"/>
  <c r="D67" i="11397"/>
  <c r="E67" i="11397"/>
  <c r="F67" i="11397"/>
  <c r="G67" i="11397"/>
  <c r="H67" i="11397"/>
  <c r="I67" i="11397"/>
  <c r="J67" i="11397"/>
  <c r="B68" i="11397"/>
  <c r="C68" i="11397"/>
  <c r="D68" i="11397"/>
  <c r="E68" i="11397"/>
  <c r="F68" i="11397"/>
  <c r="G68" i="11397"/>
  <c r="H68" i="11397"/>
  <c r="I68" i="11397"/>
  <c r="J68" i="11397"/>
  <c r="B69" i="11397"/>
  <c r="C69" i="11397"/>
  <c r="D69" i="11397"/>
  <c r="E69" i="11397"/>
  <c r="F69" i="11397"/>
  <c r="G69" i="11397"/>
  <c r="H69" i="11397"/>
  <c r="I69" i="11397"/>
  <c r="J69" i="11397"/>
  <c r="B70" i="11397"/>
  <c r="C70" i="11397"/>
  <c r="D70" i="11397"/>
  <c r="E70" i="11397"/>
  <c r="F70" i="11397"/>
  <c r="G70" i="11397"/>
  <c r="H70" i="11397"/>
  <c r="I70" i="11397"/>
  <c r="J70" i="11397"/>
  <c r="B71" i="11397"/>
  <c r="C71" i="11397"/>
  <c r="D71" i="11397"/>
  <c r="E71" i="11397"/>
  <c r="F71" i="11397"/>
  <c r="G71" i="11397"/>
  <c r="H71" i="11397"/>
  <c r="I71" i="11397"/>
  <c r="J71" i="11397"/>
  <c r="B72" i="11397"/>
  <c r="C72" i="11397"/>
  <c r="D72" i="11397"/>
  <c r="E72" i="11397"/>
  <c r="F72" i="11397"/>
  <c r="G72" i="11397"/>
  <c r="H72" i="11397"/>
  <c r="I72" i="11397"/>
  <c r="J72" i="11397"/>
  <c r="B73" i="11397"/>
  <c r="C73" i="11397"/>
  <c r="D73" i="11397"/>
  <c r="E73" i="11397"/>
  <c r="F73" i="11397"/>
  <c r="G73" i="11397"/>
  <c r="H73" i="11397"/>
  <c r="I73" i="11397"/>
  <c r="J73" i="11397"/>
  <c r="B74" i="11397"/>
  <c r="C74" i="11397"/>
  <c r="D74" i="11397"/>
  <c r="E74" i="11397"/>
  <c r="F74" i="11397"/>
  <c r="G74" i="11397"/>
  <c r="H74" i="11397"/>
  <c r="I74" i="11397"/>
  <c r="J74" i="11397"/>
  <c r="B75" i="11397"/>
  <c r="C75" i="11397"/>
  <c r="D75" i="11397"/>
  <c r="E75" i="11397"/>
  <c r="F75" i="11397"/>
  <c r="G75" i="11397"/>
  <c r="H75" i="11397"/>
  <c r="I75" i="11397"/>
  <c r="J75" i="11397"/>
  <c r="B76" i="11397"/>
  <c r="C76" i="11397"/>
  <c r="D76" i="11397"/>
  <c r="E76" i="11397"/>
  <c r="F76" i="11397"/>
  <c r="G76" i="11397"/>
  <c r="H76" i="11397"/>
  <c r="I76" i="11397"/>
  <c r="J76" i="11397"/>
  <c r="B77" i="11397"/>
  <c r="C77" i="11397"/>
  <c r="D77" i="11397"/>
  <c r="E77" i="11397"/>
  <c r="F77" i="11397"/>
  <c r="G77" i="11397"/>
  <c r="H77" i="11397"/>
  <c r="I77" i="11397"/>
  <c r="J77" i="11397"/>
  <c r="B78" i="11397"/>
  <c r="C78" i="11397"/>
  <c r="D78" i="11397"/>
  <c r="E78" i="11397"/>
  <c r="F78" i="11397"/>
  <c r="G78" i="11397"/>
  <c r="H78" i="11397"/>
  <c r="I78" i="11397"/>
  <c r="J78" i="11397"/>
  <c r="B79" i="11397"/>
  <c r="C79" i="11397"/>
  <c r="D79" i="11397"/>
  <c r="E79" i="11397"/>
  <c r="F79" i="11397"/>
  <c r="G79" i="11397"/>
  <c r="H79" i="11397"/>
  <c r="I79" i="11397"/>
  <c r="J79" i="11397"/>
  <c r="B80" i="11397"/>
  <c r="C80" i="11397"/>
  <c r="D80" i="11397"/>
  <c r="E80" i="11397"/>
  <c r="F80" i="11397"/>
  <c r="G80" i="11397"/>
  <c r="H80" i="11397"/>
  <c r="I80" i="11397"/>
  <c r="J80" i="11397"/>
  <c r="B81" i="11397"/>
  <c r="C81" i="11397"/>
  <c r="D81" i="11397"/>
  <c r="E81" i="11397"/>
  <c r="F81" i="11397"/>
  <c r="G81" i="11397"/>
  <c r="H81" i="11397"/>
  <c r="I81" i="11397"/>
  <c r="J81" i="11397"/>
  <c r="B82" i="11397"/>
  <c r="C82" i="11397"/>
  <c r="D82" i="11397"/>
  <c r="E82" i="11397"/>
  <c r="F82" i="11397"/>
  <c r="G82" i="11397"/>
  <c r="H82" i="11397"/>
  <c r="I82" i="11397"/>
  <c r="J82" i="11397"/>
  <c r="B83" i="11397"/>
  <c r="C83" i="11397"/>
  <c r="D83" i="11397"/>
  <c r="E83" i="11397"/>
  <c r="F83" i="11397"/>
  <c r="G83" i="11397"/>
  <c r="H83" i="11397"/>
  <c r="I83" i="11397"/>
  <c r="J83" i="11397"/>
  <c r="B84" i="11397"/>
  <c r="C84" i="11397"/>
  <c r="D84" i="11397"/>
  <c r="E84" i="11397"/>
  <c r="F84" i="11397"/>
  <c r="G84" i="11397"/>
  <c r="H84" i="11397"/>
  <c r="I84" i="11397"/>
  <c r="J84" i="11397"/>
  <c r="B85" i="11397"/>
  <c r="C85" i="11397"/>
  <c r="D85" i="11397"/>
  <c r="E85" i="11397"/>
  <c r="F85" i="11397"/>
  <c r="G85" i="11397"/>
  <c r="H85" i="11397"/>
  <c r="I85" i="11397"/>
  <c r="J85" i="11397"/>
  <c r="B86" i="11397"/>
  <c r="C86" i="11397"/>
  <c r="D86" i="11397"/>
  <c r="E86" i="11397"/>
  <c r="F86" i="11397"/>
  <c r="G86" i="11397"/>
  <c r="H86" i="11397"/>
  <c r="I86" i="11397"/>
  <c r="J86" i="11397"/>
  <c r="B87" i="11397"/>
  <c r="C87" i="11397"/>
  <c r="D87" i="11397"/>
  <c r="E87" i="11397"/>
  <c r="F87" i="11397"/>
  <c r="G87" i="11397"/>
  <c r="H87" i="11397"/>
  <c r="I87" i="11397"/>
  <c r="J87" i="11397"/>
  <c r="B88" i="11397"/>
  <c r="C88" i="11397"/>
  <c r="D88" i="11397"/>
  <c r="E88" i="11397"/>
  <c r="F88" i="11397"/>
  <c r="G88" i="11397"/>
  <c r="H88" i="11397"/>
  <c r="I88" i="11397"/>
  <c r="J88" i="11397"/>
  <c r="B89" i="11397"/>
  <c r="C89" i="11397"/>
  <c r="D89" i="11397"/>
  <c r="E89" i="11397"/>
  <c r="F89" i="11397"/>
  <c r="G89" i="11397"/>
  <c r="H89" i="11397"/>
  <c r="I89" i="11397"/>
  <c r="J89" i="11397"/>
  <c r="B90" i="11397"/>
  <c r="C90" i="11397"/>
  <c r="D90" i="11397"/>
  <c r="E90" i="11397"/>
  <c r="F90" i="11397"/>
  <c r="G90" i="11397"/>
  <c r="H90" i="11397"/>
  <c r="I90" i="11397"/>
  <c r="J90" i="11397"/>
  <c r="B91" i="11397"/>
  <c r="C91" i="11397"/>
  <c r="D91" i="11397"/>
  <c r="E91" i="11397"/>
  <c r="F91" i="11397"/>
  <c r="G91" i="11397"/>
  <c r="H91" i="11397"/>
  <c r="I91" i="11397"/>
  <c r="J91" i="11397"/>
  <c r="B92" i="11397"/>
  <c r="C92" i="11397"/>
  <c r="D92" i="11397"/>
  <c r="E92" i="11397"/>
  <c r="F92" i="11397"/>
  <c r="G92" i="11397"/>
  <c r="H92" i="11397"/>
  <c r="I92" i="11397"/>
  <c r="J92" i="11397"/>
  <c r="B93" i="11397"/>
  <c r="C93" i="11397"/>
  <c r="D93" i="11397"/>
  <c r="E93" i="11397"/>
  <c r="F93" i="11397"/>
  <c r="G93" i="11397"/>
  <c r="H93" i="11397"/>
  <c r="I93" i="11397"/>
  <c r="J93" i="11397"/>
  <c r="B94" i="11397"/>
  <c r="C94" i="11397"/>
  <c r="D94" i="11397"/>
  <c r="E94" i="11397"/>
  <c r="F94" i="11397"/>
  <c r="G94" i="11397"/>
  <c r="H94" i="11397"/>
  <c r="I94" i="11397"/>
  <c r="J94" i="11397"/>
  <c r="B95" i="11397"/>
  <c r="C95" i="11397"/>
  <c r="D95" i="11397"/>
  <c r="E95" i="11397"/>
  <c r="F95" i="11397"/>
  <c r="G95" i="11397"/>
  <c r="H95" i="11397"/>
  <c r="I95" i="11397"/>
  <c r="J95" i="11397"/>
  <c r="B96" i="11397"/>
  <c r="C96" i="11397"/>
  <c r="D96" i="11397"/>
  <c r="E96" i="11397"/>
  <c r="F96" i="11397"/>
  <c r="G96" i="11397"/>
  <c r="H96" i="11397"/>
  <c r="I96" i="11397"/>
  <c r="J96" i="11397"/>
  <c r="B97" i="11397"/>
  <c r="C97" i="11397"/>
  <c r="D97" i="11397"/>
  <c r="E97" i="11397"/>
  <c r="F97" i="11397"/>
  <c r="G97" i="11397"/>
  <c r="H97" i="11397"/>
  <c r="I97" i="11397"/>
  <c r="J97" i="11397"/>
  <c r="B98" i="11397"/>
  <c r="C98" i="11397"/>
  <c r="D98" i="11397"/>
  <c r="E98" i="11397"/>
  <c r="F98" i="11397"/>
  <c r="G98" i="11397"/>
  <c r="H98" i="11397"/>
  <c r="I98" i="11397"/>
  <c r="J98" i="11397"/>
  <c r="B99" i="11397"/>
  <c r="C99" i="11397"/>
  <c r="D99" i="11397"/>
  <c r="E99" i="11397"/>
  <c r="F99" i="11397"/>
  <c r="G99" i="11397"/>
  <c r="H99" i="11397"/>
  <c r="I99" i="11397"/>
  <c r="J99" i="11397"/>
  <c r="B100" i="11397"/>
  <c r="C100" i="11397"/>
  <c r="D100" i="11397"/>
  <c r="E100" i="11397"/>
  <c r="F100" i="11397"/>
  <c r="G100" i="11397"/>
  <c r="H100" i="11397"/>
  <c r="I100" i="11397"/>
  <c r="J100" i="11397"/>
  <c r="B101" i="11397"/>
  <c r="C101" i="11397"/>
  <c r="D101" i="11397"/>
  <c r="E101" i="11397"/>
  <c r="F101" i="11397"/>
  <c r="G101" i="11397"/>
  <c r="H101" i="11397"/>
  <c r="I101" i="11397"/>
  <c r="J101" i="11397"/>
  <c r="B102" i="11397"/>
  <c r="C102" i="11397"/>
  <c r="D102" i="11397"/>
  <c r="E102" i="11397"/>
  <c r="F102" i="11397"/>
  <c r="G102" i="11397"/>
  <c r="H102" i="11397"/>
  <c r="I102" i="11397"/>
  <c r="J102" i="11397"/>
  <c r="B103" i="11397"/>
  <c r="C103" i="11397"/>
  <c r="D103" i="11397"/>
  <c r="E103" i="11397"/>
  <c r="F103" i="11397"/>
  <c r="G103" i="11397"/>
  <c r="H103" i="11397"/>
  <c r="I103" i="11397"/>
  <c r="J103" i="11397"/>
  <c r="B104" i="11397"/>
  <c r="C104" i="11397"/>
  <c r="D104" i="11397"/>
  <c r="E104" i="11397"/>
  <c r="F104" i="11397"/>
  <c r="G104" i="11397"/>
  <c r="H104" i="11397"/>
  <c r="I104" i="11397"/>
  <c r="J104" i="11397"/>
  <c r="B105" i="11397"/>
  <c r="C105" i="11397"/>
  <c r="D105" i="11397"/>
  <c r="E105" i="11397"/>
  <c r="F105" i="11397"/>
  <c r="G105" i="11397"/>
  <c r="H105" i="11397"/>
  <c r="I105" i="11397"/>
  <c r="J105" i="11397"/>
  <c r="B106" i="11397"/>
  <c r="C106" i="11397"/>
  <c r="D106" i="11397"/>
  <c r="E106" i="11397"/>
  <c r="F106" i="11397"/>
  <c r="G106" i="11397"/>
  <c r="H106" i="11397"/>
  <c r="I106" i="11397"/>
  <c r="J106" i="11397"/>
  <c r="B107" i="11397"/>
  <c r="C107" i="11397"/>
  <c r="D107" i="11397"/>
  <c r="E107" i="11397"/>
  <c r="F107" i="11397"/>
  <c r="G107" i="11397"/>
  <c r="H107" i="11397"/>
  <c r="I107" i="11397"/>
  <c r="J107" i="11397"/>
  <c r="B108" i="11397"/>
  <c r="C108" i="11397"/>
  <c r="D108" i="11397"/>
  <c r="E108" i="11397"/>
  <c r="F108" i="11397"/>
  <c r="G108" i="11397"/>
  <c r="H108" i="11397"/>
  <c r="I108" i="11397"/>
  <c r="J108" i="11397"/>
  <c r="B109" i="11397"/>
  <c r="C109" i="11397"/>
  <c r="D109" i="11397"/>
  <c r="E109" i="11397"/>
  <c r="F109" i="11397"/>
  <c r="G109" i="11397"/>
  <c r="H109" i="11397"/>
  <c r="I109" i="11397"/>
  <c r="J109" i="11397"/>
  <c r="B110" i="11397"/>
  <c r="C110" i="11397"/>
  <c r="D110" i="11397"/>
  <c r="E110" i="11397"/>
  <c r="F110" i="11397"/>
  <c r="G110" i="11397"/>
  <c r="H110" i="11397"/>
  <c r="I110" i="11397"/>
  <c r="J110" i="11397"/>
  <c r="B111" i="11397"/>
  <c r="C111" i="11397"/>
  <c r="D111" i="11397"/>
  <c r="E111" i="11397"/>
  <c r="F111" i="11397"/>
  <c r="G111" i="11397"/>
  <c r="H111" i="11397"/>
  <c r="I111" i="11397"/>
  <c r="J111" i="11397"/>
  <c r="B112" i="11397"/>
  <c r="C112" i="11397"/>
  <c r="D112" i="11397"/>
  <c r="E112" i="11397"/>
  <c r="F112" i="11397"/>
  <c r="G112" i="11397"/>
  <c r="H112" i="11397"/>
  <c r="I112" i="11397"/>
  <c r="J112" i="11397"/>
  <c r="B113" i="11397"/>
  <c r="C113" i="11397"/>
  <c r="D113" i="11397"/>
  <c r="E113" i="11397"/>
  <c r="F113" i="11397"/>
  <c r="G113" i="11397"/>
  <c r="H113" i="11397"/>
  <c r="I113" i="11397"/>
  <c r="J113" i="11397"/>
  <c r="B114" i="11397"/>
  <c r="C114" i="11397"/>
  <c r="D114" i="11397"/>
  <c r="E114" i="11397"/>
  <c r="F114" i="11397"/>
  <c r="G114" i="11397"/>
  <c r="H114" i="11397"/>
  <c r="I114" i="11397"/>
  <c r="J114" i="11397"/>
  <c r="B115" i="11397"/>
  <c r="C115" i="11397"/>
  <c r="D115" i="11397"/>
  <c r="E115" i="11397"/>
  <c r="F115" i="11397"/>
  <c r="G115" i="11397"/>
  <c r="H115" i="11397"/>
  <c r="I115" i="11397"/>
  <c r="J115" i="11397"/>
  <c r="B116" i="11397"/>
  <c r="C116" i="11397"/>
  <c r="D116" i="11397"/>
  <c r="E116" i="11397"/>
  <c r="F116" i="11397"/>
  <c r="G116" i="11397"/>
  <c r="H116" i="11397"/>
  <c r="I116" i="11397"/>
  <c r="J116" i="11397"/>
  <c r="B117" i="11397"/>
  <c r="C117" i="11397"/>
  <c r="D117" i="11397"/>
  <c r="E117" i="11397"/>
  <c r="F117" i="11397"/>
  <c r="G117" i="11397"/>
  <c r="H117" i="11397"/>
  <c r="I117" i="11397"/>
  <c r="J117" i="11397"/>
  <c r="B118" i="11397"/>
  <c r="C118" i="11397"/>
  <c r="D118" i="11397"/>
  <c r="E118" i="11397"/>
  <c r="F118" i="11397"/>
  <c r="G118" i="11397"/>
  <c r="H118" i="11397"/>
  <c r="I118" i="11397"/>
  <c r="J118" i="11397"/>
  <c r="B119" i="11397"/>
  <c r="C119" i="11397"/>
  <c r="D119" i="11397"/>
  <c r="E119" i="11397"/>
  <c r="F119" i="11397"/>
  <c r="G119" i="11397"/>
  <c r="H119" i="11397"/>
  <c r="I119" i="11397"/>
  <c r="J119" i="11397"/>
  <c r="B120" i="11397"/>
  <c r="C120" i="11397"/>
  <c r="D120" i="11397"/>
  <c r="E120" i="11397"/>
  <c r="F120" i="11397"/>
  <c r="G120" i="11397"/>
  <c r="H120" i="11397"/>
  <c r="I120" i="11397"/>
  <c r="J120" i="11397"/>
  <c r="B121" i="11397"/>
  <c r="C121" i="11397"/>
  <c r="D121" i="11397"/>
  <c r="E121" i="11397"/>
  <c r="F121" i="11397"/>
  <c r="G121" i="11397"/>
  <c r="H121" i="11397"/>
  <c r="I121" i="11397"/>
  <c r="J121" i="11397"/>
  <c r="B122" i="11397"/>
  <c r="C122" i="11397"/>
  <c r="D122" i="11397"/>
  <c r="E122" i="11397"/>
  <c r="F122" i="11397"/>
  <c r="G122" i="11397"/>
  <c r="H122" i="11397"/>
  <c r="I122" i="11397"/>
  <c r="J122" i="11397"/>
  <c r="B123" i="11397"/>
  <c r="C123" i="11397"/>
  <c r="D123" i="11397"/>
  <c r="E123" i="11397"/>
  <c r="F123" i="11397"/>
  <c r="G123" i="11397"/>
  <c r="H123" i="11397"/>
  <c r="I123" i="11397"/>
  <c r="J123" i="11397"/>
  <c r="B124" i="11397"/>
  <c r="C124" i="11397"/>
  <c r="D124" i="11397"/>
  <c r="E124" i="11397"/>
  <c r="F124" i="11397"/>
  <c r="G124" i="11397"/>
  <c r="H124" i="11397"/>
  <c r="I124" i="11397"/>
  <c r="J124" i="11397"/>
  <c r="B125" i="11397"/>
  <c r="C125" i="11397"/>
  <c r="D125" i="11397"/>
  <c r="E125" i="11397"/>
  <c r="F125" i="11397"/>
  <c r="G125" i="11397"/>
  <c r="H125" i="11397"/>
  <c r="I125" i="11397"/>
  <c r="J125" i="11397"/>
  <c r="B126" i="11397"/>
  <c r="C126" i="11397"/>
  <c r="D126" i="11397"/>
  <c r="E126" i="11397"/>
  <c r="F126" i="11397"/>
  <c r="G126" i="11397"/>
  <c r="H126" i="11397"/>
  <c r="I126" i="11397"/>
  <c r="J126" i="11397"/>
  <c r="B127" i="11397"/>
  <c r="C127" i="11397"/>
  <c r="D127" i="11397"/>
  <c r="E127" i="11397"/>
  <c r="F127" i="11397"/>
  <c r="G127" i="11397"/>
  <c r="H127" i="11397"/>
  <c r="I127" i="11397"/>
  <c r="J127" i="11397"/>
  <c r="B128" i="11397"/>
  <c r="C128" i="11397"/>
  <c r="D128" i="11397"/>
  <c r="E128" i="11397"/>
  <c r="F128" i="11397"/>
  <c r="G128" i="11397"/>
  <c r="H128" i="11397"/>
  <c r="I128" i="11397"/>
  <c r="J128" i="11397"/>
  <c r="B129" i="11397"/>
  <c r="C129" i="11397"/>
  <c r="D129" i="11397"/>
  <c r="E129" i="11397"/>
  <c r="F129" i="11397"/>
  <c r="G129" i="11397"/>
  <c r="H129" i="11397"/>
  <c r="I129" i="11397"/>
  <c r="J129" i="11397"/>
  <c r="B130" i="11397"/>
  <c r="C130" i="11397"/>
  <c r="D130" i="11397"/>
  <c r="E130" i="11397"/>
  <c r="F130" i="11397"/>
  <c r="G130" i="11397"/>
  <c r="H130" i="11397"/>
  <c r="I130" i="11397"/>
  <c r="J130" i="11397"/>
  <c r="B131" i="11397"/>
  <c r="C131" i="11397"/>
  <c r="D131" i="11397"/>
  <c r="E131" i="11397"/>
  <c r="F131" i="11397"/>
  <c r="G131" i="11397"/>
  <c r="H131" i="11397"/>
  <c r="I131" i="11397"/>
  <c r="J131" i="11397"/>
  <c r="B132" i="11397"/>
  <c r="C132" i="11397"/>
  <c r="D132" i="11397"/>
  <c r="E132" i="11397"/>
  <c r="F132" i="11397"/>
  <c r="G132" i="11397"/>
  <c r="H132" i="11397"/>
  <c r="I132" i="11397"/>
  <c r="J132" i="11397"/>
  <c r="B133" i="11397"/>
  <c r="C133" i="11397"/>
  <c r="D133" i="11397"/>
  <c r="E133" i="11397"/>
  <c r="F133" i="11397"/>
  <c r="G133" i="11397"/>
  <c r="H133" i="11397"/>
  <c r="I133" i="11397"/>
  <c r="J133" i="11397"/>
  <c r="B134" i="11397"/>
  <c r="C134" i="11397"/>
  <c r="D134" i="11397"/>
  <c r="E134" i="11397"/>
  <c r="F134" i="11397"/>
  <c r="G134" i="11397"/>
  <c r="H134" i="11397"/>
  <c r="I134" i="11397"/>
  <c r="J134" i="11397"/>
  <c r="B135" i="11397"/>
  <c r="C135" i="11397"/>
  <c r="D135" i="11397"/>
  <c r="E135" i="11397"/>
  <c r="F135" i="11397"/>
  <c r="G135" i="11397"/>
  <c r="H135" i="11397"/>
  <c r="I135" i="11397"/>
  <c r="J135" i="11397"/>
  <c r="B136" i="11397"/>
  <c r="C136" i="11397"/>
  <c r="D136" i="11397"/>
  <c r="E136" i="11397"/>
  <c r="F136" i="11397"/>
  <c r="G136" i="11397"/>
  <c r="H136" i="11397"/>
  <c r="I136" i="11397"/>
  <c r="J136" i="11397"/>
  <c r="B137" i="11397"/>
  <c r="C137" i="11397"/>
  <c r="D137" i="11397"/>
  <c r="E137" i="11397"/>
  <c r="F137" i="11397"/>
  <c r="G137" i="11397"/>
  <c r="H137" i="11397"/>
  <c r="I137" i="11397"/>
  <c r="J137" i="11397"/>
  <c r="B138" i="11397"/>
  <c r="C138" i="11397"/>
  <c r="D138" i="11397"/>
  <c r="E138" i="11397"/>
  <c r="F138" i="11397"/>
  <c r="G138" i="11397"/>
  <c r="H138" i="11397"/>
  <c r="I138" i="11397"/>
  <c r="J138" i="11397"/>
  <c r="B139" i="11397"/>
  <c r="C139" i="11397"/>
  <c r="D139" i="11397"/>
  <c r="E139" i="11397"/>
  <c r="F139" i="11397"/>
  <c r="G139" i="11397"/>
  <c r="H139" i="11397"/>
  <c r="I139" i="11397"/>
  <c r="J139" i="11397"/>
  <c r="B140" i="11397"/>
  <c r="C140" i="11397"/>
  <c r="D140" i="11397"/>
  <c r="E140" i="11397"/>
  <c r="F140" i="11397"/>
  <c r="G140" i="11397"/>
  <c r="H140" i="11397"/>
  <c r="I140" i="11397"/>
  <c r="J140" i="11397"/>
  <c r="B141" i="11397"/>
  <c r="C141" i="11397"/>
  <c r="D141" i="11397"/>
  <c r="E141" i="11397"/>
  <c r="F141" i="11397"/>
  <c r="G141" i="11397"/>
  <c r="H141" i="11397"/>
  <c r="I141" i="11397"/>
  <c r="J141" i="11397"/>
  <c r="B142" i="11397"/>
  <c r="C142" i="11397"/>
  <c r="D142" i="11397"/>
  <c r="E142" i="11397"/>
  <c r="F142" i="11397"/>
  <c r="G142" i="11397"/>
  <c r="H142" i="11397"/>
  <c r="I142" i="11397"/>
  <c r="J142" i="11397"/>
  <c r="B143" i="11397"/>
  <c r="C143" i="11397"/>
  <c r="D143" i="11397"/>
  <c r="E143" i="11397"/>
  <c r="F143" i="11397"/>
  <c r="G143" i="11397"/>
  <c r="H143" i="11397"/>
  <c r="I143" i="11397"/>
  <c r="J143" i="11397"/>
  <c r="B144" i="11397"/>
  <c r="C144" i="11397"/>
  <c r="D144" i="11397"/>
  <c r="E144" i="11397"/>
  <c r="F144" i="11397"/>
  <c r="G144" i="11397"/>
  <c r="H144" i="11397"/>
  <c r="I144" i="11397"/>
  <c r="J144" i="11397"/>
  <c r="B145" i="11397"/>
  <c r="C145" i="11397"/>
  <c r="D145" i="11397"/>
  <c r="E145" i="11397"/>
  <c r="F145" i="11397"/>
  <c r="G145" i="11397"/>
  <c r="H145" i="11397"/>
  <c r="I145" i="11397"/>
  <c r="J145" i="11397"/>
  <c r="B146" i="11397"/>
  <c r="C146" i="11397"/>
  <c r="D146" i="11397"/>
  <c r="E146" i="11397"/>
  <c r="F146" i="11397"/>
  <c r="G146" i="11397"/>
  <c r="H146" i="11397"/>
  <c r="I146" i="11397"/>
  <c r="J146" i="11397"/>
  <c r="B147" i="11397"/>
  <c r="C147" i="11397"/>
  <c r="D147" i="11397"/>
  <c r="E147" i="11397"/>
  <c r="F147" i="11397"/>
  <c r="G147" i="11397"/>
  <c r="H147" i="11397"/>
  <c r="I147" i="11397"/>
  <c r="J147" i="11397"/>
  <c r="B148" i="11397"/>
  <c r="C148" i="11397"/>
  <c r="D148" i="11397"/>
  <c r="E148" i="11397"/>
  <c r="F148" i="11397"/>
  <c r="G148" i="11397"/>
  <c r="H148" i="11397"/>
  <c r="I148" i="11397"/>
  <c r="J148" i="11397"/>
  <c r="B149" i="11397"/>
  <c r="C149" i="11397"/>
  <c r="D149" i="11397"/>
  <c r="E149" i="11397"/>
  <c r="F149" i="11397"/>
  <c r="G149" i="11397"/>
  <c r="H149" i="11397"/>
  <c r="I149" i="11397"/>
  <c r="J149" i="11397"/>
  <c r="B150" i="11397"/>
  <c r="C150" i="11397"/>
  <c r="D150" i="11397"/>
  <c r="E150" i="11397"/>
  <c r="F150" i="11397"/>
  <c r="G150" i="11397"/>
  <c r="H150" i="11397"/>
  <c r="I150" i="11397"/>
  <c r="J150" i="11397"/>
  <c r="B151" i="11397"/>
  <c r="C151" i="11397"/>
  <c r="D151" i="11397"/>
  <c r="E151" i="11397"/>
  <c r="F151" i="11397"/>
  <c r="G151" i="11397"/>
  <c r="H151" i="11397"/>
  <c r="I151" i="11397"/>
  <c r="J151" i="11397"/>
  <c r="B152" i="11397"/>
  <c r="C152" i="11397"/>
  <c r="D152" i="11397"/>
  <c r="E152" i="11397"/>
  <c r="F152" i="11397"/>
  <c r="G152" i="11397"/>
  <c r="H152" i="11397"/>
  <c r="I152" i="11397"/>
  <c r="J152" i="11397"/>
  <c r="B153" i="11397"/>
  <c r="C153" i="11397"/>
  <c r="D153" i="11397"/>
  <c r="E153" i="11397"/>
  <c r="F153" i="11397"/>
  <c r="G153" i="11397"/>
  <c r="H153" i="11397"/>
  <c r="I153" i="11397"/>
  <c r="J153" i="11397"/>
  <c r="B154" i="11397"/>
  <c r="C154" i="11397"/>
  <c r="D154" i="11397"/>
  <c r="E154" i="11397"/>
  <c r="F154" i="11397"/>
  <c r="G154" i="11397"/>
  <c r="H154" i="11397"/>
  <c r="I154" i="11397"/>
  <c r="J154" i="11397"/>
  <c r="B155" i="11397"/>
  <c r="C155" i="11397"/>
  <c r="D155" i="11397"/>
  <c r="E155" i="11397"/>
  <c r="F155" i="11397"/>
  <c r="G155" i="11397"/>
  <c r="H155" i="11397"/>
  <c r="I155" i="11397"/>
  <c r="J155" i="11397"/>
  <c r="B156" i="11397"/>
  <c r="C156" i="11397"/>
  <c r="D156" i="11397"/>
  <c r="E156" i="11397"/>
  <c r="F156" i="11397"/>
  <c r="G156" i="11397"/>
  <c r="H156" i="11397"/>
  <c r="I156" i="11397"/>
  <c r="J156" i="11397"/>
  <c r="B157" i="11397"/>
  <c r="C157" i="11397"/>
  <c r="D157" i="11397"/>
  <c r="E157" i="11397"/>
  <c r="F157" i="11397"/>
  <c r="G157" i="11397"/>
  <c r="H157" i="11397"/>
  <c r="I157" i="11397"/>
  <c r="J157" i="11397"/>
  <c r="B158" i="11397"/>
  <c r="C158" i="11397"/>
  <c r="D158" i="11397"/>
  <c r="E158" i="11397"/>
  <c r="F158" i="11397"/>
  <c r="G158" i="11397"/>
  <c r="H158" i="11397"/>
  <c r="I158" i="11397"/>
  <c r="J158" i="11397"/>
  <c r="B159" i="11397"/>
  <c r="C159" i="11397"/>
  <c r="D159" i="11397"/>
  <c r="E159" i="11397"/>
  <c r="F159" i="11397"/>
  <c r="G159" i="11397"/>
  <c r="H159" i="11397"/>
  <c r="I159" i="11397"/>
  <c r="J159" i="11397"/>
  <c r="B160" i="11397"/>
  <c r="C160" i="11397"/>
  <c r="D160" i="11397"/>
  <c r="E160" i="11397"/>
  <c r="F160" i="11397"/>
  <c r="G160" i="11397"/>
  <c r="H160" i="11397"/>
  <c r="I160" i="11397"/>
  <c r="J160" i="11397"/>
  <c r="B161" i="11397"/>
  <c r="C161" i="11397"/>
  <c r="D161" i="11397"/>
  <c r="E161" i="11397"/>
  <c r="F161" i="11397"/>
  <c r="G161" i="11397"/>
  <c r="H161" i="11397"/>
  <c r="I161" i="11397"/>
  <c r="J161" i="11397"/>
  <c r="B162" i="11397"/>
  <c r="C162" i="11397"/>
  <c r="D162" i="11397"/>
  <c r="E162" i="11397"/>
  <c r="F162" i="11397"/>
  <c r="G162" i="11397"/>
  <c r="H162" i="11397"/>
  <c r="I162" i="11397"/>
  <c r="J162" i="11397"/>
  <c r="B163" i="11397"/>
  <c r="C163" i="11397"/>
  <c r="D163" i="11397"/>
  <c r="E163" i="11397"/>
  <c r="F163" i="11397"/>
  <c r="G163" i="11397"/>
  <c r="H163" i="11397"/>
  <c r="I163" i="11397"/>
  <c r="J163" i="11397"/>
  <c r="B164" i="11397"/>
  <c r="C164" i="11397"/>
  <c r="D164" i="11397"/>
  <c r="E164" i="11397"/>
  <c r="F164" i="11397"/>
  <c r="G164" i="11397"/>
  <c r="H164" i="11397"/>
  <c r="I164" i="11397"/>
  <c r="J164" i="11397"/>
  <c r="B165" i="11397"/>
  <c r="C165" i="11397"/>
  <c r="D165" i="11397"/>
  <c r="E165" i="11397"/>
  <c r="F165" i="11397"/>
  <c r="G165" i="11397"/>
  <c r="H165" i="11397"/>
  <c r="I165" i="11397"/>
  <c r="J165" i="11397"/>
  <c r="B166" i="11397"/>
  <c r="C166" i="11397"/>
  <c r="D166" i="11397"/>
  <c r="E166" i="11397"/>
  <c r="F166" i="11397"/>
  <c r="G166" i="11397"/>
  <c r="H166" i="11397"/>
  <c r="I166" i="11397"/>
  <c r="J166" i="11397"/>
  <c r="B167" i="11397"/>
  <c r="C167" i="11397"/>
  <c r="D167" i="11397"/>
  <c r="E167" i="11397"/>
  <c r="F167" i="11397"/>
  <c r="G167" i="11397"/>
  <c r="H167" i="11397"/>
  <c r="I167" i="11397"/>
  <c r="J167" i="11397"/>
  <c r="B168" i="11397"/>
  <c r="C168" i="11397"/>
  <c r="D168" i="11397"/>
  <c r="E168" i="11397"/>
  <c r="F168" i="11397"/>
  <c r="G168" i="11397"/>
  <c r="H168" i="11397"/>
  <c r="I168" i="11397"/>
  <c r="J168" i="11397"/>
  <c r="B169" i="11397"/>
  <c r="C169" i="11397"/>
  <c r="D169" i="11397"/>
  <c r="E169" i="11397"/>
  <c r="F169" i="11397"/>
  <c r="G169" i="11397"/>
  <c r="H169" i="11397"/>
  <c r="I169" i="11397"/>
  <c r="J169" i="11397"/>
  <c r="B170" i="11397"/>
  <c r="C170" i="11397"/>
  <c r="D170" i="11397"/>
  <c r="E170" i="11397"/>
  <c r="F170" i="11397"/>
  <c r="G170" i="11397"/>
  <c r="H170" i="11397"/>
  <c r="I170" i="11397"/>
  <c r="J170" i="11397"/>
  <c r="B171" i="11397"/>
  <c r="C171" i="11397"/>
  <c r="D171" i="11397"/>
  <c r="E171" i="11397"/>
  <c r="F171" i="11397"/>
  <c r="G171" i="11397"/>
  <c r="H171" i="11397"/>
  <c r="I171" i="11397"/>
  <c r="J171" i="11397"/>
  <c r="B172" i="11397"/>
  <c r="C172" i="11397"/>
  <c r="D172" i="11397"/>
  <c r="E172" i="11397"/>
  <c r="F172" i="11397"/>
  <c r="G172" i="11397"/>
  <c r="H172" i="11397"/>
  <c r="I172" i="11397"/>
  <c r="J172" i="11397"/>
  <c r="B173" i="11397"/>
  <c r="C173" i="11397"/>
  <c r="D173" i="11397"/>
  <c r="E173" i="11397"/>
  <c r="F173" i="11397"/>
  <c r="G173" i="11397"/>
  <c r="H173" i="11397"/>
  <c r="I173" i="11397"/>
  <c r="J173" i="11397"/>
  <c r="B174" i="11397"/>
  <c r="C174" i="11397"/>
  <c r="D174" i="11397"/>
  <c r="E174" i="11397"/>
  <c r="F174" i="11397"/>
  <c r="G174" i="11397"/>
  <c r="H174" i="11397"/>
  <c r="I174" i="11397"/>
  <c r="J174" i="11397"/>
  <c r="B175" i="11397"/>
  <c r="C175" i="11397"/>
  <c r="D175" i="11397"/>
  <c r="E175" i="11397"/>
  <c r="F175" i="11397"/>
  <c r="G175" i="11397"/>
  <c r="H175" i="11397"/>
  <c r="I175" i="11397"/>
  <c r="J175" i="11397"/>
  <c r="B176" i="11397"/>
  <c r="C176" i="11397"/>
  <c r="D176" i="11397"/>
  <c r="E176" i="11397"/>
  <c r="F176" i="11397"/>
  <c r="G176" i="11397"/>
  <c r="H176" i="11397"/>
  <c r="I176" i="11397"/>
  <c r="J176" i="11397"/>
  <c r="B177" i="11397"/>
  <c r="C177" i="11397"/>
  <c r="D177" i="11397"/>
  <c r="E177" i="11397"/>
  <c r="F177" i="11397"/>
  <c r="G177" i="11397"/>
  <c r="H177" i="11397"/>
  <c r="I177" i="11397"/>
  <c r="J177" i="11397"/>
  <c r="B178" i="11397"/>
  <c r="C178" i="11397"/>
  <c r="D178" i="11397"/>
  <c r="E178" i="11397"/>
  <c r="F178" i="11397"/>
  <c r="G178" i="11397"/>
  <c r="H178" i="11397"/>
  <c r="I178" i="11397"/>
  <c r="J178" i="11397"/>
  <c r="B179" i="11397"/>
  <c r="C179" i="11397"/>
  <c r="D179" i="11397"/>
  <c r="E179" i="11397"/>
  <c r="F179" i="11397"/>
  <c r="G179" i="11397"/>
  <c r="H179" i="11397"/>
  <c r="I179" i="11397"/>
  <c r="J179" i="11397"/>
  <c r="B180" i="11397"/>
  <c r="C180" i="11397"/>
  <c r="D180" i="11397"/>
  <c r="E180" i="11397"/>
  <c r="F180" i="11397"/>
  <c r="G180" i="11397"/>
  <c r="H180" i="11397"/>
  <c r="I180" i="11397"/>
  <c r="J180" i="11397"/>
  <c r="B181" i="11397"/>
  <c r="C181" i="11397"/>
  <c r="D181" i="11397"/>
  <c r="E181" i="11397"/>
  <c r="F181" i="11397"/>
  <c r="G181" i="11397"/>
  <c r="H181" i="11397"/>
  <c r="I181" i="11397"/>
  <c r="J181" i="11397"/>
  <c r="B182" i="11397"/>
  <c r="C182" i="11397"/>
  <c r="D182" i="11397"/>
  <c r="E182" i="11397"/>
  <c r="F182" i="11397"/>
  <c r="G182" i="11397"/>
  <c r="H182" i="11397"/>
  <c r="I182" i="11397"/>
  <c r="J182" i="11397"/>
  <c r="B183" i="11397"/>
  <c r="C183" i="11397"/>
  <c r="D183" i="11397"/>
  <c r="E183" i="11397"/>
  <c r="F183" i="11397"/>
  <c r="G183" i="11397"/>
  <c r="H183" i="11397"/>
  <c r="I183" i="11397"/>
  <c r="J183" i="11397"/>
  <c r="B184" i="11397"/>
  <c r="C184" i="11397"/>
  <c r="D184" i="11397"/>
  <c r="E184" i="11397"/>
  <c r="F184" i="11397"/>
  <c r="G184" i="11397"/>
  <c r="H184" i="11397"/>
  <c r="I184" i="11397"/>
  <c r="J184" i="11397"/>
  <c r="B185" i="11397"/>
  <c r="C185" i="11397"/>
  <c r="D185" i="11397"/>
  <c r="E185" i="11397"/>
  <c r="F185" i="11397"/>
  <c r="G185" i="11397"/>
  <c r="H185" i="11397"/>
  <c r="I185" i="11397"/>
  <c r="J185" i="11397"/>
  <c r="B186" i="11397"/>
  <c r="C186" i="11397"/>
  <c r="D186" i="11397"/>
  <c r="E186" i="11397"/>
  <c r="F186" i="11397"/>
  <c r="G186" i="11397"/>
  <c r="H186" i="11397"/>
  <c r="I186" i="11397"/>
  <c r="J186" i="11397"/>
  <c r="B187" i="11397"/>
  <c r="C187" i="11397"/>
  <c r="D187" i="11397"/>
  <c r="E187" i="11397"/>
  <c r="F187" i="11397"/>
  <c r="G187" i="11397"/>
  <c r="H187" i="11397"/>
  <c r="I187" i="11397"/>
  <c r="J187" i="11397"/>
  <c r="B188" i="11397"/>
  <c r="C188" i="11397"/>
  <c r="D188" i="11397"/>
  <c r="E188" i="11397"/>
  <c r="F188" i="11397"/>
  <c r="G188" i="11397"/>
  <c r="H188" i="11397"/>
  <c r="I188" i="11397"/>
  <c r="J188" i="11397"/>
  <c r="B189" i="11397"/>
  <c r="C189" i="11397"/>
  <c r="D189" i="11397"/>
  <c r="E189" i="11397"/>
  <c r="F189" i="11397"/>
  <c r="G189" i="11397"/>
  <c r="H189" i="11397"/>
  <c r="I189" i="11397"/>
  <c r="J189" i="11397"/>
  <c r="B190" i="11397"/>
  <c r="C190" i="11397"/>
  <c r="D190" i="11397"/>
  <c r="E190" i="11397"/>
  <c r="F190" i="11397"/>
  <c r="G190" i="11397"/>
  <c r="H190" i="11397"/>
  <c r="I190" i="11397"/>
  <c r="J190" i="11397"/>
  <c r="B191" i="11397"/>
  <c r="C191" i="11397"/>
  <c r="D191" i="11397"/>
  <c r="E191" i="11397"/>
  <c r="F191" i="11397"/>
  <c r="G191" i="11397"/>
  <c r="H191" i="11397"/>
  <c r="I191" i="11397"/>
  <c r="J191" i="11397"/>
  <c r="B192" i="11397"/>
  <c r="C192" i="11397"/>
  <c r="D192" i="11397"/>
  <c r="E192" i="11397"/>
  <c r="F192" i="11397"/>
  <c r="G192" i="11397"/>
  <c r="H192" i="11397"/>
  <c r="I192" i="11397"/>
  <c r="J192" i="11397"/>
  <c r="B193" i="11397"/>
  <c r="C193" i="11397"/>
  <c r="D193" i="11397"/>
  <c r="E193" i="11397"/>
  <c r="F193" i="11397"/>
  <c r="G193" i="11397"/>
  <c r="H193" i="11397"/>
  <c r="I193" i="11397"/>
  <c r="J193" i="11397"/>
  <c r="B194" i="11397"/>
  <c r="C194" i="11397"/>
  <c r="D194" i="11397"/>
  <c r="E194" i="11397"/>
  <c r="F194" i="11397"/>
  <c r="G194" i="11397"/>
  <c r="H194" i="11397"/>
  <c r="I194" i="11397"/>
  <c r="J194" i="11397"/>
  <c r="B195" i="11397"/>
  <c r="C195" i="11397"/>
  <c r="D195" i="11397"/>
  <c r="E195" i="11397"/>
  <c r="F195" i="11397"/>
  <c r="G195" i="11397"/>
  <c r="H195" i="11397"/>
  <c r="I195" i="11397"/>
  <c r="J195" i="11397"/>
  <c r="B196" i="11397"/>
  <c r="C196" i="11397"/>
  <c r="D196" i="11397"/>
  <c r="E196" i="11397"/>
  <c r="F196" i="11397"/>
  <c r="G196" i="11397"/>
  <c r="H196" i="11397"/>
  <c r="I196" i="11397"/>
  <c r="J196" i="11397"/>
  <c r="B197" i="11397"/>
  <c r="C197" i="11397"/>
  <c r="D197" i="11397"/>
  <c r="E197" i="11397"/>
  <c r="F197" i="11397"/>
  <c r="G197" i="11397"/>
  <c r="H197" i="11397"/>
  <c r="I197" i="11397"/>
  <c r="J197" i="11397"/>
  <c r="B198" i="11397"/>
  <c r="C198" i="11397"/>
  <c r="D198" i="11397"/>
  <c r="E198" i="11397"/>
  <c r="F198" i="11397"/>
  <c r="G198" i="11397"/>
  <c r="H198" i="11397"/>
  <c r="I198" i="11397"/>
  <c r="J198" i="11397"/>
  <c r="B199" i="11397"/>
  <c r="C199" i="11397"/>
  <c r="D199" i="11397"/>
  <c r="E199" i="11397"/>
  <c r="F199" i="11397"/>
  <c r="G199" i="11397"/>
  <c r="H199" i="11397"/>
  <c r="I199" i="11397"/>
  <c r="J199" i="11397"/>
  <c r="B200" i="11397"/>
  <c r="C200" i="11397"/>
  <c r="D200" i="11397"/>
  <c r="E200" i="11397"/>
  <c r="F200" i="11397"/>
  <c r="G200" i="11397"/>
  <c r="H200" i="11397"/>
  <c r="I200" i="11397"/>
  <c r="J200" i="11397"/>
  <c r="B201" i="11397"/>
  <c r="C201" i="11397"/>
  <c r="D201" i="11397"/>
  <c r="E201" i="11397"/>
  <c r="F201" i="11397"/>
  <c r="G201" i="11397"/>
  <c r="H201" i="11397"/>
  <c r="I201" i="11397"/>
  <c r="J201" i="11397"/>
  <c r="B202" i="11397"/>
  <c r="C202" i="11397"/>
  <c r="D202" i="11397"/>
  <c r="E202" i="11397"/>
  <c r="F202" i="11397"/>
  <c r="G202" i="11397"/>
  <c r="H202" i="11397"/>
  <c r="I202" i="11397"/>
  <c r="J202" i="11397"/>
  <c r="B203" i="11397"/>
  <c r="C203" i="11397"/>
  <c r="D203" i="11397"/>
  <c r="E203" i="11397"/>
  <c r="F203" i="11397"/>
  <c r="G203" i="11397"/>
  <c r="H203" i="11397"/>
  <c r="I203" i="11397"/>
  <c r="J203" i="11397"/>
  <c r="B204" i="11397"/>
  <c r="C204" i="11397"/>
  <c r="D204" i="11397"/>
  <c r="E204" i="11397"/>
  <c r="F204" i="11397"/>
  <c r="G204" i="11397"/>
  <c r="H204" i="11397"/>
  <c r="I204" i="11397"/>
  <c r="J204" i="11397"/>
  <c r="B205" i="11397"/>
  <c r="C205" i="11397"/>
  <c r="D205" i="11397"/>
  <c r="E205" i="11397"/>
  <c r="F205" i="11397"/>
  <c r="G205" i="11397"/>
  <c r="H205" i="11397"/>
  <c r="I205" i="11397"/>
  <c r="J205" i="11397"/>
  <c r="B206" i="11397"/>
  <c r="C206" i="11397"/>
  <c r="D206" i="11397"/>
  <c r="E206" i="11397"/>
  <c r="F206" i="11397"/>
  <c r="G206" i="11397"/>
  <c r="H206" i="11397"/>
  <c r="I206" i="11397"/>
  <c r="J206" i="11397"/>
  <c r="B207" i="11397"/>
  <c r="C207" i="11397"/>
  <c r="D207" i="11397"/>
  <c r="E207" i="11397"/>
  <c r="F207" i="11397"/>
  <c r="G207" i="11397"/>
  <c r="H207" i="11397"/>
  <c r="I207" i="11397"/>
  <c r="J207" i="11397"/>
  <c r="B208" i="11397"/>
  <c r="C208" i="11397"/>
  <c r="D208" i="11397"/>
  <c r="E208" i="11397"/>
  <c r="F208" i="11397"/>
  <c r="G208" i="11397"/>
  <c r="H208" i="11397"/>
  <c r="I208" i="11397"/>
  <c r="J208" i="11397"/>
  <c r="B209" i="11397"/>
  <c r="C209" i="11397"/>
  <c r="D209" i="11397"/>
  <c r="E209" i="11397"/>
  <c r="F209" i="11397"/>
  <c r="G209" i="11397"/>
  <c r="H209" i="11397"/>
  <c r="I209" i="11397"/>
  <c r="J209" i="11397"/>
  <c r="B210" i="11397"/>
  <c r="C210" i="11397"/>
  <c r="D210" i="11397"/>
  <c r="E210" i="11397"/>
  <c r="F210" i="11397"/>
  <c r="G210" i="11397"/>
  <c r="H210" i="11397"/>
  <c r="I210" i="11397"/>
  <c r="J210" i="11397"/>
  <c r="B211" i="11397"/>
  <c r="C211" i="11397"/>
  <c r="D211" i="11397"/>
  <c r="E211" i="11397"/>
  <c r="F211" i="11397"/>
  <c r="G211" i="11397"/>
  <c r="H211" i="11397"/>
  <c r="I211" i="11397"/>
  <c r="J211" i="11397"/>
  <c r="B212" i="11397"/>
  <c r="C212" i="11397"/>
  <c r="D212" i="11397"/>
  <c r="E212" i="11397"/>
  <c r="F212" i="11397"/>
  <c r="G212" i="11397"/>
  <c r="H212" i="11397"/>
  <c r="I212" i="11397"/>
  <c r="J212" i="11397"/>
  <c r="B213" i="11397"/>
  <c r="C213" i="11397"/>
  <c r="D213" i="11397"/>
  <c r="E213" i="11397"/>
  <c r="F213" i="11397"/>
  <c r="G213" i="11397"/>
  <c r="H213" i="11397"/>
  <c r="I213" i="11397"/>
  <c r="J213" i="11397"/>
  <c r="B214" i="11397"/>
  <c r="C214" i="11397"/>
  <c r="D214" i="11397"/>
  <c r="E214" i="11397"/>
  <c r="F214" i="11397"/>
  <c r="G214" i="11397"/>
  <c r="H214" i="11397"/>
  <c r="I214" i="11397"/>
  <c r="J214" i="11397"/>
  <c r="B215" i="11397"/>
  <c r="C215" i="11397"/>
  <c r="D215" i="11397"/>
  <c r="E215" i="11397"/>
  <c r="F215" i="11397"/>
  <c r="G215" i="11397"/>
  <c r="H215" i="11397"/>
  <c r="I215" i="11397"/>
  <c r="J215" i="11397"/>
  <c r="B216" i="11397"/>
  <c r="C216" i="11397"/>
  <c r="D216" i="11397"/>
  <c r="E216" i="11397"/>
  <c r="F216" i="11397"/>
  <c r="G216" i="11397"/>
  <c r="H216" i="11397"/>
  <c r="I216" i="11397"/>
  <c r="J216" i="11397"/>
  <c r="B217" i="11397"/>
  <c r="C217" i="11397"/>
  <c r="D217" i="11397"/>
  <c r="E217" i="11397"/>
  <c r="F217" i="11397"/>
  <c r="G217" i="11397"/>
  <c r="H217" i="11397"/>
  <c r="I217" i="11397"/>
  <c r="J217" i="11397"/>
  <c r="B218" i="11397"/>
  <c r="C218" i="11397"/>
  <c r="D218" i="11397"/>
  <c r="E218" i="11397"/>
  <c r="F218" i="11397"/>
  <c r="G218" i="11397"/>
  <c r="H218" i="11397"/>
  <c r="I218" i="11397"/>
  <c r="J218" i="11397"/>
  <c r="B219" i="11397"/>
  <c r="C219" i="11397"/>
  <c r="D219" i="11397"/>
  <c r="E219" i="11397"/>
  <c r="F219" i="11397"/>
  <c r="G219" i="11397"/>
  <c r="H219" i="11397"/>
  <c r="I219" i="11397"/>
  <c r="J219" i="11397"/>
  <c r="B220" i="11397"/>
  <c r="C220" i="11397"/>
  <c r="D220" i="11397"/>
  <c r="E220" i="11397"/>
  <c r="F220" i="11397"/>
  <c r="G220" i="11397"/>
  <c r="H220" i="11397"/>
  <c r="I220" i="11397"/>
  <c r="J220" i="11397"/>
  <c r="B221" i="11397"/>
  <c r="C221" i="11397"/>
  <c r="D221" i="11397"/>
  <c r="E221" i="11397"/>
  <c r="F221" i="11397"/>
  <c r="G221" i="11397"/>
  <c r="H221" i="11397"/>
  <c r="I221" i="11397"/>
  <c r="J221" i="11397"/>
  <c r="B222" i="11397"/>
  <c r="C222" i="11397"/>
  <c r="D222" i="11397"/>
  <c r="E222" i="11397"/>
  <c r="F222" i="11397"/>
  <c r="G222" i="11397"/>
  <c r="H222" i="11397"/>
  <c r="I222" i="11397"/>
  <c r="J222" i="11397"/>
  <c r="B223" i="11397"/>
  <c r="C223" i="11397"/>
  <c r="D223" i="11397"/>
  <c r="E223" i="11397"/>
  <c r="F223" i="11397"/>
  <c r="G223" i="11397"/>
  <c r="H223" i="11397"/>
  <c r="I223" i="11397"/>
  <c r="J223" i="11397"/>
  <c r="B224" i="11397"/>
  <c r="C224" i="11397"/>
  <c r="D224" i="11397"/>
  <c r="E224" i="11397"/>
  <c r="F224" i="11397"/>
  <c r="G224" i="11397"/>
  <c r="H224" i="11397"/>
  <c r="I224" i="11397"/>
  <c r="J224" i="11397"/>
  <c r="B225" i="11397"/>
  <c r="C225" i="11397"/>
  <c r="D225" i="11397"/>
  <c r="E225" i="11397"/>
  <c r="F225" i="11397"/>
  <c r="G225" i="11397"/>
  <c r="H225" i="11397"/>
  <c r="I225" i="11397"/>
  <c r="J225" i="11397"/>
  <c r="B226" i="11397"/>
  <c r="C226" i="11397"/>
  <c r="D226" i="11397"/>
  <c r="E226" i="11397"/>
  <c r="F226" i="11397"/>
  <c r="G226" i="11397"/>
  <c r="H226" i="11397"/>
  <c r="I226" i="11397"/>
  <c r="J226" i="11397"/>
  <c r="B227" i="11397"/>
  <c r="C227" i="11397"/>
  <c r="D227" i="11397"/>
  <c r="E227" i="11397"/>
  <c r="F227" i="11397"/>
  <c r="G227" i="11397"/>
  <c r="H227" i="11397"/>
  <c r="I227" i="11397"/>
  <c r="J227" i="11397"/>
  <c r="B228" i="11397"/>
  <c r="C228" i="11397"/>
  <c r="D228" i="11397"/>
  <c r="E228" i="11397"/>
  <c r="F228" i="11397"/>
  <c r="G228" i="11397"/>
  <c r="H228" i="11397"/>
  <c r="I228" i="11397"/>
  <c r="J228" i="11397"/>
  <c r="B229" i="11397"/>
  <c r="C229" i="11397"/>
  <c r="D229" i="11397"/>
  <c r="E229" i="11397"/>
  <c r="F229" i="11397"/>
  <c r="G229" i="11397"/>
  <c r="H229" i="11397"/>
  <c r="I229" i="11397"/>
  <c r="J229" i="11397"/>
  <c r="B230" i="11397"/>
  <c r="C230" i="11397"/>
  <c r="D230" i="11397"/>
  <c r="E230" i="11397"/>
  <c r="F230" i="11397"/>
  <c r="G230" i="11397"/>
  <c r="H230" i="11397"/>
  <c r="I230" i="11397"/>
  <c r="J230" i="11397"/>
  <c r="B231" i="11397"/>
  <c r="C231" i="11397"/>
  <c r="D231" i="11397"/>
  <c r="E231" i="11397"/>
  <c r="F231" i="11397"/>
  <c r="G231" i="11397"/>
  <c r="H231" i="11397"/>
  <c r="I231" i="11397"/>
  <c r="J231" i="11397"/>
  <c r="B232" i="11397"/>
  <c r="C232" i="11397"/>
  <c r="D232" i="11397"/>
  <c r="E232" i="11397"/>
  <c r="F232" i="11397"/>
  <c r="G232" i="11397"/>
  <c r="H232" i="11397"/>
  <c r="I232" i="11397"/>
  <c r="J232" i="11397"/>
  <c r="B233" i="11397"/>
  <c r="C233" i="11397"/>
  <c r="D233" i="11397"/>
  <c r="E233" i="11397"/>
  <c r="F233" i="11397"/>
  <c r="G233" i="11397"/>
  <c r="H233" i="11397"/>
  <c r="I233" i="11397"/>
  <c r="J233" i="11397"/>
  <c r="B234" i="11397"/>
  <c r="C234" i="11397"/>
  <c r="D234" i="11397"/>
  <c r="E234" i="11397"/>
  <c r="F234" i="11397"/>
  <c r="G234" i="11397"/>
  <c r="H234" i="11397"/>
  <c r="I234" i="11397"/>
  <c r="J234" i="11397"/>
  <c r="B235" i="11397"/>
  <c r="C235" i="11397"/>
  <c r="D235" i="11397"/>
  <c r="E235" i="11397"/>
  <c r="F235" i="11397"/>
  <c r="G235" i="11397"/>
  <c r="H235" i="11397"/>
  <c r="I235" i="11397"/>
  <c r="J235" i="11397"/>
  <c r="B236" i="11397"/>
  <c r="C236" i="11397"/>
  <c r="D236" i="11397"/>
  <c r="E236" i="11397"/>
  <c r="F236" i="11397"/>
  <c r="G236" i="11397"/>
  <c r="H236" i="11397"/>
  <c r="I236" i="11397"/>
  <c r="J236" i="11397"/>
  <c r="B237" i="11397"/>
  <c r="C237" i="11397"/>
  <c r="D237" i="11397"/>
  <c r="E237" i="11397"/>
  <c r="F237" i="11397"/>
  <c r="G237" i="11397"/>
  <c r="H237" i="11397"/>
  <c r="I237" i="11397"/>
  <c r="J237" i="11397"/>
  <c r="B238" i="11397"/>
  <c r="C238" i="11397"/>
  <c r="D238" i="11397"/>
  <c r="E238" i="11397"/>
  <c r="F238" i="11397"/>
  <c r="G238" i="11397"/>
  <c r="H238" i="11397"/>
  <c r="I238" i="11397"/>
  <c r="J238" i="11397"/>
  <c r="B239" i="11397"/>
  <c r="C239" i="11397"/>
  <c r="D239" i="11397"/>
  <c r="E239" i="11397"/>
  <c r="F239" i="11397"/>
  <c r="G239" i="11397"/>
  <c r="H239" i="11397"/>
  <c r="I239" i="11397"/>
  <c r="J239" i="11397"/>
  <c r="B240" i="11397"/>
  <c r="C240" i="11397"/>
  <c r="D240" i="11397"/>
  <c r="E240" i="11397"/>
  <c r="F240" i="11397"/>
  <c r="G240" i="11397"/>
  <c r="H240" i="11397"/>
  <c r="I240" i="11397"/>
  <c r="J240" i="11397"/>
  <c r="B241" i="11397"/>
  <c r="C241" i="11397"/>
  <c r="D241" i="11397"/>
  <c r="E241" i="11397"/>
  <c r="F241" i="11397"/>
  <c r="G241" i="11397"/>
  <c r="H241" i="11397"/>
  <c r="I241" i="11397"/>
  <c r="J241" i="11397"/>
  <c r="B242" i="11397"/>
  <c r="C242" i="11397"/>
  <c r="D242" i="11397"/>
  <c r="E242" i="11397"/>
  <c r="F242" i="11397"/>
  <c r="G242" i="11397"/>
  <c r="H242" i="11397"/>
  <c r="I242" i="11397"/>
  <c r="J242" i="11397"/>
  <c r="B243" i="11397"/>
  <c r="C243" i="11397"/>
  <c r="D243" i="11397"/>
  <c r="E243" i="11397"/>
  <c r="F243" i="11397"/>
  <c r="G243" i="11397"/>
  <c r="H243" i="11397"/>
  <c r="I243" i="11397"/>
  <c r="J243" i="11397"/>
  <c r="B244" i="11397"/>
  <c r="C244" i="11397"/>
  <c r="D244" i="11397"/>
  <c r="E244" i="11397"/>
  <c r="F244" i="11397"/>
  <c r="G244" i="11397"/>
  <c r="H244" i="11397"/>
  <c r="I244" i="11397"/>
  <c r="J244" i="11397"/>
  <c r="B245" i="11397"/>
  <c r="C245" i="11397"/>
  <c r="D245" i="11397"/>
  <c r="E245" i="11397"/>
  <c r="F245" i="11397"/>
  <c r="G245" i="11397"/>
  <c r="H245" i="11397"/>
  <c r="I245" i="11397"/>
  <c r="J245" i="11397"/>
  <c r="B246" i="11397"/>
  <c r="C246" i="11397"/>
  <c r="D246" i="11397"/>
  <c r="E246" i="11397"/>
  <c r="F246" i="11397"/>
  <c r="G246" i="11397"/>
  <c r="H246" i="11397"/>
  <c r="I246" i="11397"/>
  <c r="J246" i="11397"/>
  <c r="B247" i="11397"/>
  <c r="C247" i="11397"/>
  <c r="D247" i="11397"/>
  <c r="E247" i="11397"/>
  <c r="F247" i="11397"/>
  <c r="G247" i="11397"/>
  <c r="H247" i="11397"/>
  <c r="I247" i="11397"/>
  <c r="J247" i="11397"/>
  <c r="B248" i="11397"/>
  <c r="C248" i="11397"/>
  <c r="D248" i="11397"/>
  <c r="E248" i="11397"/>
  <c r="F248" i="11397"/>
  <c r="G248" i="11397"/>
  <c r="H248" i="11397"/>
  <c r="I248" i="11397"/>
  <c r="J248" i="11397"/>
  <c r="B249" i="11397"/>
  <c r="C249" i="11397"/>
  <c r="D249" i="11397"/>
  <c r="E249" i="11397"/>
  <c r="F249" i="11397"/>
  <c r="G249" i="11397"/>
  <c r="H249" i="11397"/>
  <c r="I249" i="11397"/>
  <c r="J249" i="11397"/>
  <c r="B250" i="11397"/>
  <c r="C250" i="11397"/>
  <c r="D250" i="11397"/>
  <c r="E250" i="11397"/>
  <c r="F250" i="11397"/>
  <c r="G250" i="11397"/>
  <c r="H250" i="11397"/>
  <c r="I250" i="11397"/>
  <c r="J250" i="11397"/>
  <c r="B251" i="11397"/>
  <c r="C251" i="11397"/>
  <c r="D251" i="11397"/>
  <c r="E251" i="11397"/>
  <c r="F251" i="11397"/>
  <c r="G251" i="11397"/>
  <c r="H251" i="11397"/>
  <c r="I251" i="11397"/>
  <c r="J251" i="11397"/>
  <c r="B252" i="11397"/>
  <c r="C252" i="11397"/>
  <c r="D252" i="11397"/>
  <c r="E252" i="11397"/>
  <c r="F252" i="11397"/>
  <c r="G252" i="11397"/>
  <c r="H252" i="11397"/>
  <c r="I252" i="11397"/>
  <c r="J252" i="11397"/>
  <c r="B253" i="11397"/>
  <c r="C253" i="11397"/>
  <c r="D253" i="11397"/>
  <c r="E253" i="11397"/>
  <c r="F253" i="11397"/>
  <c r="G253" i="11397"/>
  <c r="H253" i="11397"/>
  <c r="I253" i="11397"/>
  <c r="J253" i="11397"/>
  <c r="B254" i="11397"/>
  <c r="C254" i="11397"/>
  <c r="D254" i="11397"/>
  <c r="E254" i="11397"/>
  <c r="F254" i="11397"/>
  <c r="G254" i="11397"/>
  <c r="H254" i="11397"/>
  <c r="I254" i="11397"/>
  <c r="J254" i="11397"/>
  <c r="B255" i="11397"/>
  <c r="C255" i="11397"/>
  <c r="D255" i="11397"/>
  <c r="E255" i="11397"/>
  <c r="F255" i="11397"/>
  <c r="G255" i="11397"/>
  <c r="H255" i="11397"/>
  <c r="I255" i="11397"/>
  <c r="J255" i="11397"/>
  <c r="B256" i="11397"/>
  <c r="C256" i="11397"/>
  <c r="D256" i="11397"/>
  <c r="E256" i="11397"/>
  <c r="F256" i="11397"/>
  <c r="G256" i="11397"/>
  <c r="H256" i="11397"/>
  <c r="I256" i="11397"/>
  <c r="J256" i="11397"/>
  <c r="B257" i="11397"/>
  <c r="C257" i="11397"/>
  <c r="D257" i="11397"/>
  <c r="E257" i="11397"/>
  <c r="F257" i="11397"/>
  <c r="G257" i="11397"/>
  <c r="H257" i="11397"/>
  <c r="I257" i="11397"/>
  <c r="J257" i="11397"/>
  <c r="B258" i="11397"/>
  <c r="C258" i="11397"/>
  <c r="D258" i="11397"/>
  <c r="E258" i="11397"/>
  <c r="F258" i="11397"/>
  <c r="G258" i="11397"/>
  <c r="H258" i="11397"/>
  <c r="I258" i="11397"/>
  <c r="J258" i="11397"/>
  <c r="B259" i="11397"/>
  <c r="I1" i="60"/>
  <c r="J1" i="60"/>
  <c r="K1" i="60"/>
  <c r="L1" i="60"/>
  <c r="M1" i="60"/>
  <c r="N1" i="60"/>
  <c r="O1" i="60"/>
  <c r="P1" i="60"/>
  <c r="Q1" i="60"/>
  <c r="R1" i="60"/>
  <c r="S1" i="60"/>
  <c r="T1" i="60"/>
  <c r="U1" i="60"/>
  <c r="V1" i="60"/>
  <c r="W1" i="60"/>
  <c r="X1" i="60"/>
  <c r="Y1" i="60"/>
  <c r="Z1" i="60"/>
  <c r="AA1" i="60"/>
  <c r="B7" i="60"/>
  <c r="B8" i="60"/>
  <c r="C8" i="60"/>
  <c r="B9" i="60"/>
  <c r="C9" i="60"/>
  <c r="B10" i="60"/>
  <c r="C10" i="60"/>
  <c r="B11" i="60"/>
  <c r="C11" i="60"/>
  <c r="B12" i="60"/>
  <c r="C12" i="60"/>
  <c r="B13" i="60"/>
  <c r="C13" i="60"/>
  <c r="B14" i="60"/>
  <c r="C14" i="60"/>
  <c r="B15" i="60"/>
  <c r="C15" i="60"/>
  <c r="E15" i="60"/>
  <c r="C16" i="60"/>
  <c r="D16" i="60"/>
  <c r="E16" i="60"/>
  <c r="C17" i="60"/>
  <c r="D17" i="60"/>
  <c r="E17" i="60"/>
  <c r="C18" i="60"/>
  <c r="D18" i="60"/>
  <c r="E18" i="60"/>
  <c r="C19" i="60"/>
  <c r="D19" i="60"/>
  <c r="E19" i="60"/>
  <c r="C20" i="60"/>
  <c r="D20" i="60"/>
  <c r="E20" i="60"/>
  <c r="C21" i="60"/>
  <c r="D21" i="60"/>
  <c r="E21" i="60"/>
  <c r="C22" i="60"/>
  <c r="D22" i="60"/>
  <c r="E22" i="60"/>
  <c r="C23" i="60"/>
  <c r="D23" i="60"/>
  <c r="E23" i="60"/>
  <c r="C24" i="60"/>
  <c r="D24" i="60"/>
  <c r="E24" i="60"/>
  <c r="C25" i="60"/>
  <c r="D25" i="60"/>
  <c r="E25" i="60"/>
  <c r="C26" i="60"/>
  <c r="D26" i="60"/>
  <c r="E26" i="60"/>
  <c r="C27" i="60"/>
  <c r="D27" i="60"/>
  <c r="E27" i="60"/>
  <c r="C28" i="60"/>
  <c r="D28" i="60"/>
  <c r="E28" i="60"/>
  <c r="C29" i="60"/>
  <c r="D29" i="60"/>
  <c r="E29" i="60"/>
  <c r="C30" i="60"/>
  <c r="D30" i="60"/>
  <c r="E30" i="60"/>
  <c r="C31" i="60"/>
  <c r="D31" i="60"/>
  <c r="E31" i="60"/>
  <c r="C32" i="60"/>
  <c r="D32" i="60"/>
  <c r="E32" i="60"/>
  <c r="C33" i="60"/>
  <c r="D33" i="60"/>
  <c r="E33" i="60"/>
  <c r="C34" i="60"/>
  <c r="D34" i="60"/>
  <c r="E34" i="60"/>
  <c r="C35" i="60"/>
  <c r="D35" i="60"/>
  <c r="E35" i="60"/>
  <c r="C36" i="60"/>
  <c r="D36" i="60"/>
  <c r="E36" i="60"/>
  <c r="C37" i="60"/>
  <c r="D37" i="60"/>
  <c r="E37" i="60"/>
  <c r="C38" i="60"/>
  <c r="D38" i="60"/>
  <c r="E38" i="60"/>
  <c r="C39" i="60"/>
  <c r="D39" i="60"/>
  <c r="E39" i="60"/>
  <c r="C40" i="60"/>
  <c r="D40" i="60"/>
  <c r="E40" i="60"/>
  <c r="C41" i="60"/>
  <c r="D41" i="60"/>
  <c r="E41" i="60"/>
  <c r="C42" i="60"/>
  <c r="D42" i="60"/>
  <c r="E42" i="60"/>
  <c r="C43" i="60"/>
  <c r="D43" i="60"/>
  <c r="E43" i="60"/>
  <c r="C44" i="60"/>
  <c r="D44" i="60"/>
  <c r="E44" i="60"/>
  <c r="C45" i="60"/>
  <c r="D45" i="60"/>
  <c r="E45" i="60"/>
  <c r="C46" i="60"/>
  <c r="D46" i="60"/>
  <c r="E46" i="60"/>
  <c r="C47" i="60"/>
  <c r="D47" i="60"/>
  <c r="E47" i="60"/>
  <c r="C48" i="60"/>
  <c r="D48" i="60"/>
  <c r="E48" i="60"/>
  <c r="C49" i="60"/>
  <c r="D49" i="60"/>
  <c r="E49" i="60"/>
  <c r="C50" i="60"/>
  <c r="D50" i="60"/>
  <c r="E50" i="60"/>
  <c r="C51" i="60"/>
  <c r="D51" i="60"/>
  <c r="E51" i="60"/>
  <c r="C52" i="60"/>
  <c r="D52" i="60"/>
  <c r="E52" i="60"/>
  <c r="C53" i="60"/>
  <c r="D53" i="60"/>
  <c r="E53" i="60"/>
  <c r="C54" i="60"/>
  <c r="D54" i="60"/>
  <c r="E54" i="60"/>
  <c r="C55" i="60"/>
  <c r="D55" i="60"/>
  <c r="E55" i="60"/>
  <c r="C56" i="60"/>
  <c r="D56" i="60"/>
  <c r="E56" i="60"/>
  <c r="C57" i="60"/>
  <c r="D57" i="60"/>
  <c r="E57" i="60"/>
  <c r="C58" i="60"/>
  <c r="D58" i="60"/>
  <c r="E58" i="60"/>
  <c r="C59" i="60"/>
  <c r="D59" i="60"/>
  <c r="E59" i="60"/>
  <c r="C60" i="60"/>
  <c r="D60" i="60"/>
  <c r="E60" i="60"/>
  <c r="C61" i="60"/>
  <c r="D61" i="60"/>
  <c r="E61" i="60"/>
  <c r="C62" i="60"/>
  <c r="D62" i="60"/>
  <c r="E62" i="60"/>
  <c r="C63" i="60"/>
  <c r="D63" i="60"/>
  <c r="E63" i="60"/>
  <c r="C64" i="60"/>
  <c r="D64" i="60"/>
  <c r="E64" i="60"/>
  <c r="C65" i="60"/>
  <c r="D65" i="60"/>
  <c r="E65" i="60"/>
  <c r="C66" i="60"/>
  <c r="D66" i="60"/>
  <c r="E66" i="60"/>
  <c r="C67" i="60"/>
  <c r="D67" i="60"/>
  <c r="E67" i="60"/>
  <c r="C68" i="60"/>
  <c r="D68" i="60"/>
  <c r="E68" i="60"/>
  <c r="C69" i="60"/>
  <c r="D69" i="60"/>
  <c r="E69" i="60"/>
  <c r="C70" i="60"/>
  <c r="D70" i="60"/>
  <c r="E70" i="60"/>
  <c r="C71" i="60"/>
  <c r="D71" i="60"/>
  <c r="E71" i="60"/>
  <c r="C72" i="60"/>
  <c r="D72" i="60"/>
  <c r="E72" i="60"/>
  <c r="C73" i="60"/>
  <c r="D73" i="60"/>
  <c r="E73" i="60"/>
  <c r="C74" i="60"/>
  <c r="D74" i="60"/>
  <c r="E74" i="60"/>
  <c r="C75" i="60"/>
  <c r="D75" i="60"/>
  <c r="E75" i="60"/>
  <c r="C76" i="60"/>
  <c r="D76" i="60"/>
  <c r="E76" i="60"/>
  <c r="C77" i="60"/>
  <c r="D77" i="60"/>
  <c r="E77" i="60"/>
  <c r="C78" i="60"/>
  <c r="D78" i="60"/>
  <c r="E78" i="60"/>
  <c r="C79" i="60"/>
  <c r="D79" i="60"/>
  <c r="E79" i="60"/>
  <c r="C80" i="60"/>
  <c r="D80" i="60"/>
  <c r="E80" i="60"/>
  <c r="C81" i="60"/>
  <c r="D81" i="60"/>
  <c r="E81" i="60"/>
  <c r="C82" i="60"/>
  <c r="D82" i="60"/>
  <c r="E82" i="60"/>
  <c r="C83" i="60"/>
  <c r="D83" i="60"/>
  <c r="E83" i="60"/>
  <c r="C84" i="60"/>
  <c r="D84" i="60"/>
  <c r="E84" i="60"/>
  <c r="C85" i="60"/>
  <c r="D85" i="60"/>
  <c r="E85" i="60"/>
  <c r="C86" i="60"/>
  <c r="D86" i="60"/>
  <c r="E86" i="60"/>
  <c r="C87" i="60"/>
  <c r="D87" i="60"/>
  <c r="E87" i="60"/>
  <c r="C88" i="60"/>
  <c r="D88" i="60"/>
  <c r="E88" i="60"/>
  <c r="C89" i="60"/>
  <c r="D89" i="60"/>
  <c r="E89" i="60"/>
  <c r="C90" i="60"/>
  <c r="D90" i="60"/>
  <c r="E90" i="60"/>
  <c r="C91" i="60"/>
  <c r="D91" i="60"/>
  <c r="E91" i="60"/>
  <c r="C92" i="60"/>
  <c r="D92" i="60"/>
  <c r="E92" i="60"/>
  <c r="C93" i="60"/>
  <c r="D93" i="60"/>
  <c r="E93" i="60"/>
  <c r="C94" i="60"/>
  <c r="D94" i="60"/>
  <c r="E94" i="60"/>
  <c r="C95" i="60"/>
  <c r="D95" i="60"/>
  <c r="E95" i="60"/>
  <c r="C96" i="60"/>
  <c r="D96" i="60"/>
  <c r="E96" i="60"/>
  <c r="C97" i="60"/>
  <c r="D97" i="60"/>
  <c r="E97" i="60"/>
  <c r="C98" i="60"/>
  <c r="D98" i="60"/>
  <c r="E98" i="60"/>
  <c r="C99" i="60"/>
  <c r="D99" i="60"/>
  <c r="E99" i="60"/>
  <c r="C100" i="60"/>
  <c r="D100" i="60"/>
  <c r="E100" i="60"/>
  <c r="C101" i="60"/>
  <c r="D101" i="60"/>
  <c r="E101" i="60"/>
  <c r="C102" i="60"/>
  <c r="D102" i="60"/>
  <c r="E102" i="60"/>
  <c r="C103" i="60"/>
  <c r="D103" i="60"/>
  <c r="E103" i="60"/>
  <c r="C104" i="60"/>
  <c r="D104" i="60"/>
  <c r="E104" i="60"/>
  <c r="C105" i="60"/>
  <c r="D105" i="60"/>
  <c r="E105" i="60"/>
  <c r="C106" i="60"/>
  <c r="D106" i="60"/>
  <c r="E106" i="60"/>
  <c r="C107" i="60"/>
  <c r="D107" i="60"/>
  <c r="E107" i="60"/>
  <c r="C108" i="60"/>
  <c r="D108" i="60"/>
  <c r="E108" i="60"/>
  <c r="C109" i="60"/>
  <c r="D109" i="60"/>
  <c r="E109" i="60"/>
  <c r="C110" i="60"/>
  <c r="D110" i="60"/>
  <c r="E110" i="60"/>
  <c r="C111" i="60"/>
  <c r="D111" i="60"/>
  <c r="E111" i="60"/>
  <c r="C112" i="60"/>
  <c r="D112" i="60"/>
  <c r="E112" i="60"/>
  <c r="C113" i="60"/>
  <c r="D113" i="60"/>
  <c r="E113" i="60"/>
  <c r="C114" i="60"/>
  <c r="D114" i="60"/>
  <c r="E114" i="60"/>
  <c r="C115" i="60"/>
  <c r="D115" i="60"/>
  <c r="E115" i="60"/>
  <c r="C116" i="60"/>
  <c r="D116" i="60"/>
  <c r="E116" i="60"/>
  <c r="C117" i="60"/>
  <c r="D117" i="60"/>
  <c r="E117" i="60"/>
  <c r="C118" i="60"/>
  <c r="D118" i="60"/>
  <c r="E118" i="60"/>
  <c r="C119" i="60"/>
  <c r="D119" i="60"/>
  <c r="E119" i="60"/>
  <c r="C120" i="60"/>
  <c r="D120" i="60"/>
  <c r="E120" i="60"/>
  <c r="C121" i="60"/>
  <c r="D121" i="60"/>
  <c r="E121" i="60"/>
  <c r="C122" i="60"/>
  <c r="D122" i="60"/>
  <c r="E122" i="60"/>
  <c r="C123" i="60"/>
  <c r="D123" i="60"/>
  <c r="E123" i="60"/>
  <c r="C124" i="60"/>
  <c r="D124" i="60"/>
  <c r="E124" i="60"/>
  <c r="C125" i="60"/>
  <c r="D125" i="60"/>
  <c r="E125" i="60"/>
  <c r="C126" i="60"/>
  <c r="D126" i="60"/>
  <c r="E126" i="60"/>
  <c r="C127" i="60"/>
  <c r="D127" i="60"/>
  <c r="E127" i="60"/>
  <c r="C128" i="60"/>
  <c r="D128" i="60"/>
  <c r="E128" i="60"/>
  <c r="C129" i="60"/>
  <c r="D129" i="60"/>
  <c r="E129" i="60"/>
  <c r="C130" i="60"/>
  <c r="D130" i="60"/>
  <c r="E130" i="60"/>
  <c r="C131" i="60"/>
  <c r="D131" i="60"/>
  <c r="E131" i="60"/>
  <c r="C132" i="60"/>
  <c r="D132" i="60"/>
  <c r="E132" i="60"/>
  <c r="C133" i="60"/>
  <c r="D133" i="60"/>
  <c r="E133" i="60"/>
  <c r="C134" i="60"/>
  <c r="D134" i="60"/>
  <c r="E134" i="60"/>
  <c r="C135" i="60"/>
  <c r="D135" i="60"/>
  <c r="E135" i="60"/>
  <c r="C136" i="60"/>
  <c r="D136" i="60"/>
  <c r="E136" i="60"/>
  <c r="C137" i="60"/>
  <c r="D137" i="60"/>
  <c r="E137" i="60"/>
  <c r="C138" i="60"/>
  <c r="D138" i="60"/>
  <c r="E138" i="60"/>
  <c r="C139" i="60"/>
  <c r="D139" i="60"/>
  <c r="E139" i="60"/>
  <c r="C140" i="60"/>
  <c r="D140" i="60"/>
  <c r="E140" i="60"/>
  <c r="C141" i="60"/>
  <c r="D141" i="60"/>
  <c r="E141" i="60"/>
  <c r="C142" i="60"/>
  <c r="D142" i="60"/>
  <c r="E142" i="60"/>
  <c r="C143" i="60"/>
  <c r="D143" i="60"/>
  <c r="E143" i="60"/>
  <c r="C144" i="60"/>
  <c r="D144" i="60"/>
  <c r="E144" i="60"/>
  <c r="C145" i="60"/>
  <c r="D145" i="60"/>
  <c r="E145" i="60"/>
  <c r="C146" i="60"/>
  <c r="D146" i="60"/>
  <c r="E146" i="60"/>
  <c r="C147" i="60"/>
  <c r="D147" i="60"/>
  <c r="E147" i="60"/>
  <c r="C148" i="60"/>
  <c r="D148" i="60"/>
  <c r="E148" i="60"/>
  <c r="C149" i="60"/>
  <c r="D149" i="60"/>
  <c r="E149" i="60"/>
  <c r="C150" i="60"/>
  <c r="D150" i="60"/>
  <c r="E150" i="60"/>
  <c r="C151" i="60"/>
  <c r="D151" i="60"/>
  <c r="E151" i="60"/>
  <c r="C152" i="60"/>
  <c r="D152" i="60"/>
  <c r="E152" i="60"/>
  <c r="C153" i="60"/>
  <c r="D153" i="60"/>
  <c r="E153" i="60"/>
  <c r="C154" i="60"/>
  <c r="D154" i="60"/>
  <c r="E154" i="60"/>
  <c r="C155" i="60"/>
  <c r="D155" i="60"/>
  <c r="E155" i="60"/>
  <c r="C156" i="60"/>
  <c r="D156" i="60"/>
  <c r="E156" i="60"/>
  <c r="C157" i="60"/>
  <c r="D157" i="60"/>
  <c r="E157" i="60"/>
  <c r="C158" i="60"/>
  <c r="D158" i="60"/>
  <c r="E158" i="60"/>
  <c r="C159" i="60"/>
  <c r="D159" i="60"/>
  <c r="E159" i="60"/>
  <c r="C160" i="60"/>
  <c r="D160" i="60"/>
  <c r="E160" i="60"/>
  <c r="C161" i="60"/>
  <c r="D161" i="60"/>
  <c r="E161" i="60"/>
  <c r="C162" i="60"/>
  <c r="D162" i="60"/>
  <c r="E162" i="60"/>
  <c r="C163" i="60"/>
  <c r="D163" i="60"/>
  <c r="E163" i="60"/>
  <c r="C164" i="60"/>
  <c r="D164" i="60"/>
  <c r="E164" i="60"/>
  <c r="C165" i="60"/>
  <c r="D165" i="60"/>
  <c r="E165" i="60"/>
  <c r="C166" i="60"/>
  <c r="D166" i="60"/>
  <c r="E166" i="60"/>
  <c r="C167" i="60"/>
  <c r="D167" i="60"/>
  <c r="E167" i="60"/>
  <c r="C168" i="60"/>
  <c r="D168" i="60"/>
  <c r="E168" i="60"/>
  <c r="C169" i="60"/>
  <c r="D169" i="60"/>
  <c r="E169" i="60"/>
  <c r="C170" i="60"/>
  <c r="D170" i="60"/>
  <c r="E170" i="60"/>
  <c r="C171" i="60"/>
  <c r="D171" i="60"/>
  <c r="E171" i="60"/>
  <c r="C172" i="60"/>
  <c r="D172" i="60"/>
  <c r="E172" i="60"/>
  <c r="C173" i="60"/>
  <c r="D173" i="60"/>
  <c r="E173" i="60"/>
  <c r="C174" i="60"/>
  <c r="D174" i="60"/>
  <c r="E174" i="60"/>
  <c r="C175" i="60"/>
  <c r="D175" i="60"/>
  <c r="E175" i="60"/>
  <c r="C176" i="60"/>
  <c r="D176" i="60"/>
  <c r="E176" i="60"/>
  <c r="C177" i="60"/>
  <c r="D177" i="60"/>
  <c r="E177" i="60"/>
  <c r="C178" i="60"/>
  <c r="D178" i="60"/>
  <c r="E178" i="60"/>
  <c r="C179" i="60"/>
  <c r="D179" i="60"/>
  <c r="E179" i="60"/>
  <c r="C180" i="60"/>
  <c r="D180" i="60"/>
  <c r="E180" i="60"/>
  <c r="C181" i="60"/>
  <c r="D181" i="60"/>
  <c r="E181" i="60"/>
  <c r="C182" i="60"/>
  <c r="D182" i="60"/>
  <c r="E182" i="60"/>
  <c r="C183" i="60"/>
  <c r="D183" i="60"/>
  <c r="E183" i="60"/>
  <c r="C184" i="60"/>
  <c r="D184" i="60"/>
  <c r="E184" i="60"/>
  <c r="C185" i="60"/>
  <c r="D185" i="60"/>
  <c r="E185" i="60"/>
  <c r="C186" i="60"/>
  <c r="D186" i="60"/>
  <c r="E186" i="60"/>
  <c r="C187" i="60"/>
  <c r="D187" i="60"/>
  <c r="E187" i="60"/>
  <c r="C188" i="60"/>
  <c r="D188" i="60"/>
  <c r="E188" i="60"/>
  <c r="C189" i="60"/>
  <c r="D189" i="60"/>
  <c r="E189" i="60"/>
  <c r="C190" i="60"/>
  <c r="D190" i="60"/>
  <c r="E190" i="60"/>
  <c r="C191" i="60"/>
  <c r="D191" i="60"/>
  <c r="E191" i="60"/>
  <c r="C192" i="60"/>
  <c r="D192" i="60"/>
  <c r="E192" i="60"/>
  <c r="C193" i="60"/>
  <c r="D193" i="60"/>
  <c r="E193" i="60"/>
  <c r="C194" i="60"/>
  <c r="D194" i="60"/>
  <c r="E194" i="60"/>
  <c r="C195" i="60"/>
  <c r="D195" i="60"/>
  <c r="E195" i="60"/>
  <c r="C196" i="60"/>
  <c r="D196" i="60"/>
  <c r="E196" i="60"/>
  <c r="C197" i="60"/>
  <c r="D197" i="60"/>
  <c r="E197" i="60"/>
  <c r="C198" i="60"/>
  <c r="D198" i="60"/>
  <c r="E198" i="60"/>
  <c r="C199" i="60"/>
  <c r="D199" i="60"/>
  <c r="E199" i="60"/>
  <c r="C200" i="60"/>
  <c r="D200" i="60"/>
  <c r="E200" i="60"/>
  <c r="C201" i="60"/>
  <c r="D201" i="60"/>
  <c r="E201" i="60"/>
  <c r="C202" i="60"/>
  <c r="D202" i="60"/>
  <c r="E202" i="60"/>
  <c r="C203" i="60"/>
  <c r="D203" i="60"/>
  <c r="E203" i="60"/>
  <c r="C204" i="60"/>
  <c r="D204" i="60"/>
  <c r="E204" i="60"/>
  <c r="C205" i="60"/>
  <c r="D205" i="60"/>
  <c r="E205" i="60"/>
  <c r="C206" i="60"/>
  <c r="D206" i="60"/>
  <c r="E206" i="60"/>
  <c r="C207" i="60"/>
  <c r="D207" i="60"/>
  <c r="E207" i="60"/>
  <c r="C208" i="60"/>
  <c r="D208" i="60"/>
  <c r="E208" i="60"/>
  <c r="C209" i="60"/>
  <c r="D209" i="60"/>
  <c r="E209" i="60"/>
  <c r="C210" i="60"/>
  <c r="D210" i="60"/>
  <c r="E210" i="60"/>
  <c r="C211" i="60"/>
  <c r="D211" i="60"/>
  <c r="E211" i="60"/>
  <c r="C212" i="60"/>
  <c r="D212" i="60"/>
  <c r="E212" i="60"/>
  <c r="C213" i="60"/>
  <c r="D213" i="60"/>
  <c r="E213" i="60"/>
  <c r="C214" i="60"/>
  <c r="D214" i="60"/>
  <c r="E214" i="60"/>
  <c r="C215" i="60"/>
  <c r="D215" i="60"/>
  <c r="E215" i="60"/>
  <c r="C216" i="60"/>
  <c r="D216" i="60"/>
  <c r="E216" i="60"/>
  <c r="C217" i="60"/>
  <c r="D217" i="60"/>
  <c r="E217" i="60"/>
  <c r="C218" i="60"/>
  <c r="D218" i="60"/>
  <c r="E218" i="60"/>
  <c r="C219" i="60"/>
  <c r="D219" i="60"/>
  <c r="E219" i="60"/>
  <c r="C220" i="60"/>
  <c r="D220" i="60"/>
  <c r="E220" i="60"/>
  <c r="C221" i="60"/>
  <c r="D221" i="60"/>
  <c r="E221" i="60"/>
  <c r="C222" i="60"/>
  <c r="D222" i="60"/>
  <c r="E222" i="60"/>
  <c r="C223" i="60"/>
  <c r="D223" i="60"/>
  <c r="E223" i="60"/>
  <c r="C224" i="60"/>
  <c r="D224" i="60"/>
  <c r="E224" i="60"/>
  <c r="C225" i="60"/>
  <c r="D225" i="60"/>
  <c r="E225" i="60"/>
  <c r="C226" i="60"/>
  <c r="D226" i="60"/>
  <c r="E226" i="60"/>
  <c r="C227" i="60"/>
  <c r="D227" i="60"/>
  <c r="E227" i="60"/>
  <c r="C228" i="60"/>
  <c r="D228" i="60"/>
  <c r="E228" i="60"/>
  <c r="C229" i="60"/>
  <c r="D229" i="60"/>
  <c r="E229" i="60"/>
  <c r="C230" i="60"/>
  <c r="D230" i="60"/>
  <c r="E230" i="60"/>
  <c r="C231" i="60"/>
  <c r="D231" i="60"/>
  <c r="E231" i="60"/>
  <c r="C232" i="60"/>
  <c r="D232" i="60"/>
  <c r="E232" i="60"/>
  <c r="C233" i="60"/>
  <c r="D233" i="60"/>
  <c r="E233" i="60"/>
  <c r="C234" i="60"/>
  <c r="D234" i="60"/>
  <c r="E234" i="60"/>
  <c r="C235" i="60"/>
  <c r="D235" i="60"/>
  <c r="E235" i="60"/>
  <c r="C236" i="60"/>
  <c r="D236" i="60"/>
  <c r="E236" i="60"/>
  <c r="C237" i="60"/>
  <c r="D237" i="60"/>
  <c r="E237" i="60"/>
  <c r="C238" i="60"/>
  <c r="D238" i="60"/>
  <c r="E238" i="60"/>
  <c r="C239" i="60"/>
  <c r="D239" i="60"/>
  <c r="E239" i="60"/>
  <c r="C240" i="60"/>
  <c r="D240" i="60"/>
  <c r="E240" i="60"/>
  <c r="C241" i="60"/>
  <c r="D241" i="60"/>
  <c r="E241" i="60"/>
  <c r="C242" i="60"/>
  <c r="D242" i="60"/>
  <c r="E242" i="60"/>
  <c r="C243" i="60"/>
  <c r="D243" i="60"/>
  <c r="E243" i="60"/>
  <c r="C244" i="60"/>
  <c r="D244" i="60"/>
  <c r="E244" i="60"/>
  <c r="C245" i="60"/>
  <c r="D245" i="60"/>
  <c r="E245" i="60"/>
  <c r="C246" i="60"/>
  <c r="D246" i="60"/>
  <c r="E246" i="60"/>
  <c r="C247" i="60"/>
  <c r="D247" i="60"/>
  <c r="E247" i="60"/>
  <c r="C248" i="60"/>
  <c r="D248" i="60"/>
  <c r="E248" i="60"/>
  <c r="C249" i="60"/>
  <c r="D249" i="60"/>
  <c r="E249" i="60"/>
  <c r="C250" i="60"/>
  <c r="D250" i="60"/>
  <c r="E250" i="60"/>
  <c r="C251" i="60"/>
  <c r="D251" i="60"/>
  <c r="E251" i="60"/>
  <c r="C252" i="60"/>
  <c r="D252" i="60"/>
  <c r="E252" i="60"/>
  <c r="C253" i="60"/>
  <c r="D253" i="60"/>
  <c r="E253" i="60"/>
  <c r="B254" i="60"/>
  <c r="C254" i="60"/>
  <c r="D254" i="60"/>
  <c r="E254" i="60"/>
  <c r="C255" i="60"/>
  <c r="D255" i="60"/>
  <c r="E255" i="60"/>
  <c r="C256" i="60"/>
  <c r="D256" i="60"/>
  <c r="E256" i="60"/>
  <c r="C257" i="60"/>
  <c r="D257" i="60"/>
  <c r="E257" i="60"/>
  <c r="C258" i="60"/>
  <c r="D258" i="60"/>
  <c r="E258" i="60"/>
  <c r="C259" i="60"/>
  <c r="D259" i="60"/>
  <c r="E259" i="60"/>
  <c r="C260" i="60"/>
  <c r="D260" i="60"/>
  <c r="E260" i="60"/>
  <c r="C261" i="60"/>
  <c r="D261" i="60"/>
  <c r="E261" i="60"/>
  <c r="C262" i="60"/>
  <c r="D262" i="60"/>
  <c r="E262" i="60"/>
  <c r="C263" i="60"/>
  <c r="D263" i="60"/>
  <c r="E263" i="60"/>
  <c r="C264" i="60"/>
  <c r="D264" i="60"/>
  <c r="E264" i="60"/>
  <c r="C265" i="60"/>
  <c r="D265" i="60"/>
  <c r="E265" i="60"/>
  <c r="C266" i="60"/>
  <c r="D266" i="60"/>
  <c r="E266" i="60"/>
  <c r="B267" i="60"/>
  <c r="D3" i="11408"/>
  <c r="E3" i="11408"/>
  <c r="F3" i="11408"/>
  <c r="G3" i="11408"/>
  <c r="H3" i="11408"/>
  <c r="I3" i="11408"/>
  <c r="J3" i="11408"/>
  <c r="K3" i="11408"/>
  <c r="L3" i="11408"/>
  <c r="M3" i="11408"/>
  <c r="N3" i="11408"/>
  <c r="O3" i="11408"/>
  <c r="P3" i="11408"/>
  <c r="Q3" i="11408"/>
  <c r="R3" i="11408"/>
  <c r="S3" i="11408"/>
  <c r="T3" i="11408"/>
  <c r="U3" i="11408"/>
  <c r="V3" i="11408"/>
  <c r="W3" i="11408"/>
  <c r="D4" i="11408"/>
  <c r="E4" i="11408"/>
  <c r="F4" i="11408"/>
  <c r="G4" i="11408"/>
  <c r="H4" i="11408"/>
  <c r="I4" i="11408"/>
  <c r="J4" i="11408"/>
  <c r="K4" i="11408"/>
  <c r="L4" i="11408"/>
  <c r="M4" i="11408"/>
  <c r="N4" i="11408"/>
  <c r="O4" i="11408"/>
  <c r="P4" i="11408"/>
  <c r="Q4" i="11408"/>
  <c r="R4" i="11408"/>
  <c r="S4" i="11408"/>
  <c r="T4" i="11408"/>
  <c r="U4" i="11408"/>
  <c r="V4" i="11408"/>
  <c r="W4" i="11408"/>
  <c r="C5" i="11408"/>
  <c r="D5" i="11408"/>
  <c r="E5" i="11408"/>
  <c r="F5" i="11408"/>
  <c r="G5" i="11408"/>
  <c r="H5" i="11408"/>
  <c r="I5" i="11408"/>
  <c r="J5" i="11408"/>
  <c r="K5" i="11408"/>
  <c r="L5" i="11408"/>
  <c r="M5" i="11408"/>
  <c r="N5" i="11408"/>
  <c r="O5" i="11408"/>
  <c r="P5" i="11408"/>
  <c r="Q5" i="11408"/>
  <c r="R5" i="11408"/>
  <c r="S5" i="11408"/>
  <c r="T5" i="11408"/>
  <c r="U5" i="11408"/>
  <c r="V5" i="11408"/>
  <c r="W5" i="11408"/>
  <c r="X5" i="11408"/>
  <c r="Z5" i="11408"/>
  <c r="C6" i="11408"/>
  <c r="D6" i="11408"/>
  <c r="E6" i="11408"/>
  <c r="F6" i="11408"/>
  <c r="G6" i="11408"/>
  <c r="H6" i="11408"/>
  <c r="I6" i="11408"/>
  <c r="J6" i="11408"/>
  <c r="K6" i="11408"/>
  <c r="L6" i="11408"/>
  <c r="M6" i="11408"/>
  <c r="N6" i="11408"/>
  <c r="O6" i="11408"/>
  <c r="P6" i="11408"/>
  <c r="Q6" i="11408"/>
  <c r="R6" i="11408"/>
  <c r="S6" i="11408"/>
  <c r="T6" i="11408"/>
  <c r="U6" i="11408"/>
  <c r="V6" i="11408"/>
  <c r="W6" i="11408"/>
  <c r="X6" i="11408"/>
  <c r="Z6" i="11408"/>
  <c r="C8" i="11408"/>
  <c r="D8" i="11408"/>
  <c r="E8" i="11408"/>
  <c r="F8" i="11408"/>
  <c r="G8" i="11408"/>
  <c r="H8" i="11408"/>
  <c r="I8" i="11408"/>
  <c r="J8" i="11408"/>
  <c r="K8" i="11408"/>
  <c r="L8" i="11408"/>
  <c r="M8" i="11408"/>
  <c r="N8" i="11408"/>
  <c r="O8" i="11408"/>
  <c r="P8" i="11408"/>
  <c r="Q8" i="11408"/>
  <c r="R8" i="11408"/>
  <c r="S8" i="11408"/>
  <c r="T8" i="11408"/>
  <c r="U8" i="11408"/>
  <c r="V8" i="11408"/>
  <c r="W8" i="11408"/>
  <c r="X8" i="11408"/>
  <c r="C10" i="11408"/>
  <c r="D10" i="11408"/>
  <c r="E10" i="11408"/>
  <c r="F10" i="11408"/>
  <c r="G10" i="11408"/>
  <c r="H10" i="11408"/>
  <c r="I10" i="11408"/>
  <c r="J10" i="11408"/>
  <c r="K10" i="11408"/>
  <c r="L10" i="11408"/>
  <c r="M10" i="11408"/>
  <c r="N10" i="11408"/>
  <c r="O10" i="11408"/>
  <c r="P10" i="11408"/>
  <c r="Q10" i="11408"/>
  <c r="R10" i="11408"/>
  <c r="S10" i="11408"/>
  <c r="T10" i="11408"/>
  <c r="U10" i="11408"/>
  <c r="V10" i="11408"/>
  <c r="W10" i="11408"/>
  <c r="C11" i="11408"/>
  <c r="D11" i="11408"/>
  <c r="E11" i="11408"/>
  <c r="F11" i="11408"/>
  <c r="G11" i="11408"/>
  <c r="H11" i="11408"/>
  <c r="I11" i="11408"/>
  <c r="J11" i="11408"/>
  <c r="K11" i="11408"/>
  <c r="L11" i="11408"/>
  <c r="M11" i="11408"/>
  <c r="N11" i="11408"/>
  <c r="O11" i="11408"/>
  <c r="P11" i="11408"/>
  <c r="Q11" i="11408"/>
  <c r="R11" i="11408"/>
  <c r="S11" i="11408"/>
  <c r="T11" i="11408"/>
  <c r="U11" i="11408"/>
  <c r="V11" i="11408"/>
  <c r="W11" i="11408"/>
  <c r="C12" i="11408"/>
  <c r="D12" i="11408"/>
  <c r="E12" i="11408"/>
  <c r="F12" i="11408"/>
  <c r="G12" i="11408"/>
  <c r="H12" i="11408"/>
  <c r="I12" i="11408"/>
  <c r="J12" i="11408"/>
  <c r="K12" i="11408"/>
  <c r="L12" i="11408"/>
  <c r="M12" i="11408"/>
  <c r="N12" i="11408"/>
  <c r="O12" i="11408"/>
  <c r="P12" i="11408"/>
  <c r="Q12" i="11408"/>
  <c r="R12" i="11408"/>
  <c r="S12" i="11408"/>
  <c r="T12" i="11408"/>
  <c r="U12" i="11408"/>
  <c r="V12" i="11408"/>
  <c r="W12" i="11408"/>
  <c r="C15" i="11408"/>
  <c r="D15" i="11408"/>
  <c r="E15" i="11408"/>
  <c r="F15" i="11408"/>
  <c r="G15" i="11408"/>
  <c r="H15" i="11408"/>
  <c r="I15" i="11408"/>
  <c r="J15" i="11408"/>
  <c r="K15" i="11408"/>
  <c r="L15" i="11408"/>
  <c r="M15" i="11408"/>
  <c r="N15" i="11408"/>
  <c r="O15" i="11408"/>
  <c r="P15" i="11408"/>
  <c r="Q15" i="11408"/>
  <c r="R15" i="11408"/>
  <c r="S15" i="11408"/>
  <c r="T15" i="11408"/>
  <c r="U15" i="11408"/>
  <c r="V15" i="11408"/>
  <c r="C16" i="11408"/>
  <c r="D16" i="11408"/>
  <c r="E16" i="11408"/>
  <c r="F16" i="11408"/>
  <c r="G16" i="11408"/>
  <c r="H16" i="11408"/>
  <c r="I16" i="11408"/>
  <c r="J16" i="11408"/>
  <c r="K16" i="11408"/>
  <c r="L16" i="11408"/>
  <c r="M16" i="11408"/>
  <c r="N16" i="11408"/>
  <c r="O16" i="11408"/>
  <c r="P16" i="11408"/>
  <c r="Q16" i="11408"/>
  <c r="R16" i="11408"/>
  <c r="S16" i="11408"/>
  <c r="T16" i="11408"/>
  <c r="U16" i="11408"/>
  <c r="V16" i="11408"/>
  <c r="C17" i="11408"/>
  <c r="D17" i="11408"/>
  <c r="E17" i="11408"/>
  <c r="F17" i="11408"/>
  <c r="G17" i="11408"/>
  <c r="H17" i="11408"/>
  <c r="I17" i="11408"/>
  <c r="J17" i="11408"/>
  <c r="K17" i="11408"/>
  <c r="L17" i="11408"/>
  <c r="M17" i="11408"/>
  <c r="N17" i="11408"/>
  <c r="O17" i="11408"/>
  <c r="P17" i="11408"/>
  <c r="Q17" i="11408"/>
  <c r="R17" i="11408"/>
  <c r="S17" i="11408"/>
  <c r="T17" i="11408"/>
  <c r="U17" i="11408"/>
  <c r="V17" i="11408"/>
  <c r="D20" i="11408"/>
  <c r="E20" i="11408"/>
  <c r="F20" i="11408"/>
  <c r="G20" i="11408"/>
  <c r="H20" i="11408"/>
  <c r="I20" i="11408"/>
  <c r="J20" i="11408"/>
  <c r="K20" i="11408"/>
  <c r="L20" i="11408"/>
  <c r="M20" i="11408"/>
  <c r="N20" i="11408"/>
  <c r="O20" i="11408"/>
  <c r="P20" i="11408"/>
  <c r="Q20" i="11408"/>
  <c r="R20" i="11408"/>
  <c r="S20" i="11408"/>
  <c r="T20" i="11408"/>
  <c r="U20" i="11408"/>
  <c r="V20" i="11408"/>
  <c r="W20" i="11408"/>
  <c r="X21" i="11408"/>
  <c r="X22" i="11408"/>
  <c r="C23" i="11408"/>
  <c r="D23" i="11408"/>
  <c r="E23" i="11408"/>
  <c r="F23" i="11408"/>
  <c r="G23" i="11408"/>
  <c r="H23" i="11408"/>
  <c r="I23" i="11408"/>
  <c r="J23" i="11408"/>
  <c r="K23" i="11408"/>
  <c r="L23" i="11408"/>
  <c r="M23" i="11408"/>
  <c r="N23" i="11408"/>
  <c r="O23" i="11408"/>
  <c r="P23" i="11408"/>
  <c r="Q23" i="11408"/>
  <c r="R23" i="11408"/>
  <c r="S23" i="11408"/>
  <c r="T23" i="11408"/>
  <c r="U23" i="11408"/>
  <c r="V23" i="11408"/>
  <c r="W23" i="11408"/>
  <c r="X23" i="11408"/>
  <c r="C24" i="11408"/>
  <c r="D24" i="11408"/>
  <c r="E24" i="11408"/>
  <c r="F24" i="11408"/>
  <c r="G24" i="11408"/>
  <c r="H24" i="11408"/>
  <c r="I24" i="11408"/>
  <c r="J24" i="11408"/>
  <c r="K24" i="11408"/>
  <c r="L24" i="11408"/>
  <c r="M24" i="11408"/>
  <c r="N24" i="11408"/>
  <c r="O24" i="11408"/>
  <c r="P24" i="11408"/>
  <c r="Q24" i="11408"/>
  <c r="R24" i="11408"/>
  <c r="S24" i="11408"/>
  <c r="T24" i="11408"/>
  <c r="U24" i="11408"/>
  <c r="V24" i="11408"/>
  <c r="W24" i="11408"/>
  <c r="X24" i="11408"/>
  <c r="X27" i="11408"/>
  <c r="X28" i="11408"/>
  <c r="X29" i="11408"/>
  <c r="C30" i="11408"/>
  <c r="D30" i="11408"/>
  <c r="E30" i="11408"/>
  <c r="F30" i="11408"/>
  <c r="G30" i="11408"/>
  <c r="H30" i="11408"/>
  <c r="I30" i="11408"/>
  <c r="J30" i="11408"/>
  <c r="K30" i="11408"/>
  <c r="L30" i="11408"/>
  <c r="M30" i="11408"/>
  <c r="N30" i="11408"/>
  <c r="O30" i="11408"/>
  <c r="P30" i="11408"/>
  <c r="Q30" i="11408"/>
  <c r="R30" i="11408"/>
  <c r="S30" i="11408"/>
  <c r="T30" i="11408"/>
  <c r="U30" i="11408"/>
  <c r="V30" i="11408"/>
  <c r="X30" i="11408"/>
  <c r="C31" i="11408"/>
  <c r="D31" i="11408"/>
  <c r="E31" i="11408"/>
  <c r="F31" i="11408"/>
  <c r="G31" i="11408"/>
  <c r="H31" i="11408"/>
  <c r="I31" i="11408"/>
  <c r="J31" i="11408"/>
  <c r="K31" i="11408"/>
  <c r="L31" i="11408"/>
  <c r="M31" i="11408"/>
  <c r="N31" i="11408"/>
  <c r="O31" i="11408"/>
  <c r="P31" i="11408"/>
  <c r="Q31" i="11408"/>
  <c r="R31" i="11408"/>
  <c r="S31" i="11408"/>
  <c r="T31" i="11408"/>
  <c r="U31" i="11408"/>
  <c r="V31" i="11408"/>
  <c r="X31" i="11408"/>
  <c r="C33" i="11408"/>
  <c r="D33" i="11408"/>
  <c r="E33" i="11408"/>
  <c r="F33" i="11408"/>
  <c r="G33" i="11408"/>
  <c r="H33" i="11408"/>
  <c r="I33" i="11408"/>
  <c r="J33" i="11408"/>
  <c r="K33" i="11408"/>
  <c r="L33" i="11408"/>
  <c r="M33" i="11408"/>
  <c r="N33" i="11408"/>
  <c r="O33" i="11408"/>
  <c r="P33" i="11408"/>
  <c r="Q33" i="11408"/>
  <c r="R33" i="11408"/>
  <c r="S33" i="11408"/>
  <c r="T33" i="11408"/>
  <c r="U33" i="11408"/>
  <c r="V33" i="11408"/>
  <c r="W33" i="11408"/>
  <c r="X33" i="11408"/>
  <c r="C34" i="11408"/>
  <c r="D34" i="11408"/>
  <c r="E34" i="11408"/>
  <c r="F34" i="11408"/>
  <c r="G34" i="11408"/>
  <c r="H34" i="11408"/>
  <c r="I34" i="11408"/>
  <c r="J34" i="11408"/>
  <c r="K34" i="11408"/>
  <c r="L34" i="11408"/>
  <c r="M34" i="11408"/>
  <c r="N34" i="11408"/>
  <c r="O34" i="11408"/>
  <c r="P34" i="11408"/>
  <c r="Q34" i="11408"/>
  <c r="R34" i="11408"/>
  <c r="S34" i="11408"/>
  <c r="T34" i="11408"/>
  <c r="U34" i="11408"/>
  <c r="V34" i="11408"/>
  <c r="W34" i="11408"/>
  <c r="X34" i="11408"/>
  <c r="C35" i="11408"/>
  <c r="D35" i="11408"/>
  <c r="E35" i="11408"/>
  <c r="F35" i="11408"/>
  <c r="G35" i="11408"/>
  <c r="H35" i="11408"/>
  <c r="I35" i="11408"/>
  <c r="J35" i="11408"/>
  <c r="K35" i="11408"/>
  <c r="L35" i="11408"/>
  <c r="M35" i="11408"/>
  <c r="N35" i="11408"/>
  <c r="O35" i="11408"/>
  <c r="P35" i="11408"/>
  <c r="Q35" i="11408"/>
  <c r="R35" i="11408"/>
  <c r="S35" i="11408"/>
  <c r="T35" i="11408"/>
  <c r="U35" i="11408"/>
  <c r="V35" i="11408"/>
  <c r="W35" i="11408"/>
  <c r="X35" i="11408"/>
  <c r="X37" i="11408"/>
  <c r="C38" i="11408"/>
  <c r="D38" i="11408"/>
  <c r="E38" i="11408"/>
  <c r="F38" i="11408"/>
  <c r="G38" i="11408"/>
  <c r="H38" i="11408"/>
  <c r="I38" i="11408"/>
  <c r="J38" i="11408"/>
  <c r="K38" i="11408"/>
  <c r="L38" i="11408"/>
  <c r="M38" i="11408"/>
  <c r="N38" i="11408"/>
  <c r="O38" i="11408"/>
  <c r="P38" i="11408"/>
  <c r="Q38" i="11408"/>
  <c r="R38" i="11408"/>
  <c r="S38" i="11408"/>
  <c r="T38" i="11408"/>
  <c r="U38" i="11408"/>
  <c r="V38" i="11408"/>
  <c r="X38" i="11408"/>
  <c r="C40" i="11408"/>
  <c r="D40" i="11408"/>
  <c r="E40" i="11408"/>
  <c r="F40" i="11408"/>
  <c r="G40" i="11408"/>
  <c r="H40" i="11408"/>
  <c r="I40" i="11408"/>
  <c r="J40" i="11408"/>
  <c r="K40" i="11408"/>
  <c r="L40" i="11408"/>
  <c r="M40" i="11408"/>
  <c r="N40" i="11408"/>
  <c r="O40" i="11408"/>
  <c r="P40" i="11408"/>
  <c r="Q40" i="11408"/>
  <c r="R40" i="11408"/>
  <c r="S40" i="11408"/>
  <c r="T40" i="11408"/>
  <c r="U40" i="11408"/>
  <c r="V40" i="11408"/>
  <c r="W40" i="11408"/>
  <c r="X40" i="11408"/>
  <c r="X42" i="11408"/>
  <c r="C43" i="11408"/>
  <c r="D43" i="11408"/>
  <c r="E43" i="11408"/>
  <c r="F43" i="11408"/>
  <c r="G43" i="11408"/>
  <c r="H43" i="11408"/>
  <c r="I43" i="11408"/>
  <c r="J43" i="11408"/>
  <c r="K43" i="11408"/>
  <c r="L43" i="11408"/>
  <c r="M43" i="11408"/>
  <c r="N43" i="11408"/>
  <c r="O43" i="11408"/>
  <c r="P43" i="11408"/>
  <c r="Q43" i="11408"/>
  <c r="R43" i="11408"/>
  <c r="S43" i="11408"/>
  <c r="T43" i="11408"/>
  <c r="U43" i="11408"/>
  <c r="V43" i="11408"/>
  <c r="X43" i="11408"/>
  <c r="C46" i="11408"/>
  <c r="D46" i="11408"/>
  <c r="E46" i="11408"/>
  <c r="F46" i="11408"/>
  <c r="G46" i="11408"/>
  <c r="H46" i="11408"/>
  <c r="I46" i="11408"/>
  <c r="J46" i="11408"/>
  <c r="K46" i="11408"/>
  <c r="L46" i="11408"/>
  <c r="M46" i="11408"/>
  <c r="N46" i="11408"/>
  <c r="O46" i="11408"/>
  <c r="P46" i="11408"/>
  <c r="Q46" i="11408"/>
  <c r="R46" i="11408"/>
  <c r="S46" i="11408"/>
  <c r="T46" i="11408"/>
  <c r="U46" i="11408"/>
  <c r="V46" i="11408"/>
  <c r="W46" i="11408"/>
  <c r="X46" i="11408"/>
  <c r="C47" i="11408"/>
  <c r="D47" i="11408"/>
  <c r="E47" i="11408"/>
  <c r="F47" i="11408"/>
  <c r="G47" i="11408"/>
  <c r="H47" i="11408"/>
  <c r="I47" i="11408"/>
  <c r="J47" i="11408"/>
  <c r="K47" i="11408"/>
  <c r="L47" i="11408"/>
  <c r="M47" i="11408"/>
  <c r="N47" i="11408"/>
  <c r="O47" i="11408"/>
  <c r="P47" i="11408"/>
  <c r="Q47" i="11408"/>
  <c r="R47" i="11408"/>
  <c r="S47" i="11408"/>
  <c r="T47" i="11408"/>
  <c r="U47" i="11408"/>
  <c r="V47" i="11408"/>
  <c r="W47" i="11408"/>
  <c r="X47" i="11408"/>
  <c r="C48" i="11408"/>
  <c r="D48" i="11408"/>
  <c r="E48" i="11408"/>
  <c r="F48" i="11408"/>
  <c r="G48" i="11408"/>
  <c r="H48" i="11408"/>
  <c r="I48" i="11408"/>
  <c r="J48" i="11408"/>
  <c r="K48" i="11408"/>
  <c r="L48" i="11408"/>
  <c r="M48" i="11408"/>
  <c r="N48" i="11408"/>
  <c r="O48" i="11408"/>
  <c r="P48" i="11408"/>
  <c r="Q48" i="11408"/>
  <c r="R48" i="11408"/>
  <c r="S48" i="11408"/>
  <c r="T48" i="11408"/>
  <c r="U48" i="11408"/>
  <c r="V48" i="11408"/>
  <c r="W48" i="11408"/>
  <c r="X48" i="11408"/>
  <c r="C49" i="11408"/>
  <c r="D49" i="11408"/>
  <c r="E49" i="11408"/>
  <c r="F49" i="11408"/>
  <c r="G49" i="11408"/>
  <c r="H49" i="11408"/>
  <c r="I49" i="11408"/>
  <c r="J49" i="11408"/>
  <c r="K49" i="11408"/>
  <c r="L49" i="11408"/>
  <c r="M49" i="11408"/>
  <c r="N49" i="11408"/>
  <c r="O49" i="11408"/>
  <c r="P49" i="11408"/>
  <c r="Q49" i="11408"/>
  <c r="R49" i="11408"/>
  <c r="S49" i="11408"/>
  <c r="T49" i="11408"/>
  <c r="U49" i="11408"/>
  <c r="V49" i="11408"/>
  <c r="W49" i="11408"/>
  <c r="X49" i="11408"/>
  <c r="X51" i="11408"/>
  <c r="C53" i="11408"/>
  <c r="D53" i="11408"/>
  <c r="E53" i="11408"/>
  <c r="F53" i="11408"/>
  <c r="G53" i="11408"/>
  <c r="H53" i="11408"/>
  <c r="I53" i="11408"/>
  <c r="J53" i="11408"/>
  <c r="K53" i="11408"/>
  <c r="L53" i="11408"/>
  <c r="M53" i="11408"/>
  <c r="N53" i="11408"/>
  <c r="O53" i="11408"/>
  <c r="P53" i="11408"/>
  <c r="Q53" i="11408"/>
  <c r="R53" i="11408"/>
  <c r="S53" i="11408"/>
  <c r="T53" i="11408"/>
  <c r="U53" i="11408"/>
  <c r="V53" i="11408"/>
  <c r="W53" i="11408"/>
  <c r="X53" i="11408"/>
  <c r="D56" i="11408"/>
  <c r="E56" i="11408"/>
  <c r="F56" i="11408"/>
  <c r="G56" i="11408"/>
  <c r="H56" i="11408"/>
  <c r="I56" i="11408"/>
  <c r="J56" i="11408"/>
  <c r="K56" i="11408"/>
  <c r="L56" i="11408"/>
  <c r="M56" i="11408"/>
  <c r="N56" i="11408"/>
  <c r="O56" i="11408"/>
  <c r="P56" i="11408"/>
  <c r="Q56" i="11408"/>
  <c r="R56" i="11408"/>
  <c r="S56" i="11408"/>
  <c r="T56" i="11408"/>
  <c r="U56" i="11408"/>
  <c r="V56" i="11408"/>
  <c r="W56" i="11408"/>
  <c r="C57" i="11408"/>
  <c r="D57" i="11408"/>
  <c r="E57" i="11408"/>
  <c r="F57" i="11408"/>
  <c r="G57" i="11408"/>
  <c r="H57" i="11408"/>
  <c r="I57" i="11408"/>
  <c r="J57" i="11408"/>
  <c r="K57" i="11408"/>
  <c r="L57" i="11408"/>
  <c r="M57" i="11408"/>
  <c r="N57" i="11408"/>
  <c r="O57" i="11408"/>
  <c r="P57" i="11408"/>
  <c r="Q57" i="11408"/>
  <c r="R57" i="11408"/>
  <c r="S57" i="11408"/>
  <c r="T57" i="11408"/>
  <c r="U57" i="11408"/>
  <c r="V57" i="11408"/>
  <c r="W57" i="11408"/>
  <c r="X57" i="11408"/>
  <c r="C58" i="11408"/>
  <c r="D58" i="11408"/>
  <c r="E58" i="11408"/>
  <c r="F58" i="11408"/>
  <c r="G58" i="11408"/>
  <c r="H58" i="11408"/>
  <c r="I58" i="11408"/>
  <c r="J58" i="11408"/>
  <c r="K58" i="11408"/>
  <c r="L58" i="11408"/>
  <c r="M58" i="11408"/>
  <c r="N58" i="11408"/>
  <c r="O58" i="11408"/>
  <c r="P58" i="11408"/>
  <c r="Q58" i="11408"/>
  <c r="R58" i="11408"/>
  <c r="S58" i="11408"/>
  <c r="T58" i="11408"/>
  <c r="U58" i="11408"/>
  <c r="V58" i="11408"/>
  <c r="W58" i="11408"/>
  <c r="X58" i="11408"/>
  <c r="C59" i="11408"/>
  <c r="D59" i="11408"/>
  <c r="E59" i="11408"/>
  <c r="F59" i="11408"/>
  <c r="G59" i="11408"/>
  <c r="H59" i="11408"/>
  <c r="I59" i="11408"/>
  <c r="J59" i="11408"/>
  <c r="K59" i="11408"/>
  <c r="L59" i="11408"/>
  <c r="M59" i="11408"/>
  <c r="N59" i="11408"/>
  <c r="O59" i="11408"/>
  <c r="P59" i="11408"/>
  <c r="Q59" i="11408"/>
  <c r="R59" i="11408"/>
  <c r="S59" i="11408"/>
  <c r="T59" i="11408"/>
  <c r="U59" i="11408"/>
  <c r="V59" i="11408"/>
  <c r="W59" i="11408"/>
  <c r="X59" i="11408"/>
  <c r="C60" i="11408"/>
  <c r="D60" i="11408"/>
  <c r="E60" i="11408"/>
  <c r="F60" i="11408"/>
  <c r="G60" i="11408"/>
  <c r="H60" i="11408"/>
  <c r="I60" i="11408"/>
  <c r="J60" i="11408"/>
  <c r="K60" i="11408"/>
  <c r="L60" i="11408"/>
  <c r="M60" i="11408"/>
  <c r="N60" i="11408"/>
  <c r="O60" i="11408"/>
  <c r="P60" i="11408"/>
  <c r="Q60" i="11408"/>
  <c r="R60" i="11408"/>
  <c r="S60" i="11408"/>
  <c r="T60" i="11408"/>
  <c r="U60" i="11408"/>
  <c r="V60" i="11408"/>
  <c r="W60" i="11408"/>
  <c r="X60" i="11408"/>
  <c r="C62" i="11408"/>
  <c r="D62" i="11408"/>
  <c r="E62" i="11408"/>
  <c r="F62" i="11408"/>
  <c r="G62" i="11408"/>
  <c r="H62" i="11408"/>
  <c r="I62" i="11408"/>
  <c r="J62" i="11408"/>
  <c r="K62" i="11408"/>
  <c r="L62" i="11408"/>
  <c r="M62" i="11408"/>
  <c r="N62" i="11408"/>
  <c r="O62" i="11408"/>
  <c r="P62" i="11408"/>
  <c r="Q62" i="11408"/>
  <c r="R62" i="11408"/>
  <c r="S62" i="11408"/>
  <c r="T62" i="11408"/>
  <c r="U62" i="11408"/>
  <c r="V62" i="11408"/>
  <c r="W62" i="11408"/>
  <c r="X62" i="11408"/>
  <c r="C63" i="11408"/>
  <c r="D63" i="11408"/>
  <c r="E63" i="11408"/>
  <c r="F63" i="11408"/>
  <c r="G63" i="11408"/>
  <c r="H63" i="11408"/>
  <c r="I63" i="11408"/>
  <c r="J63" i="11408"/>
  <c r="K63" i="11408"/>
  <c r="L63" i="11408"/>
  <c r="M63" i="11408"/>
  <c r="N63" i="11408"/>
  <c r="O63" i="11408"/>
  <c r="P63" i="11408"/>
  <c r="Q63" i="11408"/>
  <c r="R63" i="11408"/>
  <c r="S63" i="11408"/>
  <c r="T63" i="11408"/>
  <c r="U63" i="11408"/>
  <c r="V63" i="11408"/>
  <c r="W63" i="11408"/>
  <c r="X63" i="11408"/>
  <c r="D65" i="11408"/>
  <c r="E65" i="11408"/>
  <c r="F65" i="11408"/>
  <c r="G65" i="11408"/>
  <c r="H65" i="11408"/>
  <c r="I65" i="11408"/>
  <c r="J65" i="11408"/>
  <c r="K65" i="11408"/>
  <c r="L65" i="11408"/>
  <c r="M65" i="11408"/>
  <c r="N65" i="11408"/>
  <c r="O65" i="11408"/>
  <c r="P65" i="11408"/>
  <c r="Q65" i="11408"/>
  <c r="R65" i="11408"/>
  <c r="S65" i="11408"/>
  <c r="T65" i="11408"/>
  <c r="U65" i="11408"/>
  <c r="V65" i="11408"/>
  <c r="W65" i="11408"/>
  <c r="C66" i="11408"/>
  <c r="D66" i="11408"/>
  <c r="E66" i="11408"/>
  <c r="F66" i="11408"/>
  <c r="G66" i="11408"/>
  <c r="H66" i="11408"/>
  <c r="I66" i="11408"/>
  <c r="J66" i="11408"/>
  <c r="K66" i="11408"/>
  <c r="L66" i="11408"/>
  <c r="M66" i="11408"/>
  <c r="N66" i="11408"/>
  <c r="O66" i="11408"/>
  <c r="P66" i="11408"/>
  <c r="Q66" i="11408"/>
  <c r="R66" i="11408"/>
  <c r="S66" i="11408"/>
  <c r="T66" i="11408"/>
  <c r="U66" i="11408"/>
  <c r="V66" i="11408"/>
  <c r="W66" i="11408"/>
  <c r="C68" i="11408"/>
  <c r="D68" i="11408"/>
  <c r="E68" i="11408"/>
  <c r="F68" i="11408"/>
  <c r="G68" i="11408"/>
  <c r="H68" i="11408"/>
  <c r="I68" i="11408"/>
  <c r="J68" i="11408"/>
  <c r="K68" i="11408"/>
  <c r="L68" i="11408"/>
  <c r="M68" i="11408"/>
  <c r="N68" i="11408"/>
  <c r="O68" i="11408"/>
  <c r="P68" i="11408"/>
  <c r="Q68" i="11408"/>
  <c r="R68" i="11408"/>
  <c r="S68" i="11408"/>
  <c r="T68" i="11408"/>
  <c r="U68" i="11408"/>
  <c r="V68" i="11408"/>
  <c r="W68" i="11408"/>
  <c r="C69" i="11408"/>
  <c r="D69" i="11408"/>
  <c r="E69" i="11408"/>
  <c r="F69" i="11408"/>
  <c r="G69" i="11408"/>
  <c r="H69" i="11408"/>
  <c r="I69" i="11408"/>
  <c r="J69" i="11408"/>
  <c r="K69" i="11408"/>
  <c r="L69" i="11408"/>
  <c r="M69" i="11408"/>
  <c r="N69" i="11408"/>
  <c r="O69" i="11408"/>
  <c r="P69" i="11408"/>
  <c r="Q69" i="11408"/>
  <c r="R69" i="11408"/>
  <c r="S69" i="11408"/>
  <c r="T69" i="11408"/>
  <c r="U69" i="11408"/>
  <c r="V69" i="11408"/>
  <c r="W69" i="11408"/>
  <c r="D70" i="11408"/>
  <c r="E70" i="11408"/>
  <c r="F70" i="11408"/>
  <c r="G70" i="11408"/>
  <c r="H70" i="11408"/>
  <c r="I70" i="11408"/>
  <c r="J70" i="11408"/>
  <c r="K70" i="11408"/>
  <c r="L70" i="11408"/>
  <c r="M70" i="11408"/>
  <c r="N70" i="11408"/>
  <c r="O70" i="11408"/>
  <c r="P70" i="11408"/>
  <c r="Q70" i="11408"/>
  <c r="R70" i="11408"/>
  <c r="C72" i="11408"/>
  <c r="D72" i="11408"/>
  <c r="E72" i="11408"/>
  <c r="F72" i="11408"/>
  <c r="G72" i="11408"/>
  <c r="H72" i="11408"/>
  <c r="I72" i="11408"/>
  <c r="J72" i="11408"/>
  <c r="K72" i="11408"/>
  <c r="L72" i="11408"/>
  <c r="M72" i="11408"/>
  <c r="N72" i="11408"/>
  <c r="O72" i="11408"/>
  <c r="P72" i="11408"/>
  <c r="Q72" i="11408"/>
  <c r="R72" i="11408"/>
  <c r="S72" i="11408"/>
  <c r="T72" i="11408"/>
  <c r="U72" i="11408"/>
  <c r="V72" i="11408"/>
  <c r="W72" i="11408"/>
  <c r="X72" i="11408"/>
  <c r="X73" i="11408"/>
  <c r="C74" i="11408"/>
  <c r="D74" i="11408"/>
  <c r="E74" i="11408"/>
  <c r="F74" i="11408"/>
  <c r="G74" i="11408"/>
  <c r="H74" i="11408"/>
  <c r="I74" i="11408"/>
  <c r="J74" i="11408"/>
  <c r="K74" i="11408"/>
  <c r="L74" i="11408"/>
  <c r="M74" i="11408"/>
  <c r="N74" i="11408"/>
  <c r="O74" i="11408"/>
  <c r="P74" i="11408"/>
  <c r="Q74" i="11408"/>
  <c r="R74" i="11408"/>
  <c r="S74" i="11408"/>
  <c r="T74" i="11408"/>
  <c r="U74" i="11408"/>
  <c r="V74" i="11408"/>
  <c r="W74" i="11408"/>
  <c r="X74" i="11408"/>
  <c r="B1" i="8804"/>
  <c r="B8" i="8804"/>
  <c r="B9" i="8804"/>
  <c r="B10" i="8804"/>
  <c r="B11" i="8804"/>
  <c r="B12" i="8804"/>
  <c r="C12" i="8804"/>
  <c r="D12" i="8804"/>
  <c r="E12" i="8804"/>
  <c r="F12" i="8804"/>
  <c r="G12" i="8804"/>
  <c r="H12" i="8804"/>
  <c r="I12" i="8804"/>
  <c r="J12" i="8804"/>
  <c r="B13" i="8804"/>
  <c r="C13" i="8804"/>
  <c r="D13" i="8804"/>
  <c r="E13" i="8804"/>
  <c r="F13" i="8804"/>
  <c r="G13" i="8804"/>
  <c r="H13" i="8804"/>
  <c r="I13" i="8804"/>
  <c r="J13" i="8804"/>
  <c r="B14" i="8804"/>
  <c r="C14" i="8804"/>
  <c r="D14" i="8804"/>
  <c r="E14" i="8804"/>
  <c r="F14" i="8804"/>
  <c r="G14" i="8804"/>
  <c r="H14" i="8804"/>
  <c r="I14" i="8804"/>
  <c r="J14" i="8804"/>
  <c r="B15" i="8804"/>
  <c r="C15" i="8804"/>
  <c r="D15" i="8804"/>
  <c r="E15" i="8804"/>
  <c r="F15" i="8804"/>
  <c r="G15" i="8804"/>
  <c r="H15" i="8804"/>
  <c r="I15" i="8804"/>
  <c r="J15" i="8804"/>
  <c r="B16" i="8804"/>
  <c r="C16" i="8804"/>
  <c r="D16" i="8804"/>
  <c r="E16" i="8804"/>
  <c r="F16" i="8804"/>
  <c r="G16" i="8804"/>
  <c r="H16" i="8804"/>
  <c r="I16" i="8804"/>
  <c r="J16" i="8804"/>
  <c r="B17" i="8804"/>
  <c r="C17" i="8804"/>
  <c r="D17" i="8804"/>
  <c r="E17" i="8804"/>
  <c r="F17" i="8804"/>
  <c r="G17" i="8804"/>
  <c r="H17" i="8804"/>
  <c r="I17" i="8804"/>
  <c r="J17" i="8804"/>
  <c r="B18" i="8804"/>
  <c r="C18" i="8804"/>
  <c r="D18" i="8804"/>
  <c r="E18" i="8804"/>
  <c r="F18" i="8804"/>
  <c r="G18" i="8804"/>
  <c r="H18" i="8804"/>
  <c r="I18" i="8804"/>
  <c r="J18" i="8804"/>
  <c r="B19" i="8804"/>
  <c r="C19" i="8804"/>
  <c r="D19" i="8804"/>
  <c r="E19" i="8804"/>
  <c r="F19" i="8804"/>
  <c r="G19" i="8804"/>
  <c r="H19" i="8804"/>
  <c r="I19" i="8804"/>
  <c r="J19" i="8804"/>
  <c r="B20" i="8804"/>
  <c r="C20" i="8804"/>
  <c r="D20" i="8804"/>
  <c r="E20" i="8804"/>
  <c r="F20" i="8804"/>
  <c r="G20" i="8804"/>
  <c r="H20" i="8804"/>
  <c r="I20" i="8804"/>
  <c r="J20" i="8804"/>
  <c r="B21" i="8804"/>
  <c r="C21" i="8804"/>
  <c r="D21" i="8804"/>
  <c r="E21" i="8804"/>
  <c r="F21" i="8804"/>
  <c r="G21" i="8804"/>
  <c r="H21" i="8804"/>
  <c r="I21" i="8804"/>
  <c r="J21" i="8804"/>
  <c r="B22" i="8804"/>
  <c r="C22" i="8804"/>
  <c r="D22" i="8804"/>
  <c r="E22" i="8804"/>
  <c r="F22" i="8804"/>
  <c r="G22" i="8804"/>
  <c r="H22" i="8804"/>
  <c r="I22" i="8804"/>
  <c r="J22" i="8804"/>
  <c r="B23" i="8804"/>
  <c r="C23" i="8804"/>
  <c r="D23" i="8804"/>
  <c r="E23" i="8804"/>
  <c r="F23" i="8804"/>
  <c r="G23" i="8804"/>
  <c r="H23" i="8804"/>
  <c r="I23" i="8804"/>
  <c r="J23" i="8804"/>
  <c r="B24" i="8804"/>
  <c r="C24" i="8804"/>
  <c r="D24" i="8804"/>
  <c r="E24" i="8804"/>
  <c r="F24" i="8804"/>
  <c r="G24" i="8804"/>
  <c r="H24" i="8804"/>
  <c r="I24" i="8804"/>
  <c r="J24" i="8804"/>
  <c r="B25" i="8804"/>
  <c r="C25" i="8804"/>
  <c r="D25" i="8804"/>
  <c r="E25" i="8804"/>
  <c r="F25" i="8804"/>
  <c r="G25" i="8804"/>
  <c r="H25" i="8804"/>
  <c r="I25" i="8804"/>
  <c r="J25" i="8804"/>
  <c r="B26" i="8804"/>
  <c r="C26" i="8804"/>
  <c r="D26" i="8804"/>
  <c r="E26" i="8804"/>
  <c r="F26" i="8804"/>
  <c r="G26" i="8804"/>
  <c r="H26" i="8804"/>
  <c r="I26" i="8804"/>
  <c r="J26" i="8804"/>
  <c r="B27" i="8804"/>
  <c r="C27" i="8804"/>
  <c r="D27" i="8804"/>
  <c r="E27" i="8804"/>
  <c r="F27" i="8804"/>
  <c r="G27" i="8804"/>
  <c r="H27" i="8804"/>
  <c r="I27" i="8804"/>
  <c r="J27" i="8804"/>
  <c r="B28" i="8804"/>
  <c r="C28" i="8804"/>
  <c r="D28" i="8804"/>
  <c r="E28" i="8804"/>
  <c r="F28" i="8804"/>
  <c r="G28" i="8804"/>
  <c r="H28" i="8804"/>
  <c r="I28" i="8804"/>
  <c r="J28" i="8804"/>
  <c r="B29" i="8804"/>
  <c r="C29" i="8804"/>
  <c r="D29" i="8804"/>
  <c r="E29" i="8804"/>
  <c r="F29" i="8804"/>
  <c r="G29" i="8804"/>
  <c r="H29" i="8804"/>
  <c r="I29" i="8804"/>
  <c r="J29" i="8804"/>
  <c r="B30" i="8804"/>
  <c r="C30" i="8804"/>
  <c r="D30" i="8804"/>
  <c r="E30" i="8804"/>
  <c r="F30" i="8804"/>
  <c r="G30" i="8804"/>
  <c r="H30" i="8804"/>
  <c r="I30" i="8804"/>
  <c r="J30" i="8804"/>
  <c r="B31" i="8804"/>
  <c r="C31" i="8804"/>
  <c r="D31" i="8804"/>
  <c r="E31" i="8804"/>
  <c r="F31" i="8804"/>
  <c r="G31" i="8804"/>
  <c r="H31" i="8804"/>
  <c r="I31" i="8804"/>
  <c r="J31" i="8804"/>
  <c r="B32" i="8804"/>
  <c r="C32" i="8804"/>
  <c r="D32" i="8804"/>
  <c r="E32" i="8804"/>
  <c r="F32" i="8804"/>
  <c r="G32" i="8804"/>
  <c r="H32" i="8804"/>
  <c r="I32" i="8804"/>
  <c r="J32" i="8804"/>
  <c r="B33" i="8804"/>
  <c r="C33" i="8804"/>
  <c r="D33" i="8804"/>
  <c r="E33" i="8804"/>
  <c r="F33" i="8804"/>
  <c r="G33" i="8804"/>
  <c r="H33" i="8804"/>
  <c r="I33" i="8804"/>
  <c r="J33" i="8804"/>
  <c r="B34" i="8804"/>
  <c r="C34" i="8804"/>
  <c r="D34" i="8804"/>
  <c r="E34" i="8804"/>
  <c r="F34" i="8804"/>
  <c r="G34" i="8804"/>
  <c r="H34" i="8804"/>
  <c r="I34" i="8804"/>
  <c r="J34" i="8804"/>
  <c r="B35" i="8804"/>
  <c r="C35" i="8804"/>
  <c r="D35" i="8804"/>
  <c r="E35" i="8804"/>
  <c r="F35" i="8804"/>
  <c r="G35" i="8804"/>
  <c r="H35" i="8804"/>
  <c r="I35" i="8804"/>
  <c r="J35" i="8804"/>
  <c r="B36" i="8804"/>
  <c r="C36" i="8804"/>
  <c r="D36" i="8804"/>
  <c r="E36" i="8804"/>
  <c r="F36" i="8804"/>
  <c r="G36" i="8804"/>
  <c r="H36" i="8804"/>
  <c r="I36" i="8804"/>
  <c r="J36" i="8804"/>
  <c r="B37" i="8804"/>
  <c r="C37" i="8804"/>
  <c r="D37" i="8804"/>
  <c r="E37" i="8804"/>
  <c r="F37" i="8804"/>
  <c r="G37" i="8804"/>
  <c r="H37" i="8804"/>
  <c r="I37" i="8804"/>
  <c r="J37" i="8804"/>
  <c r="B38" i="8804"/>
  <c r="C38" i="8804"/>
  <c r="D38" i="8804"/>
  <c r="E38" i="8804"/>
  <c r="F38" i="8804"/>
  <c r="G38" i="8804"/>
  <c r="H38" i="8804"/>
  <c r="I38" i="8804"/>
  <c r="J38" i="8804"/>
  <c r="B39" i="8804"/>
  <c r="C39" i="8804"/>
  <c r="D39" i="8804"/>
  <c r="E39" i="8804"/>
  <c r="F39" i="8804"/>
  <c r="G39" i="8804"/>
  <c r="H39" i="8804"/>
  <c r="I39" i="8804"/>
  <c r="J39" i="8804"/>
  <c r="B40" i="8804"/>
  <c r="C40" i="8804"/>
  <c r="D40" i="8804"/>
  <c r="E40" i="8804"/>
  <c r="F40" i="8804"/>
  <c r="G40" i="8804"/>
  <c r="H40" i="8804"/>
  <c r="I40" i="8804"/>
  <c r="J40" i="8804"/>
  <c r="B41" i="8804"/>
  <c r="C41" i="8804"/>
  <c r="D41" i="8804"/>
  <c r="E41" i="8804"/>
  <c r="F41" i="8804"/>
  <c r="G41" i="8804"/>
  <c r="H41" i="8804"/>
  <c r="I41" i="8804"/>
  <c r="J41" i="8804"/>
  <c r="B42" i="8804"/>
  <c r="C42" i="8804"/>
  <c r="D42" i="8804"/>
  <c r="E42" i="8804"/>
  <c r="F42" i="8804"/>
  <c r="G42" i="8804"/>
  <c r="H42" i="8804"/>
  <c r="I42" i="8804"/>
  <c r="J42" i="8804"/>
  <c r="B43" i="8804"/>
  <c r="C43" i="8804"/>
  <c r="D43" i="8804"/>
  <c r="E43" i="8804"/>
  <c r="F43" i="8804"/>
  <c r="G43" i="8804"/>
  <c r="H43" i="8804"/>
  <c r="I43" i="8804"/>
  <c r="J43" i="8804"/>
  <c r="B44" i="8804"/>
  <c r="C44" i="8804"/>
  <c r="D44" i="8804"/>
  <c r="E44" i="8804"/>
  <c r="F44" i="8804"/>
  <c r="G44" i="8804"/>
  <c r="H44" i="8804"/>
  <c r="I44" i="8804"/>
  <c r="J44" i="8804"/>
  <c r="B45" i="8804"/>
  <c r="C45" i="8804"/>
  <c r="D45" i="8804"/>
  <c r="E45" i="8804"/>
  <c r="F45" i="8804"/>
  <c r="G45" i="8804"/>
  <c r="H45" i="8804"/>
  <c r="I45" i="8804"/>
  <c r="J45" i="8804"/>
  <c r="B46" i="8804"/>
  <c r="C46" i="8804"/>
  <c r="D46" i="8804"/>
  <c r="E46" i="8804"/>
  <c r="F46" i="8804"/>
  <c r="G46" i="8804"/>
  <c r="H46" i="8804"/>
  <c r="I46" i="8804"/>
  <c r="J46" i="8804"/>
  <c r="B47" i="8804"/>
  <c r="C47" i="8804"/>
  <c r="D47" i="8804"/>
  <c r="E47" i="8804"/>
  <c r="F47" i="8804"/>
  <c r="G47" i="8804"/>
  <c r="H47" i="8804"/>
  <c r="I47" i="8804"/>
  <c r="J47" i="8804"/>
  <c r="B48" i="8804"/>
  <c r="C48" i="8804"/>
  <c r="D48" i="8804"/>
  <c r="E48" i="8804"/>
  <c r="F48" i="8804"/>
  <c r="G48" i="8804"/>
  <c r="H48" i="8804"/>
  <c r="I48" i="8804"/>
  <c r="J48" i="8804"/>
  <c r="B49" i="8804"/>
  <c r="C49" i="8804"/>
  <c r="D49" i="8804"/>
  <c r="E49" i="8804"/>
  <c r="F49" i="8804"/>
  <c r="G49" i="8804"/>
  <c r="H49" i="8804"/>
  <c r="I49" i="8804"/>
  <c r="J49" i="8804"/>
  <c r="B50" i="8804"/>
  <c r="C50" i="8804"/>
  <c r="D50" i="8804"/>
  <c r="E50" i="8804"/>
  <c r="F50" i="8804"/>
  <c r="G50" i="8804"/>
  <c r="H50" i="8804"/>
  <c r="I50" i="8804"/>
  <c r="J50" i="8804"/>
  <c r="B51" i="8804"/>
  <c r="C51" i="8804"/>
  <c r="D51" i="8804"/>
  <c r="E51" i="8804"/>
  <c r="F51" i="8804"/>
  <c r="G51" i="8804"/>
  <c r="H51" i="8804"/>
  <c r="I51" i="8804"/>
  <c r="J51" i="8804"/>
  <c r="B52" i="8804"/>
  <c r="C52" i="8804"/>
  <c r="D52" i="8804"/>
  <c r="E52" i="8804"/>
  <c r="F52" i="8804"/>
  <c r="G52" i="8804"/>
  <c r="H52" i="8804"/>
  <c r="I52" i="8804"/>
  <c r="J52" i="8804"/>
  <c r="B53" i="8804"/>
  <c r="C53" i="8804"/>
  <c r="D53" i="8804"/>
  <c r="E53" i="8804"/>
  <c r="F53" i="8804"/>
  <c r="G53" i="8804"/>
  <c r="H53" i="8804"/>
  <c r="I53" i="8804"/>
  <c r="J53" i="8804"/>
  <c r="B54" i="8804"/>
  <c r="C54" i="8804"/>
  <c r="D54" i="8804"/>
  <c r="E54" i="8804"/>
  <c r="F54" i="8804"/>
  <c r="G54" i="8804"/>
  <c r="H54" i="8804"/>
  <c r="I54" i="8804"/>
  <c r="J54" i="8804"/>
  <c r="B55" i="8804"/>
  <c r="C55" i="8804"/>
  <c r="D55" i="8804"/>
  <c r="E55" i="8804"/>
  <c r="F55" i="8804"/>
  <c r="G55" i="8804"/>
  <c r="H55" i="8804"/>
  <c r="I55" i="8804"/>
  <c r="J55" i="8804"/>
  <c r="B56" i="8804"/>
  <c r="C56" i="8804"/>
  <c r="D56" i="8804"/>
  <c r="E56" i="8804"/>
  <c r="F56" i="8804"/>
  <c r="G56" i="8804"/>
  <c r="H56" i="8804"/>
  <c r="I56" i="8804"/>
  <c r="J56" i="8804"/>
  <c r="B57" i="8804"/>
  <c r="C57" i="8804"/>
  <c r="D57" i="8804"/>
  <c r="E57" i="8804"/>
  <c r="F57" i="8804"/>
  <c r="G57" i="8804"/>
  <c r="H57" i="8804"/>
  <c r="I57" i="8804"/>
  <c r="J57" i="8804"/>
  <c r="B58" i="8804"/>
  <c r="C58" i="8804"/>
  <c r="D58" i="8804"/>
  <c r="E58" i="8804"/>
  <c r="F58" i="8804"/>
  <c r="G58" i="8804"/>
  <c r="H58" i="8804"/>
  <c r="I58" i="8804"/>
  <c r="J58" i="8804"/>
  <c r="B59" i="8804"/>
  <c r="C59" i="8804"/>
  <c r="D59" i="8804"/>
  <c r="E59" i="8804"/>
  <c r="F59" i="8804"/>
  <c r="G59" i="8804"/>
  <c r="H59" i="8804"/>
  <c r="I59" i="8804"/>
  <c r="J59" i="8804"/>
  <c r="B60" i="8804"/>
  <c r="C60" i="8804"/>
  <c r="D60" i="8804"/>
  <c r="E60" i="8804"/>
  <c r="F60" i="8804"/>
  <c r="G60" i="8804"/>
  <c r="H60" i="8804"/>
  <c r="I60" i="8804"/>
  <c r="J60" i="8804"/>
  <c r="B61" i="8804"/>
  <c r="C61" i="8804"/>
  <c r="D61" i="8804"/>
  <c r="E61" i="8804"/>
  <c r="F61" i="8804"/>
  <c r="G61" i="8804"/>
  <c r="H61" i="8804"/>
  <c r="I61" i="8804"/>
  <c r="J61" i="8804"/>
  <c r="B62" i="8804"/>
  <c r="C62" i="8804"/>
  <c r="D62" i="8804"/>
  <c r="E62" i="8804"/>
  <c r="F62" i="8804"/>
  <c r="G62" i="8804"/>
  <c r="H62" i="8804"/>
  <c r="I62" i="8804"/>
  <c r="J62" i="8804"/>
  <c r="B63" i="8804"/>
  <c r="C63" i="8804"/>
  <c r="D63" i="8804"/>
  <c r="E63" i="8804"/>
  <c r="F63" i="8804"/>
  <c r="G63" i="8804"/>
  <c r="H63" i="8804"/>
  <c r="I63" i="8804"/>
  <c r="J63" i="8804"/>
  <c r="B64" i="8804"/>
  <c r="C64" i="8804"/>
  <c r="D64" i="8804"/>
  <c r="E64" i="8804"/>
  <c r="F64" i="8804"/>
  <c r="G64" i="8804"/>
  <c r="H64" i="8804"/>
  <c r="I64" i="8804"/>
  <c r="J64" i="8804"/>
  <c r="B65" i="8804"/>
  <c r="C65" i="8804"/>
  <c r="D65" i="8804"/>
  <c r="E65" i="8804"/>
  <c r="F65" i="8804"/>
  <c r="G65" i="8804"/>
  <c r="H65" i="8804"/>
  <c r="I65" i="8804"/>
  <c r="J65" i="8804"/>
  <c r="B66" i="8804"/>
  <c r="C66" i="8804"/>
  <c r="D66" i="8804"/>
  <c r="E66" i="8804"/>
  <c r="F66" i="8804"/>
  <c r="G66" i="8804"/>
  <c r="H66" i="8804"/>
  <c r="I66" i="8804"/>
  <c r="J66" i="8804"/>
  <c r="B67" i="8804"/>
  <c r="C67" i="8804"/>
  <c r="D67" i="8804"/>
  <c r="E67" i="8804"/>
  <c r="F67" i="8804"/>
  <c r="G67" i="8804"/>
  <c r="H67" i="8804"/>
  <c r="I67" i="8804"/>
  <c r="J67" i="8804"/>
  <c r="B68" i="8804"/>
  <c r="C68" i="8804"/>
  <c r="D68" i="8804"/>
  <c r="E68" i="8804"/>
  <c r="F68" i="8804"/>
  <c r="G68" i="8804"/>
  <c r="H68" i="8804"/>
  <c r="I68" i="8804"/>
  <c r="J68" i="8804"/>
  <c r="B69" i="8804"/>
  <c r="C69" i="8804"/>
  <c r="D69" i="8804"/>
  <c r="E69" i="8804"/>
  <c r="F69" i="8804"/>
  <c r="G69" i="8804"/>
  <c r="H69" i="8804"/>
  <c r="I69" i="8804"/>
  <c r="J69" i="8804"/>
  <c r="B70" i="8804"/>
  <c r="C70" i="8804"/>
  <c r="D70" i="8804"/>
  <c r="E70" i="8804"/>
  <c r="F70" i="8804"/>
  <c r="G70" i="8804"/>
  <c r="H70" i="8804"/>
  <c r="I70" i="8804"/>
  <c r="J70" i="8804"/>
  <c r="B71" i="8804"/>
  <c r="C71" i="8804"/>
  <c r="D71" i="8804"/>
  <c r="E71" i="8804"/>
  <c r="F71" i="8804"/>
  <c r="G71" i="8804"/>
  <c r="H71" i="8804"/>
  <c r="I71" i="8804"/>
  <c r="J71" i="8804"/>
  <c r="B72" i="8804"/>
  <c r="C72" i="8804"/>
  <c r="D72" i="8804"/>
  <c r="E72" i="8804"/>
  <c r="F72" i="8804"/>
  <c r="G72" i="8804"/>
  <c r="H72" i="8804"/>
  <c r="I72" i="8804"/>
  <c r="J72" i="8804"/>
  <c r="B73" i="8804"/>
  <c r="C73" i="8804"/>
  <c r="D73" i="8804"/>
  <c r="E73" i="8804"/>
  <c r="F73" i="8804"/>
  <c r="G73" i="8804"/>
  <c r="H73" i="8804"/>
  <c r="I73" i="8804"/>
  <c r="J73" i="8804"/>
  <c r="B74" i="8804"/>
  <c r="C74" i="8804"/>
  <c r="D74" i="8804"/>
  <c r="E74" i="8804"/>
  <c r="F74" i="8804"/>
  <c r="G74" i="8804"/>
  <c r="H74" i="8804"/>
  <c r="I74" i="8804"/>
  <c r="J74" i="8804"/>
  <c r="B75" i="8804"/>
  <c r="C75" i="8804"/>
  <c r="D75" i="8804"/>
  <c r="E75" i="8804"/>
  <c r="F75" i="8804"/>
  <c r="G75" i="8804"/>
  <c r="H75" i="8804"/>
  <c r="I75" i="8804"/>
  <c r="J75" i="8804"/>
  <c r="B76" i="8804"/>
  <c r="C76" i="8804"/>
  <c r="D76" i="8804"/>
  <c r="E76" i="8804"/>
  <c r="F76" i="8804"/>
  <c r="G76" i="8804"/>
  <c r="H76" i="8804"/>
  <c r="I76" i="8804"/>
  <c r="J76" i="8804"/>
  <c r="B77" i="8804"/>
  <c r="C77" i="8804"/>
  <c r="D77" i="8804"/>
  <c r="E77" i="8804"/>
  <c r="F77" i="8804"/>
  <c r="G77" i="8804"/>
  <c r="H77" i="8804"/>
  <c r="I77" i="8804"/>
  <c r="J77" i="8804"/>
  <c r="B78" i="8804"/>
  <c r="C78" i="8804"/>
  <c r="D78" i="8804"/>
  <c r="E78" i="8804"/>
  <c r="F78" i="8804"/>
  <c r="G78" i="8804"/>
  <c r="H78" i="8804"/>
  <c r="I78" i="8804"/>
  <c r="J78" i="8804"/>
  <c r="B79" i="8804"/>
  <c r="C79" i="8804"/>
  <c r="D79" i="8804"/>
  <c r="E79" i="8804"/>
  <c r="F79" i="8804"/>
  <c r="G79" i="8804"/>
  <c r="H79" i="8804"/>
  <c r="I79" i="8804"/>
  <c r="J79" i="8804"/>
  <c r="B80" i="8804"/>
  <c r="C80" i="8804"/>
  <c r="D80" i="8804"/>
  <c r="E80" i="8804"/>
  <c r="F80" i="8804"/>
  <c r="G80" i="8804"/>
  <c r="H80" i="8804"/>
  <c r="I80" i="8804"/>
  <c r="J80" i="8804"/>
  <c r="B81" i="8804"/>
  <c r="C81" i="8804"/>
  <c r="D81" i="8804"/>
  <c r="E81" i="8804"/>
  <c r="F81" i="8804"/>
  <c r="G81" i="8804"/>
  <c r="H81" i="8804"/>
  <c r="I81" i="8804"/>
  <c r="J81" i="8804"/>
  <c r="B82" i="8804"/>
  <c r="C82" i="8804"/>
  <c r="D82" i="8804"/>
  <c r="E82" i="8804"/>
  <c r="F82" i="8804"/>
  <c r="G82" i="8804"/>
  <c r="H82" i="8804"/>
  <c r="I82" i="8804"/>
  <c r="J82" i="8804"/>
  <c r="B83" i="8804"/>
  <c r="C83" i="8804"/>
  <c r="D83" i="8804"/>
  <c r="E83" i="8804"/>
  <c r="F83" i="8804"/>
  <c r="G83" i="8804"/>
  <c r="H83" i="8804"/>
  <c r="I83" i="8804"/>
  <c r="J83" i="8804"/>
  <c r="B84" i="8804"/>
  <c r="C84" i="8804"/>
  <c r="D84" i="8804"/>
  <c r="E84" i="8804"/>
  <c r="F84" i="8804"/>
  <c r="G84" i="8804"/>
  <c r="H84" i="8804"/>
  <c r="I84" i="8804"/>
  <c r="J84" i="8804"/>
  <c r="B85" i="8804"/>
  <c r="C85" i="8804"/>
  <c r="D85" i="8804"/>
  <c r="E85" i="8804"/>
  <c r="F85" i="8804"/>
  <c r="G85" i="8804"/>
  <c r="H85" i="8804"/>
  <c r="I85" i="8804"/>
  <c r="J85" i="8804"/>
  <c r="B86" i="8804"/>
  <c r="C86" i="8804"/>
  <c r="D86" i="8804"/>
  <c r="E86" i="8804"/>
  <c r="F86" i="8804"/>
  <c r="G86" i="8804"/>
  <c r="H86" i="8804"/>
  <c r="I86" i="8804"/>
  <c r="J86" i="8804"/>
  <c r="B87" i="8804"/>
  <c r="C87" i="8804"/>
  <c r="D87" i="8804"/>
  <c r="E87" i="8804"/>
  <c r="F87" i="8804"/>
  <c r="G87" i="8804"/>
  <c r="H87" i="8804"/>
  <c r="I87" i="8804"/>
  <c r="J87" i="8804"/>
  <c r="B88" i="8804"/>
  <c r="C88" i="8804"/>
  <c r="D88" i="8804"/>
  <c r="E88" i="8804"/>
  <c r="F88" i="8804"/>
  <c r="G88" i="8804"/>
  <c r="H88" i="8804"/>
  <c r="I88" i="8804"/>
  <c r="J88" i="8804"/>
  <c r="B89" i="8804"/>
  <c r="C89" i="8804"/>
  <c r="D89" i="8804"/>
  <c r="E89" i="8804"/>
  <c r="F89" i="8804"/>
  <c r="G89" i="8804"/>
  <c r="H89" i="8804"/>
  <c r="I89" i="8804"/>
  <c r="J89" i="8804"/>
  <c r="B90" i="8804"/>
  <c r="C90" i="8804"/>
  <c r="D90" i="8804"/>
  <c r="E90" i="8804"/>
  <c r="F90" i="8804"/>
  <c r="G90" i="8804"/>
  <c r="H90" i="8804"/>
  <c r="I90" i="8804"/>
  <c r="J90" i="8804"/>
  <c r="B91" i="8804"/>
  <c r="C91" i="8804"/>
  <c r="D91" i="8804"/>
  <c r="E91" i="8804"/>
  <c r="F91" i="8804"/>
  <c r="G91" i="8804"/>
  <c r="H91" i="8804"/>
  <c r="I91" i="8804"/>
  <c r="J91" i="8804"/>
  <c r="B92" i="8804"/>
  <c r="C92" i="8804"/>
  <c r="D92" i="8804"/>
  <c r="E92" i="8804"/>
  <c r="F92" i="8804"/>
  <c r="G92" i="8804"/>
  <c r="H92" i="8804"/>
  <c r="I92" i="8804"/>
  <c r="J92" i="8804"/>
  <c r="B93" i="8804"/>
  <c r="C93" i="8804"/>
  <c r="D93" i="8804"/>
  <c r="E93" i="8804"/>
  <c r="F93" i="8804"/>
  <c r="G93" i="8804"/>
  <c r="H93" i="8804"/>
  <c r="I93" i="8804"/>
  <c r="J93" i="8804"/>
  <c r="B94" i="8804"/>
  <c r="C94" i="8804"/>
  <c r="D94" i="8804"/>
  <c r="E94" i="8804"/>
  <c r="F94" i="8804"/>
  <c r="G94" i="8804"/>
  <c r="H94" i="8804"/>
  <c r="I94" i="8804"/>
  <c r="J94" i="8804"/>
  <c r="B95" i="8804"/>
  <c r="C95" i="8804"/>
  <c r="D95" i="8804"/>
  <c r="E95" i="8804"/>
  <c r="F95" i="8804"/>
  <c r="G95" i="8804"/>
  <c r="H95" i="8804"/>
  <c r="I95" i="8804"/>
  <c r="J95" i="8804"/>
  <c r="B96" i="8804"/>
  <c r="C96" i="8804"/>
  <c r="D96" i="8804"/>
  <c r="E96" i="8804"/>
  <c r="F96" i="8804"/>
  <c r="G96" i="8804"/>
  <c r="H96" i="8804"/>
  <c r="I96" i="8804"/>
  <c r="J96" i="8804"/>
  <c r="B97" i="8804"/>
  <c r="C97" i="8804"/>
  <c r="D97" i="8804"/>
  <c r="E97" i="8804"/>
  <c r="F97" i="8804"/>
  <c r="G97" i="8804"/>
  <c r="H97" i="8804"/>
  <c r="I97" i="8804"/>
  <c r="J97" i="8804"/>
  <c r="B98" i="8804"/>
  <c r="C98" i="8804"/>
  <c r="D98" i="8804"/>
  <c r="E98" i="8804"/>
  <c r="F98" i="8804"/>
  <c r="G98" i="8804"/>
  <c r="H98" i="8804"/>
  <c r="I98" i="8804"/>
  <c r="J98" i="8804"/>
  <c r="B99" i="8804"/>
  <c r="C99" i="8804"/>
  <c r="D99" i="8804"/>
  <c r="E99" i="8804"/>
  <c r="F99" i="8804"/>
  <c r="G99" i="8804"/>
  <c r="H99" i="8804"/>
  <c r="I99" i="8804"/>
  <c r="J99" i="8804"/>
  <c r="B100" i="8804"/>
  <c r="C100" i="8804"/>
  <c r="D100" i="8804"/>
  <c r="E100" i="8804"/>
  <c r="F100" i="8804"/>
  <c r="G100" i="8804"/>
  <c r="H100" i="8804"/>
  <c r="I100" i="8804"/>
  <c r="J100" i="8804"/>
  <c r="B101" i="8804"/>
  <c r="C101" i="8804"/>
  <c r="D101" i="8804"/>
  <c r="E101" i="8804"/>
  <c r="F101" i="8804"/>
  <c r="G101" i="8804"/>
  <c r="H101" i="8804"/>
  <c r="I101" i="8804"/>
  <c r="J101" i="8804"/>
  <c r="B102" i="8804"/>
  <c r="C102" i="8804"/>
  <c r="D102" i="8804"/>
  <c r="E102" i="8804"/>
  <c r="F102" i="8804"/>
  <c r="G102" i="8804"/>
  <c r="H102" i="8804"/>
  <c r="I102" i="8804"/>
  <c r="J102" i="8804"/>
  <c r="B103" i="8804"/>
  <c r="C103" i="8804"/>
  <c r="D103" i="8804"/>
  <c r="E103" i="8804"/>
  <c r="F103" i="8804"/>
  <c r="G103" i="8804"/>
  <c r="H103" i="8804"/>
  <c r="I103" i="8804"/>
  <c r="J103" i="8804"/>
  <c r="B104" i="8804"/>
  <c r="C104" i="8804"/>
  <c r="D104" i="8804"/>
  <c r="E104" i="8804"/>
  <c r="F104" i="8804"/>
  <c r="G104" i="8804"/>
  <c r="H104" i="8804"/>
  <c r="I104" i="8804"/>
  <c r="J104" i="8804"/>
  <c r="B105" i="8804"/>
  <c r="C105" i="8804"/>
  <c r="D105" i="8804"/>
  <c r="E105" i="8804"/>
  <c r="F105" i="8804"/>
  <c r="G105" i="8804"/>
  <c r="H105" i="8804"/>
  <c r="I105" i="8804"/>
  <c r="J105" i="8804"/>
  <c r="B106" i="8804"/>
  <c r="C106" i="8804"/>
  <c r="D106" i="8804"/>
  <c r="E106" i="8804"/>
  <c r="F106" i="8804"/>
  <c r="G106" i="8804"/>
  <c r="H106" i="8804"/>
  <c r="I106" i="8804"/>
  <c r="J106" i="8804"/>
  <c r="B107" i="8804"/>
  <c r="C107" i="8804"/>
  <c r="D107" i="8804"/>
  <c r="E107" i="8804"/>
  <c r="F107" i="8804"/>
  <c r="G107" i="8804"/>
  <c r="H107" i="8804"/>
  <c r="I107" i="8804"/>
  <c r="J107" i="8804"/>
  <c r="B108" i="8804"/>
  <c r="C108" i="8804"/>
  <c r="D108" i="8804"/>
  <c r="E108" i="8804"/>
  <c r="F108" i="8804"/>
  <c r="G108" i="8804"/>
  <c r="H108" i="8804"/>
  <c r="I108" i="8804"/>
  <c r="J108" i="8804"/>
  <c r="B109" i="8804"/>
  <c r="C109" i="8804"/>
  <c r="D109" i="8804"/>
  <c r="E109" i="8804"/>
  <c r="F109" i="8804"/>
  <c r="G109" i="8804"/>
  <c r="H109" i="8804"/>
  <c r="I109" i="8804"/>
  <c r="J109" i="8804"/>
  <c r="B110" i="8804"/>
  <c r="C110" i="8804"/>
  <c r="D110" i="8804"/>
  <c r="E110" i="8804"/>
  <c r="F110" i="8804"/>
  <c r="G110" i="8804"/>
  <c r="H110" i="8804"/>
  <c r="I110" i="8804"/>
  <c r="J110" i="8804"/>
  <c r="B111" i="8804"/>
  <c r="C111" i="8804"/>
  <c r="D111" i="8804"/>
  <c r="E111" i="8804"/>
  <c r="F111" i="8804"/>
  <c r="G111" i="8804"/>
  <c r="H111" i="8804"/>
  <c r="I111" i="8804"/>
  <c r="J111" i="8804"/>
  <c r="B112" i="8804"/>
  <c r="C112" i="8804"/>
  <c r="D112" i="8804"/>
  <c r="E112" i="8804"/>
  <c r="F112" i="8804"/>
  <c r="G112" i="8804"/>
  <c r="H112" i="8804"/>
  <c r="I112" i="8804"/>
  <c r="J112" i="8804"/>
  <c r="B113" i="8804"/>
  <c r="C113" i="8804"/>
  <c r="D113" i="8804"/>
  <c r="E113" i="8804"/>
  <c r="F113" i="8804"/>
  <c r="G113" i="8804"/>
  <c r="H113" i="8804"/>
  <c r="I113" i="8804"/>
  <c r="J113" i="8804"/>
  <c r="B114" i="8804"/>
  <c r="C114" i="8804"/>
  <c r="D114" i="8804"/>
  <c r="E114" i="8804"/>
  <c r="F114" i="8804"/>
  <c r="G114" i="8804"/>
  <c r="H114" i="8804"/>
  <c r="I114" i="8804"/>
  <c r="J114" i="8804"/>
  <c r="B115" i="8804"/>
  <c r="C115" i="8804"/>
  <c r="D115" i="8804"/>
  <c r="E115" i="8804"/>
  <c r="F115" i="8804"/>
  <c r="G115" i="8804"/>
  <c r="H115" i="8804"/>
  <c r="I115" i="8804"/>
  <c r="J115" i="8804"/>
  <c r="B116" i="8804"/>
  <c r="C116" i="8804"/>
  <c r="D116" i="8804"/>
  <c r="E116" i="8804"/>
  <c r="F116" i="8804"/>
  <c r="G116" i="8804"/>
  <c r="H116" i="8804"/>
  <c r="I116" i="8804"/>
  <c r="J116" i="8804"/>
  <c r="B117" i="8804"/>
  <c r="C117" i="8804"/>
  <c r="D117" i="8804"/>
  <c r="E117" i="8804"/>
  <c r="F117" i="8804"/>
  <c r="G117" i="8804"/>
  <c r="H117" i="8804"/>
  <c r="I117" i="8804"/>
  <c r="J117" i="8804"/>
  <c r="B118" i="8804"/>
  <c r="C118" i="8804"/>
  <c r="D118" i="8804"/>
  <c r="E118" i="8804"/>
  <c r="F118" i="8804"/>
  <c r="G118" i="8804"/>
  <c r="H118" i="8804"/>
  <c r="I118" i="8804"/>
  <c r="J118" i="8804"/>
  <c r="B119" i="8804"/>
  <c r="C119" i="8804"/>
  <c r="D119" i="8804"/>
  <c r="E119" i="8804"/>
  <c r="F119" i="8804"/>
  <c r="G119" i="8804"/>
  <c r="H119" i="8804"/>
  <c r="I119" i="8804"/>
  <c r="J119" i="8804"/>
  <c r="B120" i="8804"/>
  <c r="C120" i="8804"/>
  <c r="D120" i="8804"/>
  <c r="E120" i="8804"/>
  <c r="F120" i="8804"/>
  <c r="G120" i="8804"/>
  <c r="H120" i="8804"/>
  <c r="I120" i="8804"/>
  <c r="J120" i="8804"/>
  <c r="B121" i="8804"/>
  <c r="C121" i="8804"/>
  <c r="D121" i="8804"/>
  <c r="E121" i="8804"/>
  <c r="F121" i="8804"/>
  <c r="G121" i="8804"/>
  <c r="H121" i="8804"/>
  <c r="I121" i="8804"/>
  <c r="J121" i="8804"/>
  <c r="B122" i="8804"/>
  <c r="C122" i="8804"/>
  <c r="D122" i="8804"/>
  <c r="E122" i="8804"/>
  <c r="F122" i="8804"/>
  <c r="G122" i="8804"/>
  <c r="H122" i="8804"/>
  <c r="I122" i="8804"/>
  <c r="J122" i="8804"/>
  <c r="B123" i="8804"/>
  <c r="C123" i="8804"/>
  <c r="D123" i="8804"/>
  <c r="E123" i="8804"/>
  <c r="F123" i="8804"/>
  <c r="G123" i="8804"/>
  <c r="H123" i="8804"/>
  <c r="I123" i="8804"/>
  <c r="J123" i="8804"/>
  <c r="B124" i="8804"/>
  <c r="C124" i="8804"/>
  <c r="D124" i="8804"/>
  <c r="E124" i="8804"/>
  <c r="F124" i="8804"/>
  <c r="G124" i="8804"/>
  <c r="H124" i="8804"/>
  <c r="I124" i="8804"/>
  <c r="J124" i="8804"/>
  <c r="B125" i="8804"/>
  <c r="C125" i="8804"/>
  <c r="D125" i="8804"/>
  <c r="E125" i="8804"/>
  <c r="F125" i="8804"/>
  <c r="G125" i="8804"/>
  <c r="H125" i="8804"/>
  <c r="I125" i="8804"/>
  <c r="J125" i="8804"/>
  <c r="B126" i="8804"/>
  <c r="C126" i="8804"/>
  <c r="D126" i="8804"/>
  <c r="E126" i="8804"/>
  <c r="F126" i="8804"/>
  <c r="G126" i="8804"/>
  <c r="H126" i="8804"/>
  <c r="I126" i="8804"/>
  <c r="J126" i="8804"/>
  <c r="B127" i="8804"/>
  <c r="C127" i="8804"/>
  <c r="D127" i="8804"/>
  <c r="E127" i="8804"/>
  <c r="F127" i="8804"/>
  <c r="G127" i="8804"/>
  <c r="H127" i="8804"/>
  <c r="I127" i="8804"/>
  <c r="J127" i="8804"/>
  <c r="B128" i="8804"/>
  <c r="C128" i="8804"/>
  <c r="D128" i="8804"/>
  <c r="E128" i="8804"/>
  <c r="F128" i="8804"/>
  <c r="G128" i="8804"/>
  <c r="H128" i="8804"/>
  <c r="I128" i="8804"/>
  <c r="J128" i="8804"/>
  <c r="B129" i="8804"/>
  <c r="C129" i="8804"/>
  <c r="D129" i="8804"/>
  <c r="E129" i="8804"/>
  <c r="F129" i="8804"/>
  <c r="G129" i="8804"/>
  <c r="H129" i="8804"/>
  <c r="I129" i="8804"/>
  <c r="J129" i="8804"/>
  <c r="B130" i="8804"/>
  <c r="C130" i="8804"/>
  <c r="D130" i="8804"/>
  <c r="E130" i="8804"/>
  <c r="F130" i="8804"/>
  <c r="G130" i="8804"/>
  <c r="H130" i="8804"/>
  <c r="I130" i="8804"/>
  <c r="J130" i="8804"/>
  <c r="B131" i="8804"/>
  <c r="C131" i="8804"/>
  <c r="D131" i="8804"/>
  <c r="E131" i="8804"/>
  <c r="F131" i="8804"/>
  <c r="G131" i="8804"/>
  <c r="H131" i="8804"/>
  <c r="I131" i="8804"/>
  <c r="J131" i="8804"/>
  <c r="B132" i="8804"/>
  <c r="C132" i="8804"/>
  <c r="D132" i="8804"/>
  <c r="E132" i="8804"/>
  <c r="F132" i="8804"/>
  <c r="G132" i="8804"/>
  <c r="H132" i="8804"/>
  <c r="I132" i="8804"/>
  <c r="J132" i="8804"/>
  <c r="B133" i="8804"/>
  <c r="C133" i="8804"/>
  <c r="D133" i="8804"/>
  <c r="E133" i="8804"/>
  <c r="F133" i="8804"/>
  <c r="G133" i="8804"/>
  <c r="H133" i="8804"/>
  <c r="I133" i="8804"/>
  <c r="J133" i="8804"/>
  <c r="B134" i="8804"/>
  <c r="C134" i="8804"/>
  <c r="D134" i="8804"/>
  <c r="E134" i="8804"/>
  <c r="F134" i="8804"/>
  <c r="G134" i="8804"/>
  <c r="H134" i="8804"/>
  <c r="I134" i="8804"/>
  <c r="J134" i="8804"/>
  <c r="B135" i="8804"/>
  <c r="C135" i="8804"/>
  <c r="D135" i="8804"/>
  <c r="E135" i="8804"/>
  <c r="F135" i="8804"/>
  <c r="G135" i="8804"/>
  <c r="H135" i="8804"/>
  <c r="I135" i="8804"/>
  <c r="J135" i="8804"/>
  <c r="B136" i="8804"/>
  <c r="C136" i="8804"/>
  <c r="D136" i="8804"/>
  <c r="E136" i="8804"/>
  <c r="F136" i="8804"/>
  <c r="G136" i="8804"/>
  <c r="H136" i="8804"/>
  <c r="I136" i="8804"/>
  <c r="J136" i="8804"/>
  <c r="B137" i="8804"/>
  <c r="C137" i="8804"/>
  <c r="D137" i="8804"/>
  <c r="E137" i="8804"/>
  <c r="F137" i="8804"/>
  <c r="G137" i="8804"/>
  <c r="H137" i="8804"/>
  <c r="I137" i="8804"/>
  <c r="J137" i="8804"/>
  <c r="B138" i="8804"/>
  <c r="C138" i="8804"/>
  <c r="D138" i="8804"/>
  <c r="E138" i="8804"/>
  <c r="F138" i="8804"/>
  <c r="G138" i="8804"/>
  <c r="H138" i="8804"/>
  <c r="I138" i="8804"/>
  <c r="J138" i="8804"/>
  <c r="B139" i="8804"/>
  <c r="C139" i="8804"/>
  <c r="D139" i="8804"/>
  <c r="E139" i="8804"/>
  <c r="F139" i="8804"/>
  <c r="G139" i="8804"/>
  <c r="H139" i="8804"/>
  <c r="I139" i="8804"/>
  <c r="J139" i="8804"/>
  <c r="B140" i="8804"/>
  <c r="C140" i="8804"/>
  <c r="D140" i="8804"/>
  <c r="E140" i="8804"/>
  <c r="F140" i="8804"/>
  <c r="G140" i="8804"/>
  <c r="H140" i="8804"/>
  <c r="I140" i="8804"/>
  <c r="J140" i="8804"/>
  <c r="B141" i="8804"/>
  <c r="C141" i="8804"/>
  <c r="D141" i="8804"/>
  <c r="E141" i="8804"/>
  <c r="F141" i="8804"/>
  <c r="G141" i="8804"/>
  <c r="H141" i="8804"/>
  <c r="I141" i="8804"/>
  <c r="J141" i="8804"/>
  <c r="B142" i="8804"/>
  <c r="C142" i="8804"/>
  <c r="D142" i="8804"/>
  <c r="E142" i="8804"/>
  <c r="F142" i="8804"/>
  <c r="G142" i="8804"/>
  <c r="H142" i="8804"/>
  <c r="I142" i="8804"/>
  <c r="J142" i="8804"/>
  <c r="B143" i="8804"/>
  <c r="C143" i="8804"/>
  <c r="D143" i="8804"/>
  <c r="E143" i="8804"/>
  <c r="F143" i="8804"/>
  <c r="G143" i="8804"/>
  <c r="H143" i="8804"/>
  <c r="I143" i="8804"/>
  <c r="J143" i="8804"/>
  <c r="B144" i="8804"/>
  <c r="C144" i="8804"/>
  <c r="D144" i="8804"/>
  <c r="E144" i="8804"/>
  <c r="F144" i="8804"/>
  <c r="G144" i="8804"/>
  <c r="H144" i="8804"/>
  <c r="I144" i="8804"/>
  <c r="J144" i="8804"/>
  <c r="B145" i="8804"/>
  <c r="C145" i="8804"/>
  <c r="D145" i="8804"/>
  <c r="E145" i="8804"/>
  <c r="F145" i="8804"/>
  <c r="G145" i="8804"/>
  <c r="H145" i="8804"/>
  <c r="I145" i="8804"/>
  <c r="J145" i="8804"/>
  <c r="B146" i="8804"/>
  <c r="C146" i="8804"/>
  <c r="D146" i="8804"/>
  <c r="E146" i="8804"/>
  <c r="F146" i="8804"/>
  <c r="G146" i="8804"/>
  <c r="H146" i="8804"/>
  <c r="I146" i="8804"/>
  <c r="J146" i="8804"/>
  <c r="B147" i="8804"/>
  <c r="C147" i="8804"/>
  <c r="D147" i="8804"/>
  <c r="E147" i="8804"/>
  <c r="F147" i="8804"/>
  <c r="G147" i="8804"/>
  <c r="H147" i="8804"/>
  <c r="I147" i="8804"/>
  <c r="J147" i="8804"/>
  <c r="B148" i="8804"/>
  <c r="C148" i="8804"/>
  <c r="D148" i="8804"/>
  <c r="E148" i="8804"/>
  <c r="F148" i="8804"/>
  <c r="G148" i="8804"/>
  <c r="H148" i="8804"/>
  <c r="I148" i="8804"/>
  <c r="J148" i="8804"/>
  <c r="B149" i="8804"/>
  <c r="C149" i="8804"/>
  <c r="D149" i="8804"/>
  <c r="E149" i="8804"/>
  <c r="F149" i="8804"/>
  <c r="G149" i="8804"/>
  <c r="H149" i="8804"/>
  <c r="I149" i="8804"/>
  <c r="J149" i="8804"/>
  <c r="B150" i="8804"/>
  <c r="C150" i="8804"/>
  <c r="D150" i="8804"/>
  <c r="E150" i="8804"/>
  <c r="F150" i="8804"/>
  <c r="G150" i="8804"/>
  <c r="H150" i="8804"/>
  <c r="I150" i="8804"/>
  <c r="J150" i="8804"/>
  <c r="B151" i="8804"/>
  <c r="C151" i="8804"/>
  <c r="D151" i="8804"/>
  <c r="E151" i="8804"/>
  <c r="F151" i="8804"/>
  <c r="G151" i="8804"/>
  <c r="H151" i="8804"/>
  <c r="I151" i="8804"/>
  <c r="J151" i="8804"/>
  <c r="B152" i="8804"/>
  <c r="C152" i="8804"/>
  <c r="D152" i="8804"/>
  <c r="E152" i="8804"/>
  <c r="F152" i="8804"/>
  <c r="G152" i="8804"/>
  <c r="H152" i="8804"/>
  <c r="I152" i="8804"/>
  <c r="J152" i="8804"/>
  <c r="B153" i="8804"/>
  <c r="C153" i="8804"/>
  <c r="D153" i="8804"/>
  <c r="E153" i="8804"/>
  <c r="F153" i="8804"/>
  <c r="G153" i="8804"/>
  <c r="H153" i="8804"/>
  <c r="I153" i="8804"/>
  <c r="J153" i="8804"/>
  <c r="B154" i="8804"/>
  <c r="C154" i="8804"/>
  <c r="D154" i="8804"/>
  <c r="E154" i="8804"/>
  <c r="F154" i="8804"/>
  <c r="G154" i="8804"/>
  <c r="H154" i="8804"/>
  <c r="I154" i="8804"/>
  <c r="J154" i="8804"/>
  <c r="B155" i="8804"/>
  <c r="C155" i="8804"/>
  <c r="D155" i="8804"/>
  <c r="E155" i="8804"/>
  <c r="F155" i="8804"/>
  <c r="G155" i="8804"/>
  <c r="H155" i="8804"/>
  <c r="I155" i="8804"/>
  <c r="J155" i="8804"/>
  <c r="B156" i="8804"/>
  <c r="C156" i="8804"/>
  <c r="D156" i="8804"/>
  <c r="E156" i="8804"/>
  <c r="F156" i="8804"/>
  <c r="G156" i="8804"/>
  <c r="H156" i="8804"/>
  <c r="I156" i="8804"/>
  <c r="J156" i="8804"/>
  <c r="B157" i="8804"/>
  <c r="C157" i="8804"/>
  <c r="D157" i="8804"/>
  <c r="E157" i="8804"/>
  <c r="F157" i="8804"/>
  <c r="G157" i="8804"/>
  <c r="H157" i="8804"/>
  <c r="I157" i="8804"/>
  <c r="J157" i="8804"/>
  <c r="B158" i="8804"/>
  <c r="C158" i="8804"/>
  <c r="D158" i="8804"/>
  <c r="E158" i="8804"/>
  <c r="F158" i="8804"/>
  <c r="G158" i="8804"/>
  <c r="H158" i="8804"/>
  <c r="I158" i="8804"/>
  <c r="J158" i="8804"/>
  <c r="B159" i="8804"/>
  <c r="C159" i="8804"/>
  <c r="D159" i="8804"/>
  <c r="E159" i="8804"/>
  <c r="F159" i="8804"/>
  <c r="G159" i="8804"/>
  <c r="H159" i="8804"/>
  <c r="I159" i="8804"/>
  <c r="J159" i="8804"/>
  <c r="B160" i="8804"/>
  <c r="C160" i="8804"/>
  <c r="D160" i="8804"/>
  <c r="E160" i="8804"/>
  <c r="F160" i="8804"/>
  <c r="G160" i="8804"/>
  <c r="H160" i="8804"/>
  <c r="I160" i="8804"/>
  <c r="J160" i="8804"/>
  <c r="B161" i="8804"/>
  <c r="C161" i="8804"/>
  <c r="D161" i="8804"/>
  <c r="E161" i="8804"/>
  <c r="F161" i="8804"/>
  <c r="G161" i="8804"/>
  <c r="H161" i="8804"/>
  <c r="I161" i="8804"/>
  <c r="J161" i="8804"/>
  <c r="B162" i="8804"/>
  <c r="C162" i="8804"/>
  <c r="D162" i="8804"/>
  <c r="E162" i="8804"/>
  <c r="F162" i="8804"/>
  <c r="G162" i="8804"/>
  <c r="H162" i="8804"/>
  <c r="I162" i="8804"/>
  <c r="J162" i="8804"/>
  <c r="B163" i="8804"/>
  <c r="C163" i="8804"/>
  <c r="D163" i="8804"/>
  <c r="E163" i="8804"/>
  <c r="F163" i="8804"/>
  <c r="G163" i="8804"/>
  <c r="H163" i="8804"/>
  <c r="I163" i="8804"/>
  <c r="J163" i="8804"/>
  <c r="B164" i="8804"/>
  <c r="C164" i="8804"/>
  <c r="D164" i="8804"/>
  <c r="E164" i="8804"/>
  <c r="F164" i="8804"/>
  <c r="G164" i="8804"/>
  <c r="H164" i="8804"/>
  <c r="I164" i="8804"/>
  <c r="J164" i="8804"/>
  <c r="B165" i="8804"/>
  <c r="C165" i="8804"/>
  <c r="D165" i="8804"/>
  <c r="E165" i="8804"/>
  <c r="F165" i="8804"/>
  <c r="G165" i="8804"/>
  <c r="H165" i="8804"/>
  <c r="I165" i="8804"/>
  <c r="J165" i="8804"/>
  <c r="B166" i="8804"/>
  <c r="C166" i="8804"/>
  <c r="D166" i="8804"/>
  <c r="E166" i="8804"/>
  <c r="F166" i="8804"/>
  <c r="G166" i="8804"/>
  <c r="H166" i="8804"/>
  <c r="I166" i="8804"/>
  <c r="J166" i="8804"/>
  <c r="B167" i="8804"/>
  <c r="C167" i="8804"/>
  <c r="D167" i="8804"/>
  <c r="E167" i="8804"/>
  <c r="F167" i="8804"/>
  <c r="G167" i="8804"/>
  <c r="H167" i="8804"/>
  <c r="I167" i="8804"/>
  <c r="J167" i="8804"/>
  <c r="B168" i="8804"/>
  <c r="C168" i="8804"/>
  <c r="D168" i="8804"/>
  <c r="E168" i="8804"/>
  <c r="F168" i="8804"/>
  <c r="G168" i="8804"/>
  <c r="H168" i="8804"/>
  <c r="I168" i="8804"/>
  <c r="J168" i="8804"/>
  <c r="B169" i="8804"/>
  <c r="C169" i="8804"/>
  <c r="D169" i="8804"/>
  <c r="E169" i="8804"/>
  <c r="F169" i="8804"/>
  <c r="G169" i="8804"/>
  <c r="H169" i="8804"/>
  <c r="I169" i="8804"/>
  <c r="J169" i="8804"/>
  <c r="B170" i="8804"/>
  <c r="C170" i="8804"/>
  <c r="D170" i="8804"/>
  <c r="E170" i="8804"/>
  <c r="F170" i="8804"/>
  <c r="G170" i="8804"/>
  <c r="H170" i="8804"/>
  <c r="I170" i="8804"/>
  <c r="J170" i="8804"/>
  <c r="B171" i="8804"/>
  <c r="C171" i="8804"/>
  <c r="D171" i="8804"/>
  <c r="E171" i="8804"/>
  <c r="F171" i="8804"/>
  <c r="G171" i="8804"/>
  <c r="H171" i="8804"/>
  <c r="I171" i="8804"/>
  <c r="J171" i="8804"/>
  <c r="B172" i="8804"/>
  <c r="C172" i="8804"/>
  <c r="D172" i="8804"/>
  <c r="E172" i="8804"/>
  <c r="F172" i="8804"/>
  <c r="G172" i="8804"/>
  <c r="H172" i="8804"/>
  <c r="I172" i="8804"/>
  <c r="J172" i="8804"/>
  <c r="B173" i="8804"/>
  <c r="C173" i="8804"/>
  <c r="D173" i="8804"/>
  <c r="E173" i="8804"/>
  <c r="F173" i="8804"/>
  <c r="G173" i="8804"/>
  <c r="H173" i="8804"/>
  <c r="I173" i="8804"/>
  <c r="J173" i="8804"/>
  <c r="B174" i="8804"/>
  <c r="C174" i="8804"/>
  <c r="D174" i="8804"/>
  <c r="E174" i="8804"/>
  <c r="F174" i="8804"/>
  <c r="G174" i="8804"/>
  <c r="H174" i="8804"/>
  <c r="I174" i="8804"/>
  <c r="J174" i="8804"/>
  <c r="B175" i="8804"/>
  <c r="C175" i="8804"/>
  <c r="D175" i="8804"/>
  <c r="E175" i="8804"/>
  <c r="F175" i="8804"/>
  <c r="G175" i="8804"/>
  <c r="H175" i="8804"/>
  <c r="I175" i="8804"/>
  <c r="J175" i="8804"/>
  <c r="B176" i="8804"/>
  <c r="C176" i="8804"/>
  <c r="D176" i="8804"/>
  <c r="E176" i="8804"/>
  <c r="F176" i="8804"/>
  <c r="G176" i="8804"/>
  <c r="H176" i="8804"/>
  <c r="I176" i="8804"/>
  <c r="J176" i="8804"/>
  <c r="B177" i="8804"/>
  <c r="C177" i="8804"/>
  <c r="D177" i="8804"/>
  <c r="E177" i="8804"/>
  <c r="F177" i="8804"/>
  <c r="G177" i="8804"/>
  <c r="H177" i="8804"/>
  <c r="I177" i="8804"/>
  <c r="J177" i="8804"/>
  <c r="B178" i="8804"/>
  <c r="C178" i="8804"/>
  <c r="D178" i="8804"/>
  <c r="E178" i="8804"/>
  <c r="F178" i="8804"/>
  <c r="G178" i="8804"/>
  <c r="H178" i="8804"/>
  <c r="I178" i="8804"/>
  <c r="J178" i="8804"/>
  <c r="B179" i="8804"/>
  <c r="C179" i="8804"/>
  <c r="D179" i="8804"/>
  <c r="E179" i="8804"/>
  <c r="F179" i="8804"/>
  <c r="G179" i="8804"/>
  <c r="H179" i="8804"/>
  <c r="I179" i="8804"/>
  <c r="J179" i="8804"/>
  <c r="B180" i="8804"/>
  <c r="C180" i="8804"/>
  <c r="D180" i="8804"/>
  <c r="E180" i="8804"/>
  <c r="F180" i="8804"/>
  <c r="G180" i="8804"/>
  <c r="H180" i="8804"/>
  <c r="I180" i="8804"/>
  <c r="J180" i="8804"/>
  <c r="B181" i="8804"/>
  <c r="C181" i="8804"/>
  <c r="D181" i="8804"/>
  <c r="E181" i="8804"/>
  <c r="F181" i="8804"/>
  <c r="G181" i="8804"/>
  <c r="H181" i="8804"/>
  <c r="I181" i="8804"/>
  <c r="J181" i="8804"/>
  <c r="B182" i="8804"/>
  <c r="C182" i="8804"/>
  <c r="D182" i="8804"/>
  <c r="E182" i="8804"/>
  <c r="F182" i="8804"/>
  <c r="G182" i="8804"/>
  <c r="H182" i="8804"/>
  <c r="I182" i="8804"/>
  <c r="J182" i="8804"/>
  <c r="B183" i="8804"/>
  <c r="C183" i="8804"/>
  <c r="D183" i="8804"/>
  <c r="E183" i="8804"/>
  <c r="F183" i="8804"/>
  <c r="G183" i="8804"/>
  <c r="H183" i="8804"/>
  <c r="I183" i="8804"/>
  <c r="J183" i="8804"/>
  <c r="B184" i="8804"/>
  <c r="C184" i="8804"/>
  <c r="D184" i="8804"/>
  <c r="E184" i="8804"/>
  <c r="F184" i="8804"/>
  <c r="G184" i="8804"/>
  <c r="H184" i="8804"/>
  <c r="I184" i="8804"/>
  <c r="J184" i="8804"/>
  <c r="B185" i="8804"/>
  <c r="C185" i="8804"/>
  <c r="D185" i="8804"/>
  <c r="E185" i="8804"/>
  <c r="F185" i="8804"/>
  <c r="G185" i="8804"/>
  <c r="H185" i="8804"/>
  <c r="I185" i="8804"/>
  <c r="J185" i="8804"/>
  <c r="B186" i="8804"/>
  <c r="C186" i="8804"/>
  <c r="D186" i="8804"/>
  <c r="E186" i="8804"/>
  <c r="F186" i="8804"/>
  <c r="G186" i="8804"/>
  <c r="H186" i="8804"/>
  <c r="I186" i="8804"/>
  <c r="J186" i="8804"/>
  <c r="B187" i="8804"/>
  <c r="C187" i="8804"/>
  <c r="D187" i="8804"/>
  <c r="E187" i="8804"/>
  <c r="F187" i="8804"/>
  <c r="G187" i="8804"/>
  <c r="H187" i="8804"/>
  <c r="I187" i="8804"/>
  <c r="J187" i="8804"/>
  <c r="B188" i="8804"/>
  <c r="C188" i="8804"/>
  <c r="D188" i="8804"/>
  <c r="E188" i="8804"/>
  <c r="F188" i="8804"/>
  <c r="G188" i="8804"/>
  <c r="H188" i="8804"/>
  <c r="I188" i="8804"/>
  <c r="J188" i="8804"/>
  <c r="B189" i="8804"/>
  <c r="C189" i="8804"/>
  <c r="D189" i="8804"/>
  <c r="E189" i="8804"/>
  <c r="F189" i="8804"/>
  <c r="G189" i="8804"/>
  <c r="H189" i="8804"/>
  <c r="I189" i="8804"/>
  <c r="J189" i="8804"/>
  <c r="B190" i="8804"/>
  <c r="C190" i="8804"/>
  <c r="D190" i="8804"/>
  <c r="E190" i="8804"/>
  <c r="F190" i="8804"/>
  <c r="G190" i="8804"/>
  <c r="H190" i="8804"/>
  <c r="I190" i="8804"/>
  <c r="J190" i="8804"/>
  <c r="B191" i="8804"/>
  <c r="C191" i="8804"/>
  <c r="D191" i="8804"/>
  <c r="E191" i="8804"/>
  <c r="F191" i="8804"/>
  <c r="G191" i="8804"/>
  <c r="H191" i="8804"/>
  <c r="I191" i="8804"/>
  <c r="J191" i="8804"/>
  <c r="B192" i="8804"/>
  <c r="C192" i="8804"/>
  <c r="D192" i="8804"/>
  <c r="E192" i="8804"/>
  <c r="F192" i="8804"/>
  <c r="G192" i="8804"/>
  <c r="H192" i="8804"/>
  <c r="I192" i="8804"/>
  <c r="J192" i="8804"/>
  <c r="B193" i="8804"/>
  <c r="C193" i="8804"/>
  <c r="D193" i="8804"/>
  <c r="E193" i="8804"/>
  <c r="F193" i="8804"/>
  <c r="G193" i="8804"/>
  <c r="H193" i="8804"/>
  <c r="I193" i="8804"/>
  <c r="J193" i="8804"/>
  <c r="B194" i="8804"/>
  <c r="C194" i="8804"/>
  <c r="D194" i="8804"/>
  <c r="E194" i="8804"/>
  <c r="F194" i="8804"/>
  <c r="G194" i="8804"/>
  <c r="H194" i="8804"/>
  <c r="I194" i="8804"/>
  <c r="J194" i="8804"/>
  <c r="B195" i="8804"/>
  <c r="C195" i="8804"/>
  <c r="D195" i="8804"/>
  <c r="E195" i="8804"/>
  <c r="F195" i="8804"/>
  <c r="G195" i="8804"/>
  <c r="H195" i="8804"/>
  <c r="I195" i="8804"/>
  <c r="J195" i="8804"/>
  <c r="B196" i="8804"/>
  <c r="C196" i="8804"/>
  <c r="D196" i="8804"/>
  <c r="E196" i="8804"/>
  <c r="F196" i="8804"/>
  <c r="G196" i="8804"/>
  <c r="H196" i="8804"/>
  <c r="I196" i="8804"/>
  <c r="J196" i="8804"/>
  <c r="B197" i="8804"/>
  <c r="C197" i="8804"/>
  <c r="D197" i="8804"/>
  <c r="E197" i="8804"/>
  <c r="F197" i="8804"/>
  <c r="G197" i="8804"/>
  <c r="H197" i="8804"/>
  <c r="I197" i="8804"/>
  <c r="J197" i="8804"/>
  <c r="B198" i="8804"/>
  <c r="C198" i="8804"/>
  <c r="D198" i="8804"/>
  <c r="E198" i="8804"/>
  <c r="F198" i="8804"/>
  <c r="G198" i="8804"/>
  <c r="H198" i="8804"/>
  <c r="I198" i="8804"/>
  <c r="J198" i="8804"/>
  <c r="B199" i="8804"/>
  <c r="C199" i="8804"/>
  <c r="D199" i="8804"/>
  <c r="E199" i="8804"/>
  <c r="F199" i="8804"/>
  <c r="G199" i="8804"/>
  <c r="H199" i="8804"/>
  <c r="I199" i="8804"/>
  <c r="J199" i="8804"/>
  <c r="B200" i="8804"/>
  <c r="C200" i="8804"/>
  <c r="D200" i="8804"/>
  <c r="E200" i="8804"/>
  <c r="F200" i="8804"/>
  <c r="G200" i="8804"/>
  <c r="H200" i="8804"/>
  <c r="I200" i="8804"/>
  <c r="J200" i="8804"/>
  <c r="B201" i="8804"/>
  <c r="C201" i="8804"/>
  <c r="D201" i="8804"/>
  <c r="E201" i="8804"/>
  <c r="F201" i="8804"/>
  <c r="G201" i="8804"/>
  <c r="H201" i="8804"/>
  <c r="I201" i="8804"/>
  <c r="J201" i="8804"/>
  <c r="B202" i="8804"/>
  <c r="C202" i="8804"/>
  <c r="D202" i="8804"/>
  <c r="E202" i="8804"/>
  <c r="F202" i="8804"/>
  <c r="G202" i="8804"/>
  <c r="H202" i="8804"/>
  <c r="I202" i="8804"/>
  <c r="J202" i="8804"/>
  <c r="B203" i="8804"/>
  <c r="C203" i="8804"/>
  <c r="D203" i="8804"/>
  <c r="E203" i="8804"/>
  <c r="F203" i="8804"/>
  <c r="G203" i="8804"/>
  <c r="H203" i="8804"/>
  <c r="I203" i="8804"/>
  <c r="J203" i="8804"/>
  <c r="B204" i="8804"/>
  <c r="C204" i="8804"/>
  <c r="D204" i="8804"/>
  <c r="E204" i="8804"/>
  <c r="F204" i="8804"/>
  <c r="G204" i="8804"/>
  <c r="H204" i="8804"/>
  <c r="I204" i="8804"/>
  <c r="J204" i="8804"/>
  <c r="B205" i="8804"/>
  <c r="C205" i="8804"/>
  <c r="D205" i="8804"/>
  <c r="E205" i="8804"/>
  <c r="F205" i="8804"/>
  <c r="G205" i="8804"/>
  <c r="H205" i="8804"/>
  <c r="I205" i="8804"/>
  <c r="J205" i="8804"/>
  <c r="B206" i="8804"/>
  <c r="C206" i="8804"/>
  <c r="D206" i="8804"/>
  <c r="E206" i="8804"/>
  <c r="F206" i="8804"/>
  <c r="G206" i="8804"/>
  <c r="H206" i="8804"/>
  <c r="I206" i="8804"/>
  <c r="J206" i="8804"/>
  <c r="B207" i="8804"/>
  <c r="C207" i="8804"/>
  <c r="D207" i="8804"/>
  <c r="E207" i="8804"/>
  <c r="F207" i="8804"/>
  <c r="G207" i="8804"/>
  <c r="H207" i="8804"/>
  <c r="I207" i="8804"/>
  <c r="J207" i="8804"/>
  <c r="B208" i="8804"/>
  <c r="C208" i="8804"/>
  <c r="D208" i="8804"/>
  <c r="E208" i="8804"/>
  <c r="F208" i="8804"/>
  <c r="G208" i="8804"/>
  <c r="H208" i="8804"/>
  <c r="I208" i="8804"/>
  <c r="J208" i="8804"/>
  <c r="B209" i="8804"/>
  <c r="C209" i="8804"/>
  <c r="D209" i="8804"/>
  <c r="E209" i="8804"/>
  <c r="F209" i="8804"/>
  <c r="G209" i="8804"/>
  <c r="H209" i="8804"/>
  <c r="I209" i="8804"/>
  <c r="J209" i="8804"/>
  <c r="B210" i="8804"/>
  <c r="C210" i="8804"/>
  <c r="D210" i="8804"/>
  <c r="E210" i="8804"/>
  <c r="F210" i="8804"/>
  <c r="G210" i="8804"/>
  <c r="H210" i="8804"/>
  <c r="I210" i="8804"/>
  <c r="J210" i="8804"/>
  <c r="B211" i="8804"/>
  <c r="C211" i="8804"/>
  <c r="D211" i="8804"/>
  <c r="E211" i="8804"/>
  <c r="F211" i="8804"/>
  <c r="G211" i="8804"/>
  <c r="H211" i="8804"/>
  <c r="I211" i="8804"/>
  <c r="J211" i="8804"/>
  <c r="B212" i="8804"/>
  <c r="C212" i="8804"/>
  <c r="D212" i="8804"/>
  <c r="E212" i="8804"/>
  <c r="F212" i="8804"/>
  <c r="G212" i="8804"/>
  <c r="H212" i="8804"/>
  <c r="I212" i="8804"/>
  <c r="J212" i="8804"/>
  <c r="B213" i="8804"/>
  <c r="C213" i="8804"/>
  <c r="D213" i="8804"/>
  <c r="E213" i="8804"/>
  <c r="F213" i="8804"/>
  <c r="G213" i="8804"/>
  <c r="H213" i="8804"/>
  <c r="I213" i="8804"/>
  <c r="J213" i="8804"/>
  <c r="B214" i="8804"/>
  <c r="C214" i="8804"/>
  <c r="D214" i="8804"/>
  <c r="E214" i="8804"/>
  <c r="F214" i="8804"/>
  <c r="G214" i="8804"/>
  <c r="H214" i="8804"/>
  <c r="I214" i="8804"/>
  <c r="J214" i="8804"/>
  <c r="B215" i="8804"/>
  <c r="C215" i="8804"/>
  <c r="D215" i="8804"/>
  <c r="E215" i="8804"/>
  <c r="F215" i="8804"/>
  <c r="G215" i="8804"/>
  <c r="H215" i="8804"/>
  <c r="I215" i="8804"/>
  <c r="J215" i="8804"/>
  <c r="B216" i="8804"/>
  <c r="C216" i="8804"/>
  <c r="D216" i="8804"/>
  <c r="E216" i="8804"/>
  <c r="F216" i="8804"/>
  <c r="G216" i="8804"/>
  <c r="H216" i="8804"/>
  <c r="I216" i="8804"/>
  <c r="J216" i="8804"/>
  <c r="B217" i="8804"/>
  <c r="C217" i="8804"/>
  <c r="D217" i="8804"/>
  <c r="E217" i="8804"/>
  <c r="F217" i="8804"/>
  <c r="G217" i="8804"/>
  <c r="H217" i="8804"/>
  <c r="I217" i="8804"/>
  <c r="J217" i="8804"/>
  <c r="B218" i="8804"/>
  <c r="C218" i="8804"/>
  <c r="D218" i="8804"/>
  <c r="E218" i="8804"/>
  <c r="F218" i="8804"/>
  <c r="G218" i="8804"/>
  <c r="H218" i="8804"/>
  <c r="I218" i="8804"/>
  <c r="J218" i="8804"/>
  <c r="B219" i="8804"/>
  <c r="C219" i="8804"/>
  <c r="D219" i="8804"/>
  <c r="E219" i="8804"/>
  <c r="F219" i="8804"/>
  <c r="G219" i="8804"/>
  <c r="H219" i="8804"/>
  <c r="I219" i="8804"/>
  <c r="J219" i="8804"/>
  <c r="B220" i="8804"/>
  <c r="C220" i="8804"/>
  <c r="D220" i="8804"/>
  <c r="E220" i="8804"/>
  <c r="F220" i="8804"/>
  <c r="G220" i="8804"/>
  <c r="H220" i="8804"/>
  <c r="I220" i="8804"/>
  <c r="J220" i="8804"/>
  <c r="B221" i="8804"/>
  <c r="C221" i="8804"/>
  <c r="D221" i="8804"/>
  <c r="E221" i="8804"/>
  <c r="F221" i="8804"/>
  <c r="G221" i="8804"/>
  <c r="H221" i="8804"/>
  <c r="I221" i="8804"/>
  <c r="J221" i="8804"/>
  <c r="B222" i="8804"/>
  <c r="C222" i="8804"/>
  <c r="D222" i="8804"/>
  <c r="E222" i="8804"/>
  <c r="F222" i="8804"/>
  <c r="G222" i="8804"/>
  <c r="H222" i="8804"/>
  <c r="I222" i="8804"/>
  <c r="J222" i="8804"/>
  <c r="B223" i="8804"/>
  <c r="C223" i="8804"/>
  <c r="D223" i="8804"/>
  <c r="E223" i="8804"/>
  <c r="F223" i="8804"/>
  <c r="G223" i="8804"/>
  <c r="H223" i="8804"/>
  <c r="I223" i="8804"/>
  <c r="J223" i="8804"/>
  <c r="B224" i="8804"/>
  <c r="C224" i="8804"/>
  <c r="D224" i="8804"/>
  <c r="E224" i="8804"/>
  <c r="F224" i="8804"/>
  <c r="G224" i="8804"/>
  <c r="H224" i="8804"/>
  <c r="I224" i="8804"/>
  <c r="J224" i="8804"/>
  <c r="B225" i="8804"/>
  <c r="C225" i="8804"/>
  <c r="D225" i="8804"/>
  <c r="E225" i="8804"/>
  <c r="F225" i="8804"/>
  <c r="G225" i="8804"/>
  <c r="H225" i="8804"/>
  <c r="I225" i="8804"/>
  <c r="J225" i="8804"/>
  <c r="B226" i="8804"/>
  <c r="C226" i="8804"/>
  <c r="D226" i="8804"/>
  <c r="E226" i="8804"/>
  <c r="F226" i="8804"/>
  <c r="G226" i="8804"/>
  <c r="H226" i="8804"/>
  <c r="I226" i="8804"/>
  <c r="J226" i="8804"/>
  <c r="B227" i="8804"/>
  <c r="C227" i="8804"/>
  <c r="D227" i="8804"/>
  <c r="E227" i="8804"/>
  <c r="F227" i="8804"/>
  <c r="G227" i="8804"/>
  <c r="H227" i="8804"/>
  <c r="I227" i="8804"/>
  <c r="J227" i="8804"/>
  <c r="B228" i="8804"/>
  <c r="C228" i="8804"/>
  <c r="D228" i="8804"/>
  <c r="E228" i="8804"/>
  <c r="F228" i="8804"/>
  <c r="G228" i="8804"/>
  <c r="H228" i="8804"/>
  <c r="I228" i="8804"/>
  <c r="J228" i="8804"/>
  <c r="B229" i="8804"/>
  <c r="C229" i="8804"/>
  <c r="D229" i="8804"/>
  <c r="E229" i="8804"/>
  <c r="F229" i="8804"/>
  <c r="G229" i="8804"/>
  <c r="H229" i="8804"/>
  <c r="I229" i="8804"/>
  <c r="J229" i="8804"/>
  <c r="B230" i="8804"/>
  <c r="C230" i="8804"/>
  <c r="D230" i="8804"/>
  <c r="E230" i="8804"/>
  <c r="F230" i="8804"/>
  <c r="G230" i="8804"/>
  <c r="H230" i="8804"/>
  <c r="I230" i="8804"/>
  <c r="J230" i="8804"/>
  <c r="B231" i="8804"/>
  <c r="C231" i="8804"/>
  <c r="D231" i="8804"/>
  <c r="E231" i="8804"/>
  <c r="F231" i="8804"/>
  <c r="G231" i="8804"/>
  <c r="H231" i="8804"/>
  <c r="I231" i="8804"/>
  <c r="J231" i="8804"/>
  <c r="B232" i="8804"/>
  <c r="C232" i="8804"/>
  <c r="D232" i="8804"/>
  <c r="E232" i="8804"/>
  <c r="F232" i="8804"/>
  <c r="G232" i="8804"/>
  <c r="H232" i="8804"/>
  <c r="I232" i="8804"/>
  <c r="J232" i="8804"/>
  <c r="B233" i="8804"/>
  <c r="C233" i="8804"/>
  <c r="D233" i="8804"/>
  <c r="E233" i="8804"/>
  <c r="F233" i="8804"/>
  <c r="G233" i="8804"/>
  <c r="H233" i="8804"/>
  <c r="I233" i="8804"/>
  <c r="J233" i="8804"/>
  <c r="B234" i="8804"/>
  <c r="C234" i="8804"/>
  <c r="D234" i="8804"/>
  <c r="E234" i="8804"/>
  <c r="F234" i="8804"/>
  <c r="G234" i="8804"/>
  <c r="H234" i="8804"/>
  <c r="I234" i="8804"/>
  <c r="J234" i="8804"/>
  <c r="B235" i="8804"/>
  <c r="C235" i="8804"/>
  <c r="D235" i="8804"/>
  <c r="E235" i="8804"/>
  <c r="F235" i="8804"/>
  <c r="G235" i="8804"/>
  <c r="H235" i="8804"/>
  <c r="I235" i="8804"/>
  <c r="J235" i="8804"/>
  <c r="B236" i="8804"/>
  <c r="C236" i="8804"/>
  <c r="D236" i="8804"/>
  <c r="E236" i="8804"/>
  <c r="F236" i="8804"/>
  <c r="G236" i="8804"/>
  <c r="H236" i="8804"/>
  <c r="I236" i="8804"/>
  <c r="J236" i="8804"/>
  <c r="B237" i="8804"/>
  <c r="C237" i="8804"/>
  <c r="D237" i="8804"/>
  <c r="E237" i="8804"/>
  <c r="F237" i="8804"/>
  <c r="G237" i="8804"/>
  <c r="H237" i="8804"/>
  <c r="I237" i="8804"/>
  <c r="J237" i="8804"/>
  <c r="B238" i="8804"/>
  <c r="C238" i="8804"/>
  <c r="D238" i="8804"/>
  <c r="E238" i="8804"/>
  <c r="F238" i="8804"/>
  <c r="G238" i="8804"/>
  <c r="H238" i="8804"/>
  <c r="I238" i="8804"/>
  <c r="J238" i="8804"/>
  <c r="B239" i="8804"/>
  <c r="C239" i="8804"/>
  <c r="D239" i="8804"/>
  <c r="E239" i="8804"/>
  <c r="F239" i="8804"/>
  <c r="G239" i="8804"/>
  <c r="H239" i="8804"/>
  <c r="I239" i="8804"/>
  <c r="J239" i="8804"/>
  <c r="B240" i="8804"/>
  <c r="C240" i="8804"/>
  <c r="D240" i="8804"/>
  <c r="E240" i="8804"/>
  <c r="F240" i="8804"/>
  <c r="G240" i="8804"/>
  <c r="H240" i="8804"/>
  <c r="I240" i="8804"/>
  <c r="J240" i="8804"/>
  <c r="B241" i="8804"/>
  <c r="C241" i="8804"/>
  <c r="D241" i="8804"/>
  <c r="E241" i="8804"/>
  <c r="F241" i="8804"/>
  <c r="G241" i="8804"/>
  <c r="H241" i="8804"/>
  <c r="I241" i="8804"/>
  <c r="J241" i="8804"/>
  <c r="B242" i="8804"/>
  <c r="C242" i="8804"/>
  <c r="D242" i="8804"/>
  <c r="E242" i="8804"/>
  <c r="F242" i="8804"/>
  <c r="G242" i="8804"/>
  <c r="H242" i="8804"/>
  <c r="I242" i="8804"/>
  <c r="J242" i="8804"/>
  <c r="B243" i="8804"/>
  <c r="C243" i="8804"/>
  <c r="D243" i="8804"/>
  <c r="E243" i="8804"/>
  <c r="F243" i="8804"/>
  <c r="G243" i="8804"/>
  <c r="H243" i="8804"/>
  <c r="I243" i="8804"/>
  <c r="J243" i="8804"/>
  <c r="B244" i="8804"/>
  <c r="C244" i="8804"/>
  <c r="D244" i="8804"/>
  <c r="E244" i="8804"/>
  <c r="F244" i="8804"/>
  <c r="G244" i="8804"/>
  <c r="H244" i="8804"/>
  <c r="I244" i="8804"/>
  <c r="J244" i="8804"/>
  <c r="B245" i="8804"/>
  <c r="C245" i="8804"/>
  <c r="D245" i="8804"/>
  <c r="E245" i="8804"/>
  <c r="F245" i="8804"/>
  <c r="G245" i="8804"/>
  <c r="H245" i="8804"/>
  <c r="I245" i="8804"/>
  <c r="J245" i="8804"/>
  <c r="B246" i="8804"/>
  <c r="C246" i="8804"/>
  <c r="D246" i="8804"/>
  <c r="E246" i="8804"/>
  <c r="F246" i="8804"/>
  <c r="G246" i="8804"/>
  <c r="H246" i="8804"/>
  <c r="I246" i="8804"/>
  <c r="J246" i="8804"/>
  <c r="B247" i="8804"/>
  <c r="C247" i="8804"/>
  <c r="D247" i="8804"/>
  <c r="E247" i="8804"/>
  <c r="F247" i="8804"/>
  <c r="G247" i="8804"/>
  <c r="H247" i="8804"/>
  <c r="I247" i="8804"/>
  <c r="J247" i="8804"/>
  <c r="B248" i="8804"/>
  <c r="C248" i="8804"/>
  <c r="D248" i="8804"/>
  <c r="E248" i="8804"/>
  <c r="F248" i="8804"/>
  <c r="G248" i="8804"/>
  <c r="H248" i="8804"/>
  <c r="I248" i="8804"/>
  <c r="J248" i="8804"/>
  <c r="B249" i="8804"/>
  <c r="C249" i="8804"/>
  <c r="D249" i="8804"/>
  <c r="E249" i="8804"/>
  <c r="F249" i="8804"/>
  <c r="G249" i="8804"/>
  <c r="H249" i="8804"/>
  <c r="I249" i="8804"/>
  <c r="J249" i="8804"/>
  <c r="B250" i="8804"/>
  <c r="C250" i="8804"/>
  <c r="D250" i="8804"/>
  <c r="E250" i="8804"/>
  <c r="F250" i="8804"/>
  <c r="G250" i="8804"/>
  <c r="H250" i="8804"/>
  <c r="I250" i="8804"/>
  <c r="J250" i="8804"/>
  <c r="B251" i="8804"/>
  <c r="C251" i="8804"/>
  <c r="D251" i="8804"/>
  <c r="E251" i="8804"/>
  <c r="F251" i="8804"/>
  <c r="G251" i="8804"/>
  <c r="H251" i="8804"/>
  <c r="I251" i="8804"/>
  <c r="J251" i="8804"/>
  <c r="B252" i="8804"/>
  <c r="C252" i="8804"/>
  <c r="D252" i="8804"/>
  <c r="E252" i="8804"/>
  <c r="F252" i="8804"/>
  <c r="G252" i="8804"/>
  <c r="H252" i="8804"/>
  <c r="I252" i="8804"/>
  <c r="J252" i="8804"/>
  <c r="B253" i="8804"/>
  <c r="C253" i="8804"/>
  <c r="D253" i="8804"/>
  <c r="E253" i="8804"/>
  <c r="F253" i="8804"/>
  <c r="G253" i="8804"/>
  <c r="H253" i="8804"/>
  <c r="I253" i="8804"/>
  <c r="J253" i="8804"/>
  <c r="B254" i="8804"/>
  <c r="C254" i="8804"/>
  <c r="D254" i="8804"/>
  <c r="E254" i="8804"/>
  <c r="F254" i="8804"/>
  <c r="G254" i="8804"/>
  <c r="H254" i="8804"/>
  <c r="I254" i="8804"/>
  <c r="J254" i="8804"/>
  <c r="B255" i="8804"/>
  <c r="C255" i="8804"/>
  <c r="D255" i="8804"/>
  <c r="E255" i="8804"/>
  <c r="F255" i="8804"/>
  <c r="G255" i="8804"/>
  <c r="H255" i="8804"/>
  <c r="I255" i="8804"/>
  <c r="J255" i="8804"/>
  <c r="B256" i="8804"/>
  <c r="C256" i="8804"/>
  <c r="D256" i="8804"/>
  <c r="E256" i="8804"/>
  <c r="F256" i="8804"/>
  <c r="G256" i="8804"/>
  <c r="H256" i="8804"/>
  <c r="I256" i="8804"/>
  <c r="J256" i="8804"/>
  <c r="B257" i="8804"/>
  <c r="C257" i="8804"/>
  <c r="D257" i="8804"/>
  <c r="E257" i="8804"/>
  <c r="F257" i="8804"/>
  <c r="G257" i="8804"/>
  <c r="H257" i="8804"/>
  <c r="I257" i="8804"/>
  <c r="J257" i="8804"/>
  <c r="B258" i="8804"/>
  <c r="C258" i="8804"/>
  <c r="D258" i="8804"/>
  <c r="E258" i="8804"/>
  <c r="F258" i="8804"/>
  <c r="G258" i="8804"/>
  <c r="H258" i="8804"/>
  <c r="I258" i="8804"/>
  <c r="J258" i="8804"/>
  <c r="B259" i="8804"/>
  <c r="K1" i="42"/>
  <c r="L1" i="42"/>
  <c r="M1" i="42"/>
  <c r="N1" i="42"/>
  <c r="O1" i="42"/>
  <c r="P1" i="42"/>
  <c r="Q1" i="42"/>
  <c r="R1" i="42"/>
  <c r="S1" i="42"/>
  <c r="T1" i="42"/>
  <c r="U1" i="42"/>
  <c r="V1" i="42"/>
  <c r="W1" i="42"/>
  <c r="X1" i="42"/>
  <c r="Y1" i="42"/>
  <c r="Z1" i="42"/>
  <c r="AA1" i="42"/>
  <c r="AB1" i="42"/>
  <c r="AC1" i="42"/>
  <c r="AD1" i="42"/>
  <c r="AE1" i="42"/>
  <c r="AF1" i="42"/>
  <c r="AG1" i="42"/>
  <c r="AH1" i="42"/>
  <c r="AI1" i="42"/>
  <c r="AJ1" i="42"/>
  <c r="AK1" i="42"/>
  <c r="AK5" i="18"/>
  <c r="AL5" i="18"/>
  <c r="AN5" i="18"/>
  <c r="AO5" i="18"/>
  <c r="AP5" i="18"/>
  <c r="AR5" i="18"/>
  <c r="BB5" i="18"/>
  <c r="BC5" i="18"/>
  <c r="G7" i="18"/>
  <c r="A8" i="18"/>
  <c r="E8" i="18"/>
  <c r="G8" i="18"/>
  <c r="J8" i="18"/>
  <c r="AX8" i="18"/>
  <c r="A9" i="18"/>
  <c r="E9" i="18"/>
  <c r="G9" i="18"/>
  <c r="J9" i="18"/>
  <c r="N9" i="18"/>
  <c r="O9" i="18"/>
  <c r="AX9" i="18"/>
  <c r="A10" i="18"/>
  <c r="E10" i="18"/>
  <c r="G10" i="18"/>
  <c r="J10" i="18"/>
  <c r="N10" i="18"/>
  <c r="O10" i="18"/>
  <c r="AX10" i="18"/>
  <c r="A11" i="18"/>
  <c r="E11" i="18"/>
  <c r="G11" i="18"/>
  <c r="J11" i="18"/>
  <c r="N11" i="18"/>
  <c r="O11" i="18"/>
  <c r="AX11" i="18"/>
  <c r="A12" i="18"/>
  <c r="E12" i="18"/>
  <c r="G12" i="18"/>
  <c r="J12" i="18"/>
  <c r="N12" i="18"/>
  <c r="O12" i="18"/>
  <c r="Q12" i="18"/>
  <c r="R12" i="18"/>
  <c r="S12" i="18"/>
  <c r="V12" i="18"/>
  <c r="X12" i="18"/>
  <c r="AB12" i="18"/>
  <c r="AC12" i="18"/>
  <c r="AD12" i="18"/>
  <c r="AH12" i="18"/>
  <c r="AI12" i="18"/>
  <c r="AJ12" i="18"/>
  <c r="AK12" i="18"/>
  <c r="AL12" i="18"/>
  <c r="AM12" i="18"/>
  <c r="AN12" i="18"/>
  <c r="AO12" i="18"/>
  <c r="AP12" i="18"/>
  <c r="AQ12" i="18"/>
  <c r="AR12" i="18"/>
  <c r="AT12" i="18"/>
  <c r="AU12" i="18"/>
  <c r="AV12" i="18"/>
  <c r="AX12" i="18"/>
  <c r="BB12" i="18"/>
  <c r="BC12" i="18"/>
  <c r="BD12" i="18"/>
  <c r="BE12" i="18"/>
  <c r="BF12" i="18"/>
  <c r="BG12" i="18"/>
  <c r="BH12" i="18"/>
  <c r="BJ12" i="18"/>
  <c r="BK12" i="18"/>
  <c r="BM12" i="18"/>
  <c r="A13" i="18"/>
  <c r="E13" i="18"/>
  <c r="G13" i="18"/>
  <c r="J13" i="18"/>
  <c r="N13" i="18"/>
  <c r="O13" i="18"/>
  <c r="Q13" i="18"/>
  <c r="R13" i="18"/>
  <c r="S13" i="18"/>
  <c r="V13" i="18"/>
  <c r="X13" i="18"/>
  <c r="AA13" i="18"/>
  <c r="AB13" i="18"/>
  <c r="AC13" i="18"/>
  <c r="AD13" i="18"/>
  <c r="AH13" i="18"/>
  <c r="AI13" i="18"/>
  <c r="AJ13" i="18"/>
  <c r="AK13" i="18"/>
  <c r="AL13" i="18"/>
  <c r="AM13" i="18"/>
  <c r="AN13" i="18"/>
  <c r="AO13" i="18"/>
  <c r="AP13" i="18"/>
  <c r="AQ13" i="18"/>
  <c r="AR13" i="18"/>
  <c r="AT13" i="18"/>
  <c r="AU13" i="18"/>
  <c r="AV13" i="18"/>
  <c r="AX13" i="18"/>
  <c r="BB13" i="18"/>
  <c r="BC13" i="18"/>
  <c r="BD13" i="18"/>
  <c r="BE13" i="18"/>
  <c r="BF13" i="18"/>
  <c r="BG13" i="18"/>
  <c r="BH13" i="18"/>
  <c r="BJ13" i="18"/>
  <c r="BK13" i="18"/>
  <c r="BM13" i="18"/>
  <c r="A14" i="18"/>
  <c r="E14" i="18"/>
  <c r="G14" i="18"/>
  <c r="J14" i="18"/>
  <c r="N14" i="18"/>
  <c r="O14" i="18"/>
  <c r="Q14" i="18"/>
  <c r="R14" i="18"/>
  <c r="S14" i="18"/>
  <c r="V14" i="18"/>
  <c r="X14" i="18"/>
  <c r="AA14" i="18"/>
  <c r="AB14" i="18"/>
  <c r="AC14" i="18"/>
  <c r="AD14" i="18"/>
  <c r="AH14" i="18"/>
  <c r="AI14" i="18"/>
  <c r="AJ14" i="18"/>
  <c r="AK14" i="18"/>
  <c r="AL14" i="18"/>
  <c r="AM14" i="18"/>
  <c r="AN14" i="18"/>
  <c r="AO14" i="18"/>
  <c r="AP14" i="18"/>
  <c r="AQ14" i="18"/>
  <c r="AR14" i="18"/>
  <c r="AT14" i="18"/>
  <c r="AU14" i="18"/>
  <c r="AV14" i="18"/>
  <c r="AX14" i="18"/>
  <c r="BB14" i="18"/>
  <c r="BC14" i="18"/>
  <c r="BD14" i="18"/>
  <c r="BE14" i="18"/>
  <c r="BF14" i="18"/>
  <c r="BG14" i="18"/>
  <c r="BH14" i="18"/>
  <c r="BJ14" i="18"/>
  <c r="BK14" i="18"/>
  <c r="BM14" i="18"/>
  <c r="A15" i="18"/>
  <c r="E15" i="18"/>
  <c r="G15" i="18"/>
  <c r="J15" i="18"/>
  <c r="N15" i="18"/>
  <c r="O15" i="18"/>
  <c r="Q15" i="18"/>
  <c r="R15" i="18"/>
  <c r="S15" i="18"/>
  <c r="V15" i="18"/>
  <c r="X15" i="18"/>
  <c r="AA15" i="18"/>
  <c r="AB15" i="18"/>
  <c r="AC15" i="18"/>
  <c r="AD15" i="18"/>
  <c r="AH15" i="18"/>
  <c r="AI15" i="18"/>
  <c r="AJ15" i="18"/>
  <c r="AK15" i="18"/>
  <c r="AL15" i="18"/>
  <c r="AM15" i="18"/>
  <c r="AN15" i="18"/>
  <c r="AO15" i="18"/>
  <c r="AP15" i="18"/>
  <c r="AQ15" i="18"/>
  <c r="AR15" i="18"/>
  <c r="AT15" i="18"/>
  <c r="AU15" i="18"/>
  <c r="AV15" i="18"/>
  <c r="AX15" i="18"/>
  <c r="BB15" i="18"/>
  <c r="BC15" i="18"/>
  <c r="BD15" i="18"/>
  <c r="BE15" i="18"/>
  <c r="BF15" i="18"/>
  <c r="BG15" i="18"/>
  <c r="BH15" i="18"/>
  <c r="BJ15" i="18"/>
  <c r="BK15" i="18"/>
  <c r="BM15" i="18"/>
  <c r="A16" i="18"/>
  <c r="E16" i="18"/>
  <c r="G16" i="18"/>
  <c r="J16" i="18"/>
  <c r="N16" i="18"/>
  <c r="O16" i="18"/>
  <c r="Q16" i="18"/>
  <c r="R16" i="18"/>
  <c r="S16" i="18"/>
  <c r="V16" i="18"/>
  <c r="X16" i="18"/>
  <c r="AA16" i="18"/>
  <c r="AB16" i="18"/>
  <c r="AC16" i="18"/>
  <c r="AD16" i="18"/>
  <c r="AH16" i="18"/>
  <c r="AI16" i="18"/>
  <c r="AJ16" i="18"/>
  <c r="AK16" i="18"/>
  <c r="AL16" i="18"/>
  <c r="AM16" i="18"/>
  <c r="AN16" i="18"/>
  <c r="AO16" i="18"/>
  <c r="AP16" i="18"/>
  <c r="AQ16" i="18"/>
  <c r="AR16" i="18"/>
  <c r="AT16" i="18"/>
  <c r="AU16" i="18"/>
  <c r="AV16" i="18"/>
  <c r="AX16" i="18"/>
  <c r="BB16" i="18"/>
  <c r="BC16" i="18"/>
  <c r="BD16" i="18"/>
  <c r="BE16" i="18"/>
  <c r="BF16" i="18"/>
  <c r="BG16" i="18"/>
  <c r="BH16" i="18"/>
  <c r="BJ16" i="18"/>
  <c r="BK16" i="18"/>
  <c r="BM16" i="18"/>
  <c r="A17" i="18"/>
  <c r="E17" i="18"/>
  <c r="G17" i="18"/>
  <c r="J17" i="18"/>
  <c r="N17" i="18"/>
  <c r="O17" i="18"/>
  <c r="Q17" i="18"/>
  <c r="R17" i="18"/>
  <c r="S17" i="18"/>
  <c r="V17" i="18"/>
  <c r="X17" i="18"/>
  <c r="AA17" i="18"/>
  <c r="AB17" i="18"/>
  <c r="AC17" i="18"/>
  <c r="AD17" i="18"/>
  <c r="AH17" i="18"/>
  <c r="AI17" i="18"/>
  <c r="AJ17" i="18"/>
  <c r="AK17" i="18"/>
  <c r="AL17" i="18"/>
  <c r="AM17" i="18"/>
  <c r="AN17" i="18"/>
  <c r="AO17" i="18"/>
  <c r="AP17" i="18"/>
  <c r="AQ17" i="18"/>
  <c r="AR17" i="18"/>
  <c r="AT17" i="18"/>
  <c r="AU17" i="18"/>
  <c r="AV17" i="18"/>
  <c r="AX17" i="18"/>
  <c r="BB17" i="18"/>
  <c r="BC17" i="18"/>
  <c r="BD17" i="18"/>
  <c r="BE17" i="18"/>
  <c r="BF17" i="18"/>
  <c r="BG17" i="18"/>
  <c r="BH17" i="18"/>
  <c r="BJ17" i="18"/>
  <c r="BK17" i="18"/>
  <c r="BM17" i="18"/>
  <c r="A18" i="18"/>
  <c r="E18" i="18"/>
  <c r="G18" i="18"/>
  <c r="H18" i="18"/>
  <c r="J18" i="18"/>
  <c r="N18" i="18"/>
  <c r="O18" i="18"/>
  <c r="Q18" i="18"/>
  <c r="R18" i="18"/>
  <c r="S18" i="18"/>
  <c r="V18" i="18"/>
  <c r="X18" i="18"/>
  <c r="AA18" i="18"/>
  <c r="AB18" i="18"/>
  <c r="AC18" i="18"/>
  <c r="AD18" i="18"/>
  <c r="AH18" i="18"/>
  <c r="AI18" i="18"/>
  <c r="AJ18" i="18"/>
  <c r="AK18" i="18"/>
  <c r="AL18" i="18"/>
  <c r="AM18" i="18"/>
  <c r="AN18" i="18"/>
  <c r="AO18" i="18"/>
  <c r="AP18" i="18"/>
  <c r="AQ18" i="18"/>
  <c r="AR18" i="18"/>
  <c r="AT18" i="18"/>
  <c r="AU18" i="18"/>
  <c r="AV18" i="18"/>
  <c r="AX18" i="18"/>
  <c r="AY18" i="18"/>
  <c r="AZ18" i="18"/>
  <c r="BB18" i="18"/>
  <c r="BC18" i="18"/>
  <c r="BD18" i="18"/>
  <c r="BE18" i="18"/>
  <c r="BF18" i="18"/>
  <c r="BG18" i="18"/>
  <c r="BH18" i="18"/>
  <c r="BJ18" i="18"/>
  <c r="BK18" i="18"/>
  <c r="BM18" i="18"/>
  <c r="A19" i="18"/>
  <c r="E19" i="18"/>
  <c r="G19" i="18"/>
  <c r="J19" i="18"/>
  <c r="N19" i="18"/>
  <c r="O19" i="18"/>
  <c r="Q19" i="18"/>
  <c r="R19" i="18"/>
  <c r="S19" i="18"/>
  <c r="V19" i="18"/>
  <c r="X19" i="18"/>
  <c r="AA19" i="18"/>
  <c r="AB19" i="18"/>
  <c r="AC19" i="18"/>
  <c r="AD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X19" i="18"/>
  <c r="BB19" i="18"/>
  <c r="BC19" i="18"/>
  <c r="BD19" i="18"/>
  <c r="BE19" i="18"/>
  <c r="BF19" i="18"/>
  <c r="BG19" i="18"/>
  <c r="BH19" i="18"/>
  <c r="BJ19" i="18"/>
  <c r="BK19" i="18"/>
  <c r="BM19" i="18"/>
  <c r="A20" i="18"/>
  <c r="E20" i="18"/>
  <c r="G20" i="18"/>
  <c r="J20" i="18"/>
  <c r="N20" i="18"/>
  <c r="O20" i="18"/>
  <c r="Q20" i="18"/>
  <c r="R20" i="18"/>
  <c r="S20" i="18"/>
  <c r="V20" i="18"/>
  <c r="X20" i="18"/>
  <c r="AA20" i="18"/>
  <c r="AB20" i="18"/>
  <c r="AC20" i="18"/>
  <c r="AD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X20" i="18"/>
  <c r="BB20" i="18"/>
  <c r="BC20" i="18"/>
  <c r="BD20" i="18"/>
  <c r="BE20" i="18"/>
  <c r="BF20" i="18"/>
  <c r="BG20" i="18"/>
  <c r="BH20" i="18"/>
  <c r="BJ20" i="18"/>
  <c r="BK20" i="18"/>
  <c r="BM20" i="18"/>
  <c r="A21" i="18"/>
  <c r="E21" i="18"/>
  <c r="G21" i="18"/>
  <c r="J21" i="18"/>
  <c r="N21" i="18"/>
  <c r="O21" i="18"/>
  <c r="Q21" i="18"/>
  <c r="R21" i="18"/>
  <c r="S21" i="18"/>
  <c r="V21" i="18"/>
  <c r="X21" i="18"/>
  <c r="AA21" i="18"/>
  <c r="AB21" i="18"/>
  <c r="AC21" i="18"/>
  <c r="AD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X21" i="18"/>
  <c r="BB21" i="18"/>
  <c r="BC21" i="18"/>
  <c r="BD21" i="18"/>
  <c r="BE21" i="18"/>
  <c r="BF21" i="18"/>
  <c r="BG21" i="18"/>
  <c r="BH21" i="18"/>
  <c r="BJ21" i="18"/>
  <c r="BK21" i="18"/>
  <c r="BM21" i="18"/>
  <c r="A22" i="18"/>
  <c r="E22" i="18"/>
  <c r="G22" i="18"/>
  <c r="J22" i="18"/>
  <c r="N22" i="18"/>
  <c r="O22" i="18"/>
  <c r="Q22" i="18"/>
  <c r="R22" i="18"/>
  <c r="S22" i="18"/>
  <c r="V22" i="18"/>
  <c r="X22" i="18"/>
  <c r="AA22" i="18"/>
  <c r="AB22" i="18"/>
  <c r="AC22" i="18"/>
  <c r="AD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X22" i="18"/>
  <c r="BB22" i="18"/>
  <c r="BC22" i="18"/>
  <c r="BD22" i="18"/>
  <c r="BE22" i="18"/>
  <c r="BF22" i="18"/>
  <c r="BG22" i="18"/>
  <c r="BH22" i="18"/>
  <c r="BJ22" i="18"/>
  <c r="BK22" i="18"/>
  <c r="BM22" i="18"/>
  <c r="A23" i="18"/>
  <c r="E23" i="18"/>
  <c r="G23" i="18"/>
  <c r="J23" i="18"/>
  <c r="N23" i="18"/>
  <c r="O23" i="18"/>
  <c r="Q23" i="18"/>
  <c r="R23" i="18"/>
  <c r="S23" i="18"/>
  <c r="V23" i="18"/>
  <c r="X23" i="18"/>
  <c r="AA23" i="18"/>
  <c r="AB23" i="18"/>
  <c r="AC23" i="18"/>
  <c r="AD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X23" i="18"/>
  <c r="BB23" i="18"/>
  <c r="BC23" i="18"/>
  <c r="BD23" i="18"/>
  <c r="BE23" i="18"/>
  <c r="BF23" i="18"/>
  <c r="BG23" i="18"/>
  <c r="BH23" i="18"/>
  <c r="BJ23" i="18"/>
  <c r="BK23" i="18"/>
  <c r="BM23" i="18"/>
  <c r="A24" i="18"/>
  <c r="E24" i="18"/>
  <c r="G24" i="18"/>
  <c r="J24" i="18"/>
  <c r="N24" i="18"/>
  <c r="O24" i="18"/>
  <c r="Q24" i="18"/>
  <c r="R24" i="18"/>
  <c r="S24" i="18"/>
  <c r="V24" i="18"/>
  <c r="X24" i="18"/>
  <c r="AA24" i="18"/>
  <c r="AB24" i="18"/>
  <c r="AC24" i="18"/>
  <c r="AD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X24" i="18"/>
  <c r="BB24" i="18"/>
  <c r="BC24" i="18"/>
  <c r="BD24" i="18"/>
  <c r="BE24" i="18"/>
  <c r="BF24" i="18"/>
  <c r="BG24" i="18"/>
  <c r="BH24" i="18"/>
  <c r="BJ24" i="18"/>
  <c r="BK24" i="18"/>
  <c r="BM24" i="18"/>
  <c r="A25" i="18"/>
  <c r="E25" i="18"/>
  <c r="G25" i="18"/>
  <c r="J25" i="18"/>
  <c r="N25" i="18"/>
  <c r="O25" i="18"/>
  <c r="Q25" i="18"/>
  <c r="R25" i="18"/>
  <c r="S25" i="18"/>
  <c r="V25" i="18"/>
  <c r="X25" i="18"/>
  <c r="AA25" i="18"/>
  <c r="AB25" i="18"/>
  <c r="AC25" i="18"/>
  <c r="AD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X25" i="18"/>
  <c r="BB25" i="18"/>
  <c r="BC25" i="18"/>
  <c r="BD25" i="18"/>
  <c r="BE25" i="18"/>
  <c r="BF25" i="18"/>
  <c r="BG25" i="18"/>
  <c r="BH25" i="18"/>
  <c r="BJ25" i="18"/>
  <c r="BK25" i="18"/>
  <c r="BM25" i="18"/>
  <c r="A26" i="18"/>
  <c r="E26" i="18"/>
  <c r="G26" i="18"/>
  <c r="J26" i="18"/>
  <c r="N26" i="18"/>
  <c r="O26" i="18"/>
  <c r="Q26" i="18"/>
  <c r="R26" i="18"/>
  <c r="S26" i="18"/>
  <c r="V26" i="18"/>
  <c r="X26" i="18"/>
  <c r="AA26" i="18"/>
  <c r="AB26" i="18"/>
  <c r="AC26" i="18"/>
  <c r="AD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X26" i="18"/>
  <c r="BB26" i="18"/>
  <c r="BC26" i="18"/>
  <c r="BD26" i="18"/>
  <c r="BE26" i="18"/>
  <c r="BF26" i="18"/>
  <c r="BG26" i="18"/>
  <c r="BH26" i="18"/>
  <c r="BJ26" i="18"/>
  <c r="BK26" i="18"/>
  <c r="BM26" i="18"/>
  <c r="A27" i="18"/>
  <c r="E27" i="18"/>
  <c r="G27" i="18"/>
  <c r="J27" i="18"/>
  <c r="N27" i="18"/>
  <c r="O27" i="18"/>
  <c r="Q27" i="18"/>
  <c r="R27" i="18"/>
  <c r="S27" i="18"/>
  <c r="V27" i="18"/>
  <c r="X27" i="18"/>
  <c r="AA27" i="18"/>
  <c r="AB27" i="18"/>
  <c r="AC27" i="18"/>
  <c r="AD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X27" i="18"/>
  <c r="BB27" i="18"/>
  <c r="BC27" i="18"/>
  <c r="BD27" i="18"/>
  <c r="BE27" i="18"/>
  <c r="BF27" i="18"/>
  <c r="BG27" i="18"/>
  <c r="BH27" i="18"/>
  <c r="BJ27" i="18"/>
  <c r="BK27" i="18"/>
  <c r="BM27" i="18"/>
  <c r="A28" i="18"/>
  <c r="E28" i="18"/>
  <c r="G28" i="18"/>
  <c r="J28" i="18"/>
  <c r="N28" i="18"/>
  <c r="O28" i="18"/>
  <c r="Q28" i="18"/>
  <c r="R28" i="18"/>
  <c r="S28" i="18"/>
  <c r="V28" i="18"/>
  <c r="X28" i="18"/>
  <c r="AA28" i="18"/>
  <c r="AB28" i="18"/>
  <c r="AC28" i="18"/>
  <c r="AD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X28" i="18"/>
  <c r="BB28" i="18"/>
  <c r="BC28" i="18"/>
  <c r="BD28" i="18"/>
  <c r="BE28" i="18"/>
  <c r="BF28" i="18"/>
  <c r="BG28" i="18"/>
  <c r="BH28" i="18"/>
  <c r="BJ28" i="18"/>
  <c r="BK28" i="18"/>
  <c r="BM28" i="18"/>
  <c r="A29" i="18"/>
  <c r="E29" i="18"/>
  <c r="G29" i="18"/>
  <c r="J29" i="18"/>
  <c r="N29" i="18"/>
  <c r="O29" i="18"/>
  <c r="Q29" i="18"/>
  <c r="R29" i="18"/>
  <c r="S29" i="18"/>
  <c r="V29" i="18"/>
  <c r="X29" i="18"/>
  <c r="AA29" i="18"/>
  <c r="AB29" i="18"/>
  <c r="AC29" i="18"/>
  <c r="AD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X29" i="18"/>
  <c r="BB29" i="18"/>
  <c r="BC29" i="18"/>
  <c r="BD29" i="18"/>
  <c r="BE29" i="18"/>
  <c r="BF29" i="18"/>
  <c r="BG29" i="18"/>
  <c r="BH29" i="18"/>
  <c r="BJ29" i="18"/>
  <c r="BK29" i="18"/>
  <c r="BM29" i="18"/>
  <c r="A30" i="18"/>
  <c r="E30" i="18"/>
  <c r="G30" i="18"/>
  <c r="H30" i="18"/>
  <c r="J30" i="18"/>
  <c r="N30" i="18"/>
  <c r="O30" i="18"/>
  <c r="Q30" i="18"/>
  <c r="R30" i="18"/>
  <c r="S30" i="18"/>
  <c r="V30" i="18"/>
  <c r="X30" i="18"/>
  <c r="AA30" i="18"/>
  <c r="AB30" i="18"/>
  <c r="AC30" i="18"/>
  <c r="AD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X30" i="18"/>
  <c r="AY30" i="18"/>
  <c r="AZ30" i="18"/>
  <c r="BB30" i="18"/>
  <c r="BC30" i="18"/>
  <c r="BD30" i="18"/>
  <c r="BE30" i="18"/>
  <c r="BF30" i="18"/>
  <c r="BG30" i="18"/>
  <c r="BH30" i="18"/>
  <c r="BJ30" i="18"/>
  <c r="BK30" i="18"/>
  <c r="BM30" i="18"/>
  <c r="A31" i="18"/>
  <c r="E31" i="18"/>
  <c r="G31" i="18"/>
  <c r="J31" i="18"/>
  <c r="N31" i="18"/>
  <c r="O31" i="18"/>
  <c r="Q31" i="18"/>
  <c r="R31" i="18"/>
  <c r="S31" i="18"/>
  <c r="V31" i="18"/>
  <c r="X31" i="18"/>
  <c r="AA31" i="18"/>
  <c r="AB31" i="18"/>
  <c r="AC31" i="18"/>
  <c r="AD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X31" i="18"/>
  <c r="BB31" i="18"/>
  <c r="BC31" i="18"/>
  <c r="BD31" i="18"/>
  <c r="BE31" i="18"/>
  <c r="BF31" i="18"/>
  <c r="BG31" i="18"/>
  <c r="BH31" i="18"/>
  <c r="BJ31" i="18"/>
  <c r="BK31" i="18"/>
  <c r="BM31" i="18"/>
  <c r="A32" i="18"/>
  <c r="E32" i="18"/>
  <c r="G32" i="18"/>
  <c r="J32" i="18"/>
  <c r="N32" i="18"/>
  <c r="O32" i="18"/>
  <c r="Q32" i="18"/>
  <c r="R32" i="18"/>
  <c r="S32" i="18"/>
  <c r="V32" i="18"/>
  <c r="X32" i="18"/>
  <c r="AA32" i="18"/>
  <c r="AB32" i="18"/>
  <c r="AC32" i="18"/>
  <c r="AD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X32" i="18"/>
  <c r="BB32" i="18"/>
  <c r="BC32" i="18"/>
  <c r="BD32" i="18"/>
  <c r="BE32" i="18"/>
  <c r="BF32" i="18"/>
  <c r="BG32" i="18"/>
  <c r="BH32" i="18"/>
  <c r="BJ32" i="18"/>
  <c r="BK32" i="18"/>
  <c r="BM32" i="18"/>
  <c r="A33" i="18"/>
  <c r="E33" i="18"/>
  <c r="G33" i="18"/>
  <c r="J33" i="18"/>
  <c r="N33" i="18"/>
  <c r="O33" i="18"/>
  <c r="Q33" i="18"/>
  <c r="R33" i="18"/>
  <c r="S33" i="18"/>
  <c r="V33" i="18"/>
  <c r="X33" i="18"/>
  <c r="AA33" i="18"/>
  <c r="AB33" i="18"/>
  <c r="AC33" i="18"/>
  <c r="AD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X33" i="18"/>
  <c r="BB33" i="18"/>
  <c r="BC33" i="18"/>
  <c r="BD33" i="18"/>
  <c r="BE33" i="18"/>
  <c r="BF33" i="18"/>
  <c r="BG33" i="18"/>
  <c r="BH33" i="18"/>
  <c r="BJ33" i="18"/>
  <c r="BK33" i="18"/>
  <c r="BM33" i="18"/>
  <c r="A34" i="18"/>
  <c r="E34" i="18"/>
  <c r="G34" i="18"/>
  <c r="J34" i="18"/>
  <c r="N34" i="18"/>
  <c r="O34" i="18"/>
  <c r="Q34" i="18"/>
  <c r="R34" i="18"/>
  <c r="S34" i="18"/>
  <c r="V34" i="18"/>
  <c r="X34" i="18"/>
  <c r="AA34" i="18"/>
  <c r="AB34" i="18"/>
  <c r="AC34" i="18"/>
  <c r="AD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X34" i="18"/>
  <c r="BB34" i="18"/>
  <c r="BC34" i="18"/>
  <c r="BD34" i="18"/>
  <c r="BE34" i="18"/>
  <c r="BF34" i="18"/>
  <c r="BG34" i="18"/>
  <c r="BH34" i="18"/>
  <c r="BJ34" i="18"/>
  <c r="BK34" i="18"/>
  <c r="BM34" i="18"/>
  <c r="A35" i="18"/>
  <c r="E35" i="18"/>
  <c r="G35" i="18"/>
  <c r="J35" i="18"/>
  <c r="N35" i="18"/>
  <c r="O35" i="18"/>
  <c r="Q35" i="18"/>
  <c r="R35" i="18"/>
  <c r="S35" i="18"/>
  <c r="V35" i="18"/>
  <c r="X35" i="18"/>
  <c r="AA35" i="18"/>
  <c r="AB35" i="18"/>
  <c r="AC35" i="18"/>
  <c r="AD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X35" i="18"/>
  <c r="BB35" i="18"/>
  <c r="BC35" i="18"/>
  <c r="BD35" i="18"/>
  <c r="BE35" i="18"/>
  <c r="BF35" i="18"/>
  <c r="BG35" i="18"/>
  <c r="BH35" i="18"/>
  <c r="BJ35" i="18"/>
  <c r="BK35" i="18"/>
  <c r="BM35" i="18"/>
  <c r="A36" i="18"/>
  <c r="E36" i="18"/>
  <c r="G36" i="18"/>
  <c r="J36" i="18"/>
  <c r="N36" i="18"/>
  <c r="O36" i="18"/>
  <c r="Q36" i="18"/>
  <c r="R36" i="18"/>
  <c r="S36" i="18"/>
  <c r="V36" i="18"/>
  <c r="X36" i="18"/>
  <c r="AA36" i="18"/>
  <c r="AB36" i="18"/>
  <c r="AC36" i="18"/>
  <c r="AD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X36" i="18"/>
  <c r="BB36" i="18"/>
  <c r="BC36" i="18"/>
  <c r="BD36" i="18"/>
  <c r="BE36" i="18"/>
  <c r="BF36" i="18"/>
  <c r="BG36" i="18"/>
  <c r="BH36" i="18"/>
  <c r="BJ36" i="18"/>
  <c r="BK36" i="18"/>
  <c r="BM36" i="18"/>
  <c r="A37" i="18"/>
  <c r="E37" i="18"/>
  <c r="G37" i="18"/>
  <c r="J37" i="18"/>
  <c r="N37" i="18"/>
  <c r="O37" i="18"/>
  <c r="Q37" i="18"/>
  <c r="R37" i="18"/>
  <c r="S37" i="18"/>
  <c r="V37" i="18"/>
  <c r="X37" i="18"/>
  <c r="AA37" i="18"/>
  <c r="AB37" i="18"/>
  <c r="AC37" i="18"/>
  <c r="AD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X37" i="18"/>
  <c r="BB37" i="18"/>
  <c r="BC37" i="18"/>
  <c r="BD37" i="18"/>
  <c r="BE37" i="18"/>
  <c r="BF37" i="18"/>
  <c r="BG37" i="18"/>
  <c r="BH37" i="18"/>
  <c r="BJ37" i="18"/>
  <c r="BK37" i="18"/>
  <c r="BM37" i="18"/>
  <c r="A38" i="18"/>
  <c r="E38" i="18"/>
  <c r="G38" i="18"/>
  <c r="J38" i="18"/>
  <c r="N38" i="18"/>
  <c r="O38" i="18"/>
  <c r="Q38" i="18"/>
  <c r="R38" i="18"/>
  <c r="S38" i="18"/>
  <c r="V38" i="18"/>
  <c r="X38" i="18"/>
  <c r="AA38" i="18"/>
  <c r="AB38" i="18"/>
  <c r="AC38" i="18"/>
  <c r="AD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X38" i="18"/>
  <c r="BB38" i="18"/>
  <c r="BC38" i="18"/>
  <c r="BD38" i="18"/>
  <c r="BE38" i="18"/>
  <c r="BF38" i="18"/>
  <c r="BG38" i="18"/>
  <c r="BH38" i="18"/>
  <c r="BJ38" i="18"/>
  <c r="BK38" i="18"/>
  <c r="BM38" i="18"/>
  <c r="A39" i="18"/>
  <c r="E39" i="18"/>
  <c r="G39" i="18"/>
  <c r="J39" i="18"/>
  <c r="N39" i="18"/>
  <c r="O39" i="18"/>
  <c r="Q39" i="18"/>
  <c r="R39" i="18"/>
  <c r="S39" i="18"/>
  <c r="V39" i="18"/>
  <c r="X39" i="18"/>
  <c r="AA39" i="18"/>
  <c r="AB39" i="18"/>
  <c r="AC39" i="18"/>
  <c r="AD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X39" i="18"/>
  <c r="BB39" i="18"/>
  <c r="BC39" i="18"/>
  <c r="BD39" i="18"/>
  <c r="BE39" i="18"/>
  <c r="BF39" i="18"/>
  <c r="BG39" i="18"/>
  <c r="BH39" i="18"/>
  <c r="BJ39" i="18"/>
  <c r="BK39" i="18"/>
  <c r="BM39" i="18"/>
  <c r="A40" i="18"/>
  <c r="E40" i="18"/>
  <c r="G40" i="18"/>
  <c r="J40" i="18"/>
  <c r="N40" i="18"/>
  <c r="O40" i="18"/>
  <c r="Q40" i="18"/>
  <c r="R40" i="18"/>
  <c r="S40" i="18"/>
  <c r="V40" i="18"/>
  <c r="X40" i="18"/>
  <c r="AA40" i="18"/>
  <c r="AB40" i="18"/>
  <c r="AC40" i="18"/>
  <c r="AD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X40" i="18"/>
  <c r="BB40" i="18"/>
  <c r="BC40" i="18"/>
  <c r="BD40" i="18"/>
  <c r="BE40" i="18"/>
  <c r="BF40" i="18"/>
  <c r="BG40" i="18"/>
  <c r="BH40" i="18"/>
  <c r="BJ40" i="18"/>
  <c r="BK40" i="18"/>
  <c r="BM40" i="18"/>
  <c r="A41" i="18"/>
  <c r="E41" i="18"/>
  <c r="G41" i="18"/>
  <c r="J41" i="18"/>
  <c r="N41" i="18"/>
  <c r="O41" i="18"/>
  <c r="Q41" i="18"/>
  <c r="R41" i="18"/>
  <c r="S41" i="18"/>
  <c r="V41" i="18"/>
  <c r="X41" i="18"/>
  <c r="AA41" i="18"/>
  <c r="AB41" i="18"/>
  <c r="AC41" i="18"/>
  <c r="AD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X41" i="18"/>
  <c r="BB41" i="18"/>
  <c r="BC41" i="18"/>
  <c r="BD41" i="18"/>
  <c r="BE41" i="18"/>
  <c r="BF41" i="18"/>
  <c r="BG41" i="18"/>
  <c r="BH41" i="18"/>
  <c r="BJ41" i="18"/>
  <c r="BK41" i="18"/>
  <c r="BM41" i="18"/>
  <c r="A42" i="18"/>
  <c r="E42" i="18"/>
  <c r="G42" i="18"/>
  <c r="H42" i="18"/>
  <c r="J42" i="18"/>
  <c r="N42" i="18"/>
  <c r="O42" i="18"/>
  <c r="Q42" i="18"/>
  <c r="R42" i="18"/>
  <c r="S42" i="18"/>
  <c r="V42" i="18"/>
  <c r="X42" i="18"/>
  <c r="AA42" i="18"/>
  <c r="AB42" i="18"/>
  <c r="AC42" i="18"/>
  <c r="AD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X42" i="18"/>
  <c r="AY42" i="18"/>
  <c r="AZ42" i="18"/>
  <c r="BB42" i="18"/>
  <c r="BC42" i="18"/>
  <c r="BD42" i="18"/>
  <c r="BE42" i="18"/>
  <c r="BF42" i="18"/>
  <c r="BG42" i="18"/>
  <c r="BH42" i="18"/>
  <c r="BJ42" i="18"/>
  <c r="BK42" i="18"/>
  <c r="BM42" i="18"/>
  <c r="A43" i="18"/>
  <c r="E43" i="18"/>
  <c r="G43" i="18"/>
  <c r="J43" i="18"/>
  <c r="N43" i="18"/>
  <c r="O43" i="18"/>
  <c r="Q43" i="18"/>
  <c r="R43" i="18"/>
  <c r="S43" i="18"/>
  <c r="V43" i="18"/>
  <c r="X43" i="18"/>
  <c r="AA43" i="18"/>
  <c r="AB43" i="18"/>
  <c r="AC43" i="18"/>
  <c r="AD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X43" i="18"/>
  <c r="BB43" i="18"/>
  <c r="BC43" i="18"/>
  <c r="BD43" i="18"/>
  <c r="BE43" i="18"/>
  <c r="BF43" i="18"/>
  <c r="BG43" i="18"/>
  <c r="BH43" i="18"/>
  <c r="BJ43" i="18"/>
  <c r="BK43" i="18"/>
  <c r="BM43" i="18"/>
  <c r="A44" i="18"/>
  <c r="E44" i="18"/>
  <c r="G44" i="18"/>
  <c r="J44" i="18"/>
  <c r="N44" i="18"/>
  <c r="O44" i="18"/>
  <c r="Q44" i="18"/>
  <c r="R44" i="18"/>
  <c r="S44" i="18"/>
  <c r="V44" i="18"/>
  <c r="X44" i="18"/>
  <c r="AA44" i="18"/>
  <c r="AB44" i="18"/>
  <c r="AC44" i="18"/>
  <c r="AD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X44" i="18"/>
  <c r="BB44" i="18"/>
  <c r="BC44" i="18"/>
  <c r="BD44" i="18"/>
  <c r="BE44" i="18"/>
  <c r="BF44" i="18"/>
  <c r="BG44" i="18"/>
  <c r="BH44" i="18"/>
  <c r="BJ44" i="18"/>
  <c r="BK44" i="18"/>
  <c r="BM44" i="18"/>
  <c r="A45" i="18"/>
  <c r="E45" i="18"/>
  <c r="G45" i="18"/>
  <c r="J45" i="18"/>
  <c r="N45" i="18"/>
  <c r="O45" i="18"/>
  <c r="Q45" i="18"/>
  <c r="R45" i="18"/>
  <c r="S45" i="18"/>
  <c r="V45" i="18"/>
  <c r="X45" i="18"/>
  <c r="AA45" i="18"/>
  <c r="AB45" i="18"/>
  <c r="AC45" i="18"/>
  <c r="AD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X45" i="18"/>
  <c r="BB45" i="18"/>
  <c r="BC45" i="18"/>
  <c r="BD45" i="18"/>
  <c r="BE45" i="18"/>
  <c r="BF45" i="18"/>
  <c r="BG45" i="18"/>
  <c r="BH45" i="18"/>
  <c r="BJ45" i="18"/>
  <c r="BK45" i="18"/>
  <c r="BM45" i="18"/>
  <c r="A46" i="18"/>
  <c r="E46" i="18"/>
  <c r="G46" i="18"/>
  <c r="J46" i="18"/>
  <c r="N46" i="18"/>
  <c r="O46" i="18"/>
  <c r="Q46" i="18"/>
  <c r="R46" i="18"/>
  <c r="S46" i="18"/>
  <c r="V46" i="18"/>
  <c r="X46" i="18"/>
  <c r="AA46" i="18"/>
  <c r="AB46" i="18"/>
  <c r="AC46" i="18"/>
  <c r="AD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X46" i="18"/>
  <c r="BB46" i="18"/>
  <c r="BC46" i="18"/>
  <c r="BD46" i="18"/>
  <c r="BE46" i="18"/>
  <c r="BF46" i="18"/>
  <c r="BG46" i="18"/>
  <c r="BH46" i="18"/>
  <c r="BJ46" i="18"/>
  <c r="BK46" i="18"/>
  <c r="BM46" i="18"/>
  <c r="A47" i="18"/>
  <c r="E47" i="18"/>
  <c r="G47" i="18"/>
  <c r="J47" i="18"/>
  <c r="N47" i="18"/>
  <c r="O47" i="18"/>
  <c r="Q47" i="18"/>
  <c r="R47" i="18"/>
  <c r="S47" i="18"/>
  <c r="V47" i="18"/>
  <c r="X47" i="18"/>
  <c r="AA47" i="18"/>
  <c r="AB47" i="18"/>
  <c r="AC47" i="18"/>
  <c r="AD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X47" i="18"/>
  <c r="BB47" i="18"/>
  <c r="BC47" i="18"/>
  <c r="BD47" i="18"/>
  <c r="BE47" i="18"/>
  <c r="BF47" i="18"/>
  <c r="BG47" i="18"/>
  <c r="BH47" i="18"/>
  <c r="BJ47" i="18"/>
  <c r="BK47" i="18"/>
  <c r="BM47" i="18"/>
  <c r="A48" i="18"/>
  <c r="E48" i="18"/>
  <c r="G48" i="18"/>
  <c r="J48" i="18"/>
  <c r="N48" i="18"/>
  <c r="O48" i="18"/>
  <c r="Q48" i="18"/>
  <c r="R48" i="18"/>
  <c r="S48" i="18"/>
  <c r="V48" i="18"/>
  <c r="X48" i="18"/>
  <c r="AA48" i="18"/>
  <c r="AB48" i="18"/>
  <c r="AC48" i="18"/>
  <c r="AD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X48" i="18"/>
  <c r="BB48" i="18"/>
  <c r="BC48" i="18"/>
  <c r="BD48" i="18"/>
  <c r="BE48" i="18"/>
  <c r="BF48" i="18"/>
  <c r="BG48" i="18"/>
  <c r="BH48" i="18"/>
  <c r="BJ48" i="18"/>
  <c r="BK48" i="18"/>
  <c r="BM48" i="18"/>
  <c r="A49" i="18"/>
  <c r="E49" i="18"/>
  <c r="G49" i="18"/>
  <c r="J49" i="18"/>
  <c r="N49" i="18"/>
  <c r="O49" i="18"/>
  <c r="Q49" i="18"/>
  <c r="R49" i="18"/>
  <c r="S49" i="18"/>
  <c r="V49" i="18"/>
  <c r="X49" i="18"/>
  <c r="AA49" i="18"/>
  <c r="AB49" i="18"/>
  <c r="AC49" i="18"/>
  <c r="AD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X49" i="18"/>
  <c r="BB49" i="18"/>
  <c r="BC49" i="18"/>
  <c r="BD49" i="18"/>
  <c r="BE49" i="18"/>
  <c r="BF49" i="18"/>
  <c r="BG49" i="18"/>
  <c r="BH49" i="18"/>
  <c r="BJ49" i="18"/>
  <c r="BK49" i="18"/>
  <c r="BM49" i="18"/>
  <c r="A50" i="18"/>
  <c r="E50" i="18"/>
  <c r="G50" i="18"/>
  <c r="J50" i="18"/>
  <c r="N50" i="18"/>
  <c r="O50" i="18"/>
  <c r="Q50" i="18"/>
  <c r="R50" i="18"/>
  <c r="S50" i="18"/>
  <c r="V50" i="18"/>
  <c r="X50" i="18"/>
  <c r="AA50" i="18"/>
  <c r="AB50" i="18"/>
  <c r="AC50" i="18"/>
  <c r="AD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X50" i="18"/>
  <c r="BB50" i="18"/>
  <c r="BC50" i="18"/>
  <c r="BD50" i="18"/>
  <c r="BE50" i="18"/>
  <c r="BF50" i="18"/>
  <c r="BG50" i="18"/>
  <c r="BH50" i="18"/>
  <c r="BJ50" i="18"/>
  <c r="BK50" i="18"/>
  <c r="BM50" i="18"/>
  <c r="A51" i="18"/>
  <c r="E51" i="18"/>
  <c r="G51" i="18"/>
  <c r="J51" i="18"/>
  <c r="N51" i="18"/>
  <c r="O51" i="18"/>
  <c r="Q51" i="18"/>
  <c r="R51" i="18"/>
  <c r="S51" i="18"/>
  <c r="V51" i="18"/>
  <c r="X51" i="18"/>
  <c r="AA51" i="18"/>
  <c r="AB51" i="18"/>
  <c r="AC51" i="18"/>
  <c r="AD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X51" i="18"/>
  <c r="BB51" i="18"/>
  <c r="BC51" i="18"/>
  <c r="BD51" i="18"/>
  <c r="BE51" i="18"/>
  <c r="BF51" i="18"/>
  <c r="BG51" i="18"/>
  <c r="BH51" i="18"/>
  <c r="BJ51" i="18"/>
  <c r="BK51" i="18"/>
  <c r="BM51" i="18"/>
  <c r="A52" i="18"/>
  <c r="E52" i="18"/>
  <c r="G52" i="18"/>
  <c r="J52" i="18"/>
  <c r="N52" i="18"/>
  <c r="O52" i="18"/>
  <c r="Q52" i="18"/>
  <c r="R52" i="18"/>
  <c r="S52" i="18"/>
  <c r="V52" i="18"/>
  <c r="X52" i="18"/>
  <c r="AA52" i="18"/>
  <c r="AB52" i="18"/>
  <c r="AC52" i="18"/>
  <c r="AD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X52" i="18"/>
  <c r="BB52" i="18"/>
  <c r="BC52" i="18"/>
  <c r="BD52" i="18"/>
  <c r="BE52" i="18"/>
  <c r="BF52" i="18"/>
  <c r="BG52" i="18"/>
  <c r="BH52" i="18"/>
  <c r="BJ52" i="18"/>
  <c r="BK52" i="18"/>
  <c r="BM52" i="18"/>
  <c r="A53" i="18"/>
  <c r="E53" i="18"/>
  <c r="G53" i="18"/>
  <c r="J53" i="18"/>
  <c r="N53" i="18"/>
  <c r="O53" i="18"/>
  <c r="Q53" i="18"/>
  <c r="R53" i="18"/>
  <c r="S53" i="18"/>
  <c r="V53" i="18"/>
  <c r="X53" i="18"/>
  <c r="AA53" i="18"/>
  <c r="AB53" i="18"/>
  <c r="AC53" i="18"/>
  <c r="AD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X53" i="18"/>
  <c r="BB53" i="18"/>
  <c r="BC53" i="18"/>
  <c r="BD53" i="18"/>
  <c r="BE53" i="18"/>
  <c r="BF53" i="18"/>
  <c r="BG53" i="18"/>
  <c r="BH53" i="18"/>
  <c r="BJ53" i="18"/>
  <c r="BK53" i="18"/>
  <c r="BM53" i="18"/>
  <c r="A54" i="18"/>
  <c r="E54" i="18"/>
  <c r="G54" i="18"/>
  <c r="H54" i="18"/>
  <c r="J54" i="18"/>
  <c r="N54" i="18"/>
  <c r="O54" i="18"/>
  <c r="Q54" i="18"/>
  <c r="R54" i="18"/>
  <c r="S54" i="18"/>
  <c r="V54" i="18"/>
  <c r="X54" i="18"/>
  <c r="AA54" i="18"/>
  <c r="AB54" i="18"/>
  <c r="AC54" i="18"/>
  <c r="AD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X54" i="18"/>
  <c r="AY54" i="18"/>
  <c r="AZ54" i="18"/>
  <c r="BB54" i="18"/>
  <c r="BC54" i="18"/>
  <c r="BD54" i="18"/>
  <c r="BE54" i="18"/>
  <c r="BF54" i="18"/>
  <c r="BG54" i="18"/>
  <c r="BH54" i="18"/>
  <c r="BJ54" i="18"/>
  <c r="BK54" i="18"/>
  <c r="BM54" i="18"/>
  <c r="A55" i="18"/>
  <c r="E55" i="18"/>
  <c r="G55" i="18"/>
  <c r="J55" i="18"/>
  <c r="N55" i="18"/>
  <c r="O55" i="18"/>
  <c r="Q55" i="18"/>
  <c r="R55" i="18"/>
  <c r="S55" i="18"/>
  <c r="V55" i="18"/>
  <c r="X55" i="18"/>
  <c r="AA55" i="18"/>
  <c r="AB55" i="18"/>
  <c r="AC55" i="18"/>
  <c r="AD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X55" i="18"/>
  <c r="BB55" i="18"/>
  <c r="BC55" i="18"/>
  <c r="BD55" i="18"/>
  <c r="BE55" i="18"/>
  <c r="BF55" i="18"/>
  <c r="BG55" i="18"/>
  <c r="BH55" i="18"/>
  <c r="BJ55" i="18"/>
  <c r="BK55" i="18"/>
  <c r="BM55" i="18"/>
  <c r="A56" i="18"/>
  <c r="E56" i="18"/>
  <c r="G56" i="18"/>
  <c r="J56" i="18"/>
  <c r="N56" i="18"/>
  <c r="O56" i="18"/>
  <c r="Q56" i="18"/>
  <c r="R56" i="18"/>
  <c r="S56" i="18"/>
  <c r="V56" i="18"/>
  <c r="X56" i="18"/>
  <c r="AA56" i="18"/>
  <c r="AB56" i="18"/>
  <c r="AC56" i="18"/>
  <c r="AD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X56" i="18"/>
  <c r="BB56" i="18"/>
  <c r="BC56" i="18"/>
  <c r="BD56" i="18"/>
  <c r="BE56" i="18"/>
  <c r="BF56" i="18"/>
  <c r="BG56" i="18"/>
  <c r="BH56" i="18"/>
  <c r="BJ56" i="18"/>
  <c r="BK56" i="18"/>
  <c r="BM56" i="18"/>
  <c r="A57" i="18"/>
  <c r="E57" i="18"/>
  <c r="G57" i="18"/>
  <c r="J57" i="18"/>
  <c r="N57" i="18"/>
  <c r="O57" i="18"/>
  <c r="Q57" i="18"/>
  <c r="R57" i="18"/>
  <c r="S57" i="18"/>
  <c r="V57" i="18"/>
  <c r="X57" i="18"/>
  <c r="AA57" i="18"/>
  <c r="AB57" i="18"/>
  <c r="AC57" i="18"/>
  <c r="AD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X57" i="18"/>
  <c r="BB57" i="18"/>
  <c r="BC57" i="18"/>
  <c r="BD57" i="18"/>
  <c r="BE57" i="18"/>
  <c r="BF57" i="18"/>
  <c r="BG57" i="18"/>
  <c r="BH57" i="18"/>
  <c r="BJ57" i="18"/>
  <c r="BK57" i="18"/>
  <c r="BM57" i="18"/>
  <c r="A58" i="18"/>
  <c r="E58" i="18"/>
  <c r="G58" i="18"/>
  <c r="J58" i="18"/>
  <c r="N58" i="18"/>
  <c r="O58" i="18"/>
  <c r="Q58" i="18"/>
  <c r="R58" i="18"/>
  <c r="S58" i="18"/>
  <c r="V58" i="18"/>
  <c r="X58" i="18"/>
  <c r="AA58" i="18"/>
  <c r="AB58" i="18"/>
  <c r="AC58" i="18"/>
  <c r="AD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X58" i="18"/>
  <c r="BB58" i="18"/>
  <c r="BC58" i="18"/>
  <c r="BD58" i="18"/>
  <c r="BE58" i="18"/>
  <c r="BF58" i="18"/>
  <c r="BG58" i="18"/>
  <c r="BH58" i="18"/>
  <c r="BJ58" i="18"/>
  <c r="BK58" i="18"/>
  <c r="BM58" i="18"/>
  <c r="A59" i="18"/>
  <c r="E59" i="18"/>
  <c r="G59" i="18"/>
  <c r="J59" i="18"/>
  <c r="N59" i="18"/>
  <c r="O59" i="18"/>
  <c r="Q59" i="18"/>
  <c r="R59" i="18"/>
  <c r="S59" i="18"/>
  <c r="V59" i="18"/>
  <c r="X59" i="18"/>
  <c r="AA59" i="18"/>
  <c r="AB59" i="18"/>
  <c r="AC59" i="18"/>
  <c r="AD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X59" i="18"/>
  <c r="BB59" i="18"/>
  <c r="BC59" i="18"/>
  <c r="BD59" i="18"/>
  <c r="BE59" i="18"/>
  <c r="BF59" i="18"/>
  <c r="BG59" i="18"/>
  <c r="BH59" i="18"/>
  <c r="BJ59" i="18"/>
  <c r="BK59" i="18"/>
  <c r="BM59" i="18"/>
  <c r="A60" i="18"/>
  <c r="E60" i="18"/>
  <c r="G60" i="18"/>
  <c r="J60" i="18"/>
  <c r="N60" i="18"/>
  <c r="O60" i="18"/>
  <c r="Q60" i="18"/>
  <c r="R60" i="18"/>
  <c r="S60" i="18"/>
  <c r="V60" i="18"/>
  <c r="X60" i="18"/>
  <c r="AA60" i="18"/>
  <c r="AB60" i="18"/>
  <c r="AC60" i="18"/>
  <c r="AD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X60" i="18"/>
  <c r="BB60" i="18"/>
  <c r="BC60" i="18"/>
  <c r="BD60" i="18"/>
  <c r="BE60" i="18"/>
  <c r="BF60" i="18"/>
  <c r="BG60" i="18"/>
  <c r="BH60" i="18"/>
  <c r="BJ60" i="18"/>
  <c r="BK60" i="18"/>
  <c r="BM60" i="18"/>
  <c r="A61" i="18"/>
  <c r="E61" i="18"/>
  <c r="G61" i="18"/>
  <c r="J61" i="18"/>
  <c r="N61" i="18"/>
  <c r="O61" i="18"/>
  <c r="Q61" i="18"/>
  <c r="R61" i="18"/>
  <c r="S61" i="18"/>
  <c r="V61" i="18"/>
  <c r="X61" i="18"/>
  <c r="AA61" i="18"/>
  <c r="AB61" i="18"/>
  <c r="AC61" i="18"/>
  <c r="AD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X61" i="18"/>
  <c r="BB61" i="18"/>
  <c r="BC61" i="18"/>
  <c r="BD61" i="18"/>
  <c r="BE61" i="18"/>
  <c r="BF61" i="18"/>
  <c r="BG61" i="18"/>
  <c r="BH61" i="18"/>
  <c r="BJ61" i="18"/>
  <c r="BK61" i="18"/>
  <c r="BM61" i="18"/>
  <c r="A62" i="18"/>
  <c r="E62" i="18"/>
  <c r="G62" i="18"/>
  <c r="J62" i="18"/>
  <c r="N62" i="18"/>
  <c r="O62" i="18"/>
  <c r="Q62" i="18"/>
  <c r="R62" i="18"/>
  <c r="S62" i="18"/>
  <c r="V62" i="18"/>
  <c r="X62" i="18"/>
  <c r="AA62" i="18"/>
  <c r="AB62" i="18"/>
  <c r="AC62" i="18"/>
  <c r="AD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X62" i="18"/>
  <c r="BB62" i="18"/>
  <c r="BC62" i="18"/>
  <c r="BD62" i="18"/>
  <c r="BE62" i="18"/>
  <c r="BF62" i="18"/>
  <c r="BG62" i="18"/>
  <c r="BH62" i="18"/>
  <c r="BJ62" i="18"/>
  <c r="BK62" i="18"/>
  <c r="BM62" i="18"/>
  <c r="A63" i="18"/>
  <c r="E63" i="18"/>
  <c r="G63" i="18"/>
  <c r="J63" i="18"/>
  <c r="N63" i="18"/>
  <c r="O63" i="18"/>
  <c r="Q63" i="18"/>
  <c r="R63" i="18"/>
  <c r="S63" i="18"/>
  <c r="V63" i="18"/>
  <c r="X63" i="18"/>
  <c r="AA63" i="18"/>
  <c r="AB63" i="18"/>
  <c r="AC63" i="18"/>
  <c r="AD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X63" i="18"/>
  <c r="BB63" i="18"/>
  <c r="BC63" i="18"/>
  <c r="BD63" i="18"/>
  <c r="BE63" i="18"/>
  <c r="BF63" i="18"/>
  <c r="BG63" i="18"/>
  <c r="BH63" i="18"/>
  <c r="BJ63" i="18"/>
  <c r="BK63" i="18"/>
  <c r="BM63" i="18"/>
  <c r="A64" i="18"/>
  <c r="E64" i="18"/>
  <c r="G64" i="18"/>
  <c r="J64" i="18"/>
  <c r="N64" i="18"/>
  <c r="O64" i="18"/>
  <c r="Q64" i="18"/>
  <c r="R64" i="18"/>
  <c r="S64" i="18"/>
  <c r="V64" i="18"/>
  <c r="X64" i="18"/>
  <c r="AA64" i="18"/>
  <c r="AB64" i="18"/>
  <c r="AC64" i="18"/>
  <c r="AD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X64" i="18"/>
  <c r="BB64" i="18"/>
  <c r="BC64" i="18"/>
  <c r="BD64" i="18"/>
  <c r="BE64" i="18"/>
  <c r="BF64" i="18"/>
  <c r="BG64" i="18"/>
  <c r="BH64" i="18"/>
  <c r="BJ64" i="18"/>
  <c r="BK64" i="18"/>
  <c r="BM64" i="18"/>
  <c r="A65" i="18"/>
  <c r="E65" i="18"/>
  <c r="G65" i="18"/>
  <c r="J65" i="18"/>
  <c r="N65" i="18"/>
  <c r="O65" i="18"/>
  <c r="Q65" i="18"/>
  <c r="R65" i="18"/>
  <c r="S65" i="18"/>
  <c r="V65" i="18"/>
  <c r="X65" i="18"/>
  <c r="AA65" i="18"/>
  <c r="AB65" i="18"/>
  <c r="AC65" i="18"/>
  <c r="AD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X65" i="18"/>
  <c r="BB65" i="18"/>
  <c r="BC65" i="18"/>
  <c r="BD65" i="18"/>
  <c r="BE65" i="18"/>
  <c r="BF65" i="18"/>
  <c r="BG65" i="18"/>
  <c r="BH65" i="18"/>
  <c r="BJ65" i="18"/>
  <c r="BK65" i="18"/>
  <c r="BM65" i="18"/>
  <c r="A66" i="18"/>
  <c r="E66" i="18"/>
  <c r="G66" i="18"/>
  <c r="H66" i="18"/>
  <c r="J66" i="18"/>
  <c r="N66" i="18"/>
  <c r="O66" i="18"/>
  <c r="Q66" i="18"/>
  <c r="R66" i="18"/>
  <c r="S66" i="18"/>
  <c r="V66" i="18"/>
  <c r="X66" i="18"/>
  <c r="AA66" i="18"/>
  <c r="AB66" i="18"/>
  <c r="AC66" i="18"/>
  <c r="AD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X66" i="18"/>
  <c r="AY66" i="18"/>
  <c r="AZ66" i="18"/>
  <c r="BB66" i="18"/>
  <c r="BC66" i="18"/>
  <c r="BD66" i="18"/>
  <c r="BE66" i="18"/>
  <c r="BF66" i="18"/>
  <c r="BG66" i="18"/>
  <c r="BH66" i="18"/>
  <c r="BJ66" i="18"/>
  <c r="BK66" i="18"/>
  <c r="BM66" i="18"/>
  <c r="A67" i="18"/>
  <c r="E67" i="18"/>
  <c r="F67" i="18"/>
  <c r="G67" i="18"/>
  <c r="J67" i="18"/>
  <c r="N67" i="18"/>
  <c r="O67" i="18"/>
  <c r="Q67" i="18"/>
  <c r="R67" i="18"/>
  <c r="S67" i="18"/>
  <c r="V67" i="18"/>
  <c r="X67" i="18"/>
  <c r="AA67" i="18"/>
  <c r="AB67" i="18"/>
  <c r="AC67" i="18"/>
  <c r="AD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X67" i="18"/>
  <c r="BB67" i="18"/>
  <c r="BC67" i="18"/>
  <c r="BD67" i="18"/>
  <c r="BE67" i="18"/>
  <c r="BF67" i="18"/>
  <c r="BG67" i="18"/>
  <c r="BH67" i="18"/>
  <c r="BJ67" i="18"/>
  <c r="BK67" i="18"/>
  <c r="BM67" i="18"/>
  <c r="A68" i="18"/>
  <c r="E68" i="18"/>
  <c r="F68" i="18"/>
  <c r="G68" i="18"/>
  <c r="J68" i="18"/>
  <c r="N68" i="18"/>
  <c r="O68" i="18"/>
  <c r="Q68" i="18"/>
  <c r="R68" i="18"/>
  <c r="S68" i="18"/>
  <c r="V68" i="18"/>
  <c r="X68" i="18"/>
  <c r="AA68" i="18"/>
  <c r="AB68" i="18"/>
  <c r="AC68" i="18"/>
  <c r="AD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X68" i="18"/>
  <c r="BB68" i="18"/>
  <c r="BC68" i="18"/>
  <c r="BD68" i="18"/>
  <c r="BE68" i="18"/>
  <c r="BF68" i="18"/>
  <c r="BG68" i="18"/>
  <c r="BH68" i="18"/>
  <c r="BJ68" i="18"/>
  <c r="BK68" i="18"/>
  <c r="BM68" i="18"/>
  <c r="A69" i="18"/>
  <c r="E69" i="18"/>
  <c r="F69" i="18"/>
  <c r="G69" i="18"/>
  <c r="J69" i="18"/>
  <c r="N69" i="18"/>
  <c r="O69" i="18"/>
  <c r="Q69" i="18"/>
  <c r="R69" i="18"/>
  <c r="S69" i="18"/>
  <c r="V69" i="18"/>
  <c r="X69" i="18"/>
  <c r="AA69" i="18"/>
  <c r="AB69" i="18"/>
  <c r="AC69" i="18"/>
  <c r="AD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X69" i="18"/>
  <c r="BB69" i="18"/>
  <c r="BC69" i="18"/>
  <c r="BD69" i="18"/>
  <c r="BE69" i="18"/>
  <c r="BF69" i="18"/>
  <c r="BG69" i="18"/>
  <c r="BH69" i="18"/>
  <c r="BJ69" i="18"/>
  <c r="BK69" i="18"/>
  <c r="BM69" i="18"/>
  <c r="A70" i="18"/>
  <c r="E70" i="18"/>
  <c r="F70" i="18"/>
  <c r="G70" i="18"/>
  <c r="J70" i="18"/>
  <c r="N70" i="18"/>
  <c r="O70" i="18"/>
  <c r="Q70" i="18"/>
  <c r="R70" i="18"/>
  <c r="S70" i="18"/>
  <c r="V70" i="18"/>
  <c r="X70" i="18"/>
  <c r="AA70" i="18"/>
  <c r="AB70" i="18"/>
  <c r="AC70" i="18"/>
  <c r="AD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X70" i="18"/>
  <c r="BB70" i="18"/>
  <c r="BC70" i="18"/>
  <c r="BD70" i="18"/>
  <c r="BE70" i="18"/>
  <c r="BF70" i="18"/>
  <c r="BG70" i="18"/>
  <c r="BH70" i="18"/>
  <c r="BJ70" i="18"/>
  <c r="BK70" i="18"/>
  <c r="BM70" i="18"/>
  <c r="A71" i="18"/>
  <c r="E71" i="18"/>
  <c r="F71" i="18"/>
  <c r="G71" i="18"/>
  <c r="J71" i="18"/>
  <c r="N71" i="18"/>
  <c r="O71" i="18"/>
  <c r="Q71" i="18"/>
  <c r="R71" i="18"/>
  <c r="S71" i="18"/>
  <c r="V71" i="18"/>
  <c r="X71" i="18"/>
  <c r="AA71" i="18"/>
  <c r="AB71" i="18"/>
  <c r="AC71" i="18"/>
  <c r="AD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X71" i="18"/>
  <c r="BB71" i="18"/>
  <c r="BC71" i="18"/>
  <c r="BD71" i="18"/>
  <c r="BE71" i="18"/>
  <c r="BF71" i="18"/>
  <c r="BG71" i="18"/>
  <c r="BH71" i="18"/>
  <c r="BJ71" i="18"/>
  <c r="BK71" i="18"/>
  <c r="BM71" i="18"/>
  <c r="A72" i="18"/>
  <c r="E72" i="18"/>
  <c r="F72" i="18"/>
  <c r="G72" i="18"/>
  <c r="J72" i="18"/>
  <c r="N72" i="18"/>
  <c r="O72" i="18"/>
  <c r="Q72" i="18"/>
  <c r="R72" i="18"/>
  <c r="S72" i="18"/>
  <c r="V72" i="18"/>
  <c r="X72" i="18"/>
  <c r="AA72" i="18"/>
  <c r="AB72" i="18"/>
  <c r="AC72" i="18"/>
  <c r="AD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X72" i="18"/>
  <c r="BB72" i="18"/>
  <c r="BC72" i="18"/>
  <c r="BD72" i="18"/>
  <c r="BE72" i="18"/>
  <c r="BF72" i="18"/>
  <c r="BG72" i="18"/>
  <c r="BH72" i="18"/>
  <c r="BJ72" i="18"/>
  <c r="BK72" i="18"/>
  <c r="BM72" i="18"/>
  <c r="A73" i="18"/>
  <c r="E73" i="18"/>
  <c r="F73" i="18"/>
  <c r="G73" i="18"/>
  <c r="J73" i="18"/>
  <c r="N73" i="18"/>
  <c r="O73" i="18"/>
  <c r="Q73" i="18"/>
  <c r="R73" i="18"/>
  <c r="S73" i="18"/>
  <c r="V73" i="18"/>
  <c r="X73" i="18"/>
  <c r="AA73" i="18"/>
  <c r="AB73" i="18"/>
  <c r="AC73" i="18"/>
  <c r="AD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X73" i="18"/>
  <c r="BB73" i="18"/>
  <c r="BC73" i="18"/>
  <c r="BD73" i="18"/>
  <c r="BE73" i="18"/>
  <c r="BF73" i="18"/>
  <c r="BG73" i="18"/>
  <c r="BH73" i="18"/>
  <c r="BJ73" i="18"/>
  <c r="BK73" i="18"/>
  <c r="BM73" i="18"/>
  <c r="A74" i="18"/>
  <c r="E74" i="18"/>
  <c r="F74" i="18"/>
  <c r="G74" i="18"/>
  <c r="J74" i="18"/>
  <c r="N74" i="18"/>
  <c r="O74" i="18"/>
  <c r="Q74" i="18"/>
  <c r="R74" i="18"/>
  <c r="S74" i="18"/>
  <c r="V74" i="18"/>
  <c r="X74" i="18"/>
  <c r="AA74" i="18"/>
  <c r="AB74" i="18"/>
  <c r="AC74" i="18"/>
  <c r="AD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X74" i="18"/>
  <c r="BB74" i="18"/>
  <c r="BC74" i="18"/>
  <c r="BD74" i="18"/>
  <c r="BE74" i="18"/>
  <c r="BF74" i="18"/>
  <c r="BG74" i="18"/>
  <c r="BH74" i="18"/>
  <c r="BJ74" i="18"/>
  <c r="BK74" i="18"/>
  <c r="BM74" i="18"/>
  <c r="A75" i="18"/>
  <c r="E75" i="18"/>
  <c r="F75" i="18"/>
  <c r="G75" i="18"/>
  <c r="J75" i="18"/>
  <c r="N75" i="18"/>
  <c r="O75" i="18"/>
  <c r="Q75" i="18"/>
  <c r="R75" i="18"/>
  <c r="S75" i="18"/>
  <c r="V75" i="18"/>
  <c r="X75" i="18"/>
  <c r="AA75" i="18"/>
  <c r="AB75" i="18"/>
  <c r="AC75" i="18"/>
  <c r="AD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X75" i="18"/>
  <c r="BB75" i="18"/>
  <c r="BC75" i="18"/>
  <c r="BD75" i="18"/>
  <c r="BE75" i="18"/>
  <c r="BF75" i="18"/>
  <c r="BG75" i="18"/>
  <c r="BH75" i="18"/>
  <c r="BJ75" i="18"/>
  <c r="BK75" i="18"/>
  <c r="BM75" i="18"/>
  <c r="A76" i="18"/>
  <c r="E76" i="18"/>
  <c r="F76" i="18"/>
  <c r="G76" i="18"/>
  <c r="J76" i="18"/>
  <c r="N76" i="18"/>
  <c r="O76" i="18"/>
  <c r="Q76" i="18"/>
  <c r="R76" i="18"/>
  <c r="S76" i="18"/>
  <c r="V76" i="18"/>
  <c r="X76" i="18"/>
  <c r="AA76" i="18"/>
  <c r="AB76" i="18"/>
  <c r="AC76" i="18"/>
  <c r="AD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X76" i="18"/>
  <c r="BB76" i="18"/>
  <c r="BC76" i="18"/>
  <c r="BD76" i="18"/>
  <c r="BE76" i="18"/>
  <c r="BF76" i="18"/>
  <c r="BG76" i="18"/>
  <c r="BH76" i="18"/>
  <c r="BJ76" i="18"/>
  <c r="BK76" i="18"/>
  <c r="BM76" i="18"/>
  <c r="A77" i="18"/>
  <c r="E77" i="18"/>
  <c r="F77" i="18"/>
  <c r="G77" i="18"/>
  <c r="J77" i="18"/>
  <c r="N77" i="18"/>
  <c r="O77" i="18"/>
  <c r="Q77" i="18"/>
  <c r="R77" i="18"/>
  <c r="S77" i="18"/>
  <c r="V77" i="18"/>
  <c r="X77" i="18"/>
  <c r="AA77" i="18"/>
  <c r="AB77" i="18"/>
  <c r="AC77" i="18"/>
  <c r="AD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X77" i="18"/>
  <c r="BB77" i="18"/>
  <c r="BC77" i="18"/>
  <c r="BD77" i="18"/>
  <c r="BE77" i="18"/>
  <c r="BF77" i="18"/>
  <c r="BG77" i="18"/>
  <c r="BH77" i="18"/>
  <c r="BJ77" i="18"/>
  <c r="BK77" i="18"/>
  <c r="BM77" i="18"/>
  <c r="A78" i="18"/>
  <c r="E78" i="18"/>
  <c r="F78" i="18"/>
  <c r="G78" i="18"/>
  <c r="H78" i="18"/>
  <c r="J78" i="18"/>
  <c r="N78" i="18"/>
  <c r="O78" i="18"/>
  <c r="Q78" i="18"/>
  <c r="R78" i="18"/>
  <c r="S78" i="18"/>
  <c r="V78" i="18"/>
  <c r="X78" i="18"/>
  <c r="AA78" i="18"/>
  <c r="AB78" i="18"/>
  <c r="AC78" i="18"/>
  <c r="AD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X78" i="18"/>
  <c r="AY78" i="18"/>
  <c r="AZ78" i="18"/>
  <c r="BB78" i="18"/>
  <c r="BC78" i="18"/>
  <c r="BD78" i="18"/>
  <c r="BE78" i="18"/>
  <c r="BF78" i="18"/>
  <c r="BG78" i="18"/>
  <c r="BH78" i="18"/>
  <c r="BJ78" i="18"/>
  <c r="BK78" i="18"/>
  <c r="BM78" i="18"/>
  <c r="A79" i="18"/>
  <c r="E79" i="18"/>
  <c r="F79" i="18"/>
  <c r="G79" i="18"/>
  <c r="J79" i="18"/>
  <c r="N79" i="18"/>
  <c r="O79" i="18"/>
  <c r="Q79" i="18"/>
  <c r="R79" i="18"/>
  <c r="S79" i="18"/>
  <c r="V79" i="18"/>
  <c r="X79" i="18"/>
  <c r="AA79" i="18"/>
  <c r="AB79" i="18"/>
  <c r="AC79" i="18"/>
  <c r="AD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X79" i="18"/>
  <c r="BB79" i="18"/>
  <c r="BC79" i="18"/>
  <c r="BD79" i="18"/>
  <c r="BE79" i="18"/>
  <c r="BF79" i="18"/>
  <c r="BG79" i="18"/>
  <c r="BH79" i="18"/>
  <c r="BJ79" i="18"/>
  <c r="BK79" i="18"/>
  <c r="BM79" i="18"/>
  <c r="A80" i="18"/>
  <c r="E80" i="18"/>
  <c r="F80" i="18"/>
  <c r="G80" i="18"/>
  <c r="J80" i="18"/>
  <c r="N80" i="18"/>
  <c r="O80" i="18"/>
  <c r="Q80" i="18"/>
  <c r="R80" i="18"/>
  <c r="S80" i="18"/>
  <c r="V80" i="18"/>
  <c r="X80" i="18"/>
  <c r="AA80" i="18"/>
  <c r="AB80" i="18"/>
  <c r="AC80" i="18"/>
  <c r="AD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X80" i="18"/>
  <c r="BB80" i="18"/>
  <c r="BC80" i="18"/>
  <c r="BD80" i="18"/>
  <c r="BE80" i="18"/>
  <c r="BF80" i="18"/>
  <c r="BG80" i="18"/>
  <c r="BH80" i="18"/>
  <c r="BJ80" i="18"/>
  <c r="BK80" i="18"/>
  <c r="BM80" i="18"/>
  <c r="A81" i="18"/>
  <c r="E81" i="18"/>
  <c r="F81" i="18"/>
  <c r="G81" i="18"/>
  <c r="J81" i="18"/>
  <c r="N81" i="18"/>
  <c r="O81" i="18"/>
  <c r="Q81" i="18"/>
  <c r="R81" i="18"/>
  <c r="S81" i="18"/>
  <c r="V81" i="18"/>
  <c r="X81" i="18"/>
  <c r="AA81" i="18"/>
  <c r="AB81" i="18"/>
  <c r="AC81" i="18"/>
  <c r="AD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X81" i="18"/>
  <c r="BB81" i="18"/>
  <c r="BC81" i="18"/>
  <c r="BD81" i="18"/>
  <c r="BE81" i="18"/>
  <c r="BF81" i="18"/>
  <c r="BG81" i="18"/>
  <c r="BH81" i="18"/>
  <c r="BJ81" i="18"/>
  <c r="BK81" i="18"/>
  <c r="BM81" i="18"/>
  <c r="A82" i="18"/>
  <c r="E82" i="18"/>
  <c r="F82" i="18"/>
  <c r="G82" i="18"/>
  <c r="J82" i="18"/>
  <c r="N82" i="18"/>
  <c r="O82" i="18"/>
  <c r="Q82" i="18"/>
  <c r="R82" i="18"/>
  <c r="S82" i="18"/>
  <c r="V82" i="18"/>
  <c r="X82" i="18"/>
  <c r="AA82" i="18"/>
  <c r="AB82" i="18"/>
  <c r="AC82" i="18"/>
  <c r="AD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X82" i="18"/>
  <c r="BB82" i="18"/>
  <c r="BC82" i="18"/>
  <c r="BD82" i="18"/>
  <c r="BE82" i="18"/>
  <c r="BF82" i="18"/>
  <c r="BG82" i="18"/>
  <c r="BH82" i="18"/>
  <c r="BJ82" i="18"/>
  <c r="BK82" i="18"/>
  <c r="BM82" i="18"/>
  <c r="A83" i="18"/>
  <c r="E83" i="18"/>
  <c r="F83" i="18"/>
  <c r="G83" i="18"/>
  <c r="J83" i="18"/>
  <c r="N83" i="18"/>
  <c r="O83" i="18"/>
  <c r="Q83" i="18"/>
  <c r="R83" i="18"/>
  <c r="S83" i="18"/>
  <c r="V83" i="18"/>
  <c r="X83" i="18"/>
  <c r="AA83" i="18"/>
  <c r="AB83" i="18"/>
  <c r="AC83" i="18"/>
  <c r="AD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X83" i="18"/>
  <c r="BB83" i="18"/>
  <c r="BC83" i="18"/>
  <c r="BD83" i="18"/>
  <c r="BE83" i="18"/>
  <c r="BF83" i="18"/>
  <c r="BG83" i="18"/>
  <c r="BH83" i="18"/>
  <c r="BJ83" i="18"/>
  <c r="BK83" i="18"/>
  <c r="BM83" i="18"/>
  <c r="A84" i="18"/>
  <c r="E84" i="18"/>
  <c r="F84" i="18"/>
  <c r="G84" i="18"/>
  <c r="J84" i="18"/>
  <c r="N84" i="18"/>
  <c r="O84" i="18"/>
  <c r="Q84" i="18"/>
  <c r="R84" i="18"/>
  <c r="S84" i="18"/>
  <c r="V84" i="18"/>
  <c r="X84" i="18"/>
  <c r="AA84" i="18"/>
  <c r="AB84" i="18"/>
  <c r="AC84" i="18"/>
  <c r="AD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X84" i="18"/>
  <c r="BB84" i="18"/>
  <c r="BC84" i="18"/>
  <c r="BD84" i="18"/>
  <c r="BE84" i="18"/>
  <c r="BF84" i="18"/>
  <c r="BG84" i="18"/>
  <c r="BH84" i="18"/>
  <c r="BJ84" i="18"/>
  <c r="BK84" i="18"/>
  <c r="BM84" i="18"/>
  <c r="A85" i="18"/>
  <c r="E85" i="18"/>
  <c r="F85" i="18"/>
  <c r="G85" i="18"/>
  <c r="J85" i="18"/>
  <c r="N85" i="18"/>
  <c r="O85" i="18"/>
  <c r="Q85" i="18"/>
  <c r="R85" i="18"/>
  <c r="S85" i="18"/>
  <c r="V85" i="18"/>
  <c r="X85" i="18"/>
  <c r="AA85" i="18"/>
  <c r="AB85" i="18"/>
  <c r="AC85" i="18"/>
  <c r="AD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X85" i="18"/>
  <c r="BB85" i="18"/>
  <c r="BC85" i="18"/>
  <c r="BD85" i="18"/>
  <c r="BE85" i="18"/>
  <c r="BF85" i="18"/>
  <c r="BG85" i="18"/>
  <c r="BH85" i="18"/>
  <c r="BJ85" i="18"/>
  <c r="BK85" i="18"/>
  <c r="BM85" i="18"/>
  <c r="A86" i="18"/>
  <c r="E86" i="18"/>
  <c r="F86" i="18"/>
  <c r="G86" i="18"/>
  <c r="J86" i="18"/>
  <c r="N86" i="18"/>
  <c r="O86" i="18"/>
  <c r="Q86" i="18"/>
  <c r="R86" i="18"/>
  <c r="S86" i="18"/>
  <c r="V86" i="18"/>
  <c r="X86" i="18"/>
  <c r="AA86" i="18"/>
  <c r="AB86" i="18"/>
  <c r="AC86" i="18"/>
  <c r="AD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X86" i="18"/>
  <c r="BB86" i="18"/>
  <c r="BC86" i="18"/>
  <c r="BD86" i="18"/>
  <c r="BE86" i="18"/>
  <c r="BF86" i="18"/>
  <c r="BG86" i="18"/>
  <c r="BH86" i="18"/>
  <c r="BJ86" i="18"/>
  <c r="BK86" i="18"/>
  <c r="BM86" i="18"/>
  <c r="A87" i="18"/>
  <c r="E87" i="18"/>
  <c r="F87" i="18"/>
  <c r="G87" i="18"/>
  <c r="J87" i="18"/>
  <c r="N87" i="18"/>
  <c r="O87" i="18"/>
  <c r="Q87" i="18"/>
  <c r="R87" i="18"/>
  <c r="S87" i="18"/>
  <c r="V87" i="18"/>
  <c r="X87" i="18"/>
  <c r="AA87" i="18"/>
  <c r="AB87" i="18"/>
  <c r="AC87" i="18"/>
  <c r="AD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X87" i="18"/>
  <c r="BB87" i="18"/>
  <c r="BC87" i="18"/>
  <c r="BD87" i="18"/>
  <c r="BE87" i="18"/>
  <c r="BF87" i="18"/>
  <c r="BG87" i="18"/>
  <c r="BH87" i="18"/>
  <c r="BJ87" i="18"/>
  <c r="BK87" i="18"/>
  <c r="BM87" i="18"/>
  <c r="A88" i="18"/>
  <c r="E88" i="18"/>
  <c r="F88" i="18"/>
  <c r="G88" i="18"/>
  <c r="J88" i="18"/>
  <c r="N88" i="18"/>
  <c r="O88" i="18"/>
  <c r="Q88" i="18"/>
  <c r="R88" i="18"/>
  <c r="S88" i="18"/>
  <c r="V88" i="18"/>
  <c r="X88" i="18"/>
  <c r="AA88" i="18"/>
  <c r="AB88" i="18"/>
  <c r="AC88" i="18"/>
  <c r="AD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U88" i="18"/>
  <c r="AV88" i="18"/>
  <c r="AX88" i="18"/>
  <c r="BB88" i="18"/>
  <c r="BC88" i="18"/>
  <c r="BD88" i="18"/>
  <c r="BE88" i="18"/>
  <c r="BF88" i="18"/>
  <c r="BG88" i="18"/>
  <c r="BH88" i="18"/>
  <c r="BJ88" i="18"/>
  <c r="BK88" i="18"/>
  <c r="BM88" i="18"/>
  <c r="A89" i="18"/>
  <c r="E89" i="18"/>
  <c r="F89" i="18"/>
  <c r="G89" i="18"/>
  <c r="J89" i="18"/>
  <c r="N89" i="18"/>
  <c r="O89" i="18"/>
  <c r="Q89" i="18"/>
  <c r="R89" i="18"/>
  <c r="S89" i="18"/>
  <c r="V89" i="18"/>
  <c r="X89" i="18"/>
  <c r="AA89" i="18"/>
  <c r="AB89" i="18"/>
  <c r="AC89" i="18"/>
  <c r="AD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X89" i="18"/>
  <c r="BB89" i="18"/>
  <c r="BC89" i="18"/>
  <c r="BD89" i="18"/>
  <c r="BE89" i="18"/>
  <c r="BF89" i="18"/>
  <c r="BG89" i="18"/>
  <c r="BH89" i="18"/>
  <c r="BJ89" i="18"/>
  <c r="BK89" i="18"/>
  <c r="BM89" i="18"/>
  <c r="A90" i="18"/>
  <c r="E90" i="18"/>
  <c r="F90" i="18"/>
  <c r="G90" i="18"/>
  <c r="H90" i="18"/>
  <c r="J90" i="18"/>
  <c r="N90" i="18"/>
  <c r="O90" i="18"/>
  <c r="Q90" i="18"/>
  <c r="R90" i="18"/>
  <c r="S90" i="18"/>
  <c r="V90" i="18"/>
  <c r="X90" i="18"/>
  <c r="AA90" i="18"/>
  <c r="AB90" i="18"/>
  <c r="AC90" i="18"/>
  <c r="AD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X90" i="18"/>
  <c r="AY90" i="18"/>
  <c r="AZ90" i="18"/>
  <c r="BB90" i="18"/>
  <c r="BC90" i="18"/>
  <c r="BD90" i="18"/>
  <c r="BE90" i="18"/>
  <c r="BF90" i="18"/>
  <c r="BG90" i="18"/>
  <c r="BH90" i="18"/>
  <c r="BJ90" i="18"/>
  <c r="BK90" i="18"/>
  <c r="BM90" i="18"/>
  <c r="A91" i="18"/>
  <c r="E91" i="18"/>
  <c r="F91" i="18"/>
  <c r="G91" i="18"/>
  <c r="J91" i="18"/>
  <c r="N91" i="18"/>
  <c r="O91" i="18"/>
  <c r="Q91" i="18"/>
  <c r="R91" i="18"/>
  <c r="S91" i="18"/>
  <c r="V91" i="18"/>
  <c r="X91" i="18"/>
  <c r="AA91" i="18"/>
  <c r="AB91" i="18"/>
  <c r="AC91" i="18"/>
  <c r="AD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X91" i="18"/>
  <c r="BB91" i="18"/>
  <c r="BC91" i="18"/>
  <c r="BD91" i="18"/>
  <c r="BE91" i="18"/>
  <c r="BF91" i="18"/>
  <c r="BG91" i="18"/>
  <c r="BH91" i="18"/>
  <c r="BJ91" i="18"/>
  <c r="BK91" i="18"/>
  <c r="BM91" i="18"/>
  <c r="A92" i="18"/>
  <c r="E92" i="18"/>
  <c r="F92" i="18"/>
  <c r="G92" i="18"/>
  <c r="J92" i="18"/>
  <c r="N92" i="18"/>
  <c r="O92" i="18"/>
  <c r="Q92" i="18"/>
  <c r="R92" i="18"/>
  <c r="S92" i="18"/>
  <c r="V92" i="18"/>
  <c r="X92" i="18"/>
  <c r="AA92" i="18"/>
  <c r="AB92" i="18"/>
  <c r="AC92" i="18"/>
  <c r="AD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X92" i="18"/>
  <c r="BB92" i="18"/>
  <c r="BC92" i="18"/>
  <c r="BD92" i="18"/>
  <c r="BE92" i="18"/>
  <c r="BF92" i="18"/>
  <c r="BG92" i="18"/>
  <c r="BH92" i="18"/>
  <c r="BJ92" i="18"/>
  <c r="BK92" i="18"/>
  <c r="BM92" i="18"/>
  <c r="A93" i="18"/>
  <c r="E93" i="18"/>
  <c r="F93" i="18"/>
  <c r="G93" i="18"/>
  <c r="J93" i="18"/>
  <c r="N93" i="18"/>
  <c r="O93" i="18"/>
  <c r="Q93" i="18"/>
  <c r="R93" i="18"/>
  <c r="S93" i="18"/>
  <c r="V93" i="18"/>
  <c r="X93" i="18"/>
  <c r="AA93" i="18"/>
  <c r="AB93" i="18"/>
  <c r="AC93" i="18"/>
  <c r="AD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X93" i="18"/>
  <c r="BB93" i="18"/>
  <c r="BC93" i="18"/>
  <c r="BD93" i="18"/>
  <c r="BE93" i="18"/>
  <c r="BF93" i="18"/>
  <c r="BG93" i="18"/>
  <c r="BH93" i="18"/>
  <c r="BJ93" i="18"/>
  <c r="BK93" i="18"/>
  <c r="BM93" i="18"/>
  <c r="A94" i="18"/>
  <c r="E94" i="18"/>
  <c r="F94" i="18"/>
  <c r="G94" i="18"/>
  <c r="J94" i="18"/>
  <c r="N94" i="18"/>
  <c r="O94" i="18"/>
  <c r="Q94" i="18"/>
  <c r="R94" i="18"/>
  <c r="S94" i="18"/>
  <c r="V94" i="18"/>
  <c r="X94" i="18"/>
  <c r="AA94" i="18"/>
  <c r="AB94" i="18"/>
  <c r="AC94" i="18"/>
  <c r="AD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X94" i="18"/>
  <c r="BB94" i="18"/>
  <c r="BC94" i="18"/>
  <c r="BD94" i="18"/>
  <c r="BE94" i="18"/>
  <c r="BF94" i="18"/>
  <c r="BG94" i="18"/>
  <c r="BH94" i="18"/>
  <c r="BJ94" i="18"/>
  <c r="BK94" i="18"/>
  <c r="BM94" i="18"/>
  <c r="A95" i="18"/>
  <c r="E95" i="18"/>
  <c r="F95" i="18"/>
  <c r="G95" i="18"/>
  <c r="J95" i="18"/>
  <c r="N95" i="18"/>
  <c r="O95" i="18"/>
  <c r="Q95" i="18"/>
  <c r="R95" i="18"/>
  <c r="S95" i="18"/>
  <c r="V95" i="18"/>
  <c r="X95" i="18"/>
  <c r="AA95" i="18"/>
  <c r="AB95" i="18"/>
  <c r="AC95" i="18"/>
  <c r="AD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X95" i="18"/>
  <c r="BB95" i="18"/>
  <c r="BC95" i="18"/>
  <c r="BD95" i="18"/>
  <c r="BE95" i="18"/>
  <c r="BF95" i="18"/>
  <c r="BG95" i="18"/>
  <c r="BH95" i="18"/>
  <c r="BJ95" i="18"/>
  <c r="BK95" i="18"/>
  <c r="BM95" i="18"/>
  <c r="A96" i="18"/>
  <c r="E96" i="18"/>
  <c r="F96" i="18"/>
  <c r="G96" i="18"/>
  <c r="J96" i="18"/>
  <c r="N96" i="18"/>
  <c r="O96" i="18"/>
  <c r="Q96" i="18"/>
  <c r="R96" i="18"/>
  <c r="S96" i="18"/>
  <c r="V96" i="18"/>
  <c r="X96" i="18"/>
  <c r="AA96" i="18"/>
  <c r="AB96" i="18"/>
  <c r="AC96" i="18"/>
  <c r="AD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X96" i="18"/>
  <c r="BB96" i="18"/>
  <c r="BC96" i="18"/>
  <c r="BD96" i="18"/>
  <c r="BE96" i="18"/>
  <c r="BF96" i="18"/>
  <c r="BG96" i="18"/>
  <c r="BH96" i="18"/>
  <c r="BJ96" i="18"/>
  <c r="BK96" i="18"/>
  <c r="BM96" i="18"/>
  <c r="A97" i="18"/>
  <c r="E97" i="18"/>
  <c r="F97" i="18"/>
  <c r="G97" i="18"/>
  <c r="J97" i="18"/>
  <c r="N97" i="18"/>
  <c r="O97" i="18"/>
  <c r="Q97" i="18"/>
  <c r="R97" i="18"/>
  <c r="S97" i="18"/>
  <c r="V97" i="18"/>
  <c r="X97" i="18"/>
  <c r="AA97" i="18"/>
  <c r="AB97" i="18"/>
  <c r="AC97" i="18"/>
  <c r="AD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X97" i="18"/>
  <c r="BB97" i="18"/>
  <c r="BC97" i="18"/>
  <c r="BD97" i="18"/>
  <c r="BE97" i="18"/>
  <c r="BF97" i="18"/>
  <c r="BG97" i="18"/>
  <c r="BH97" i="18"/>
  <c r="BJ97" i="18"/>
  <c r="BK97" i="18"/>
  <c r="BM97" i="18"/>
  <c r="A98" i="18"/>
  <c r="E98" i="18"/>
  <c r="F98" i="18"/>
  <c r="G98" i="18"/>
  <c r="J98" i="18"/>
  <c r="N98" i="18"/>
  <c r="O98" i="18"/>
  <c r="Q98" i="18"/>
  <c r="R98" i="18"/>
  <c r="S98" i="18"/>
  <c r="V98" i="18"/>
  <c r="X98" i="18"/>
  <c r="AA98" i="18"/>
  <c r="AB98" i="18"/>
  <c r="AC98" i="18"/>
  <c r="AD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X98" i="18"/>
  <c r="BB98" i="18"/>
  <c r="BC98" i="18"/>
  <c r="BD98" i="18"/>
  <c r="BE98" i="18"/>
  <c r="BF98" i="18"/>
  <c r="BG98" i="18"/>
  <c r="BH98" i="18"/>
  <c r="BJ98" i="18"/>
  <c r="BK98" i="18"/>
  <c r="BM98" i="18"/>
  <c r="A99" i="18"/>
  <c r="E99" i="18"/>
  <c r="F99" i="18"/>
  <c r="G99" i="18"/>
  <c r="J99" i="18"/>
  <c r="N99" i="18"/>
  <c r="O99" i="18"/>
  <c r="Q99" i="18"/>
  <c r="R99" i="18"/>
  <c r="S99" i="18"/>
  <c r="V99" i="18"/>
  <c r="X99" i="18"/>
  <c r="AA99" i="18"/>
  <c r="AB99" i="18"/>
  <c r="AC99" i="18"/>
  <c r="AD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X99" i="18"/>
  <c r="BB99" i="18"/>
  <c r="BC99" i="18"/>
  <c r="BD99" i="18"/>
  <c r="BE99" i="18"/>
  <c r="BF99" i="18"/>
  <c r="BG99" i="18"/>
  <c r="BH99" i="18"/>
  <c r="BJ99" i="18"/>
  <c r="BK99" i="18"/>
  <c r="BM99" i="18"/>
  <c r="A100" i="18"/>
  <c r="E100" i="18"/>
  <c r="F100" i="18"/>
  <c r="G100" i="18"/>
  <c r="J100" i="18"/>
  <c r="N100" i="18"/>
  <c r="O100" i="18"/>
  <c r="Q100" i="18"/>
  <c r="R100" i="18"/>
  <c r="S100" i="18"/>
  <c r="V100" i="18"/>
  <c r="X100" i="18"/>
  <c r="AA100" i="18"/>
  <c r="AB100" i="18"/>
  <c r="AC100" i="18"/>
  <c r="AD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X100" i="18"/>
  <c r="BB100" i="18"/>
  <c r="BC100" i="18"/>
  <c r="BD100" i="18"/>
  <c r="BE100" i="18"/>
  <c r="BF100" i="18"/>
  <c r="BG100" i="18"/>
  <c r="BH100" i="18"/>
  <c r="BJ100" i="18"/>
  <c r="BK100" i="18"/>
  <c r="BM100" i="18"/>
  <c r="A101" i="18"/>
  <c r="E101" i="18"/>
  <c r="F101" i="18"/>
  <c r="G101" i="18"/>
  <c r="J101" i="18"/>
  <c r="N101" i="18"/>
  <c r="O101" i="18"/>
  <c r="Q101" i="18"/>
  <c r="R101" i="18"/>
  <c r="S101" i="18"/>
  <c r="V101" i="18"/>
  <c r="X101" i="18"/>
  <c r="AA101" i="18"/>
  <c r="AB101" i="18"/>
  <c r="AC101" i="18"/>
  <c r="AD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X101" i="18"/>
  <c r="BB101" i="18"/>
  <c r="BC101" i="18"/>
  <c r="BD101" i="18"/>
  <c r="BE101" i="18"/>
  <c r="BF101" i="18"/>
  <c r="BG101" i="18"/>
  <c r="BH101" i="18"/>
  <c r="BJ101" i="18"/>
  <c r="BK101" i="18"/>
  <c r="BM101" i="18"/>
  <c r="A102" i="18"/>
  <c r="E102" i="18"/>
  <c r="F102" i="18"/>
  <c r="G102" i="18"/>
  <c r="H102" i="18"/>
  <c r="J102" i="18"/>
  <c r="N102" i="18"/>
  <c r="O102" i="18"/>
  <c r="Q102" i="18"/>
  <c r="R102" i="18"/>
  <c r="S102" i="18"/>
  <c r="V102" i="18"/>
  <c r="X102" i="18"/>
  <c r="AA102" i="18"/>
  <c r="AB102" i="18"/>
  <c r="AC102" i="18"/>
  <c r="AD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X102" i="18"/>
  <c r="AY102" i="18"/>
  <c r="AZ102" i="18"/>
  <c r="BB102" i="18"/>
  <c r="BC102" i="18"/>
  <c r="BD102" i="18"/>
  <c r="BE102" i="18"/>
  <c r="BF102" i="18"/>
  <c r="BG102" i="18"/>
  <c r="BH102" i="18"/>
  <c r="BJ102" i="18"/>
  <c r="BK102" i="18"/>
  <c r="BM102" i="18"/>
  <c r="A103" i="18"/>
  <c r="E103" i="18"/>
  <c r="F103" i="18"/>
  <c r="G103" i="18"/>
  <c r="J103" i="18"/>
  <c r="N103" i="18"/>
  <c r="O103" i="18"/>
  <c r="Q103" i="18"/>
  <c r="R103" i="18"/>
  <c r="S103" i="18"/>
  <c r="V103" i="18"/>
  <c r="X103" i="18"/>
  <c r="AA103" i="18"/>
  <c r="AB103" i="18"/>
  <c r="AC103" i="18"/>
  <c r="AD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X103" i="18"/>
  <c r="BB103" i="18"/>
  <c r="BC103" i="18"/>
  <c r="BD103" i="18"/>
  <c r="BE103" i="18"/>
  <c r="BF103" i="18"/>
  <c r="BG103" i="18"/>
  <c r="BH103" i="18"/>
  <c r="BJ103" i="18"/>
  <c r="BK103" i="18"/>
  <c r="BM103" i="18"/>
  <c r="A104" i="18"/>
  <c r="E104" i="18"/>
  <c r="F104" i="18"/>
  <c r="G104" i="18"/>
  <c r="J104" i="18"/>
  <c r="N104" i="18"/>
  <c r="O104" i="18"/>
  <c r="Q104" i="18"/>
  <c r="R104" i="18"/>
  <c r="S104" i="18"/>
  <c r="V104" i="18"/>
  <c r="X104" i="18"/>
  <c r="AA104" i="18"/>
  <c r="AB104" i="18"/>
  <c r="AC104" i="18"/>
  <c r="AD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X104" i="18"/>
  <c r="BB104" i="18"/>
  <c r="BC104" i="18"/>
  <c r="BD104" i="18"/>
  <c r="BE104" i="18"/>
  <c r="BF104" i="18"/>
  <c r="BG104" i="18"/>
  <c r="BH104" i="18"/>
  <c r="BJ104" i="18"/>
  <c r="BK104" i="18"/>
  <c r="BM104" i="18"/>
  <c r="A105" i="18"/>
  <c r="E105" i="18"/>
  <c r="F105" i="18"/>
  <c r="G105" i="18"/>
  <c r="J105" i="18"/>
  <c r="N105" i="18"/>
  <c r="O105" i="18"/>
  <c r="Q105" i="18"/>
  <c r="R105" i="18"/>
  <c r="S105" i="18"/>
  <c r="V105" i="18"/>
  <c r="X105" i="18"/>
  <c r="AA105" i="18"/>
  <c r="AB105" i="18"/>
  <c r="AC105" i="18"/>
  <c r="AD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X105" i="18"/>
  <c r="BB105" i="18"/>
  <c r="BC105" i="18"/>
  <c r="BD105" i="18"/>
  <c r="BE105" i="18"/>
  <c r="BF105" i="18"/>
  <c r="BG105" i="18"/>
  <c r="BH105" i="18"/>
  <c r="BJ105" i="18"/>
  <c r="BK105" i="18"/>
  <c r="BM105" i="18"/>
  <c r="A106" i="18"/>
  <c r="E106" i="18"/>
  <c r="F106" i="18"/>
  <c r="G106" i="18"/>
  <c r="J106" i="18"/>
  <c r="N106" i="18"/>
  <c r="O106" i="18"/>
  <c r="Q106" i="18"/>
  <c r="R106" i="18"/>
  <c r="S106" i="18"/>
  <c r="V106" i="18"/>
  <c r="X106" i="18"/>
  <c r="AA106" i="18"/>
  <c r="AB106" i="18"/>
  <c r="AC106" i="18"/>
  <c r="AD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X106" i="18"/>
  <c r="BB106" i="18"/>
  <c r="BC106" i="18"/>
  <c r="BD106" i="18"/>
  <c r="BE106" i="18"/>
  <c r="BF106" i="18"/>
  <c r="BG106" i="18"/>
  <c r="BH106" i="18"/>
  <c r="BJ106" i="18"/>
  <c r="BK106" i="18"/>
  <c r="BM106" i="18"/>
  <c r="A107" i="18"/>
  <c r="E107" i="18"/>
  <c r="F107" i="18"/>
  <c r="G107" i="18"/>
  <c r="J107" i="18"/>
  <c r="N107" i="18"/>
  <c r="O107" i="18"/>
  <c r="Q107" i="18"/>
  <c r="R107" i="18"/>
  <c r="S107" i="18"/>
  <c r="V107" i="18"/>
  <c r="X107" i="18"/>
  <c r="AA107" i="18"/>
  <c r="AB107" i="18"/>
  <c r="AC107" i="18"/>
  <c r="AD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X107" i="18"/>
  <c r="BB107" i="18"/>
  <c r="BC107" i="18"/>
  <c r="BD107" i="18"/>
  <c r="BE107" i="18"/>
  <c r="BF107" i="18"/>
  <c r="BG107" i="18"/>
  <c r="BH107" i="18"/>
  <c r="BJ107" i="18"/>
  <c r="BK107" i="18"/>
  <c r="BM107" i="18"/>
  <c r="A108" i="18"/>
  <c r="E108" i="18"/>
  <c r="F108" i="18"/>
  <c r="G108" i="18"/>
  <c r="J108" i="18"/>
  <c r="N108" i="18"/>
  <c r="O108" i="18"/>
  <c r="Q108" i="18"/>
  <c r="R108" i="18"/>
  <c r="S108" i="18"/>
  <c r="V108" i="18"/>
  <c r="X108" i="18"/>
  <c r="AA108" i="18"/>
  <c r="AB108" i="18"/>
  <c r="AC108" i="18"/>
  <c r="AD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X108" i="18"/>
  <c r="BB108" i="18"/>
  <c r="BC108" i="18"/>
  <c r="BD108" i="18"/>
  <c r="BE108" i="18"/>
  <c r="BF108" i="18"/>
  <c r="BG108" i="18"/>
  <c r="BH108" i="18"/>
  <c r="BJ108" i="18"/>
  <c r="BK108" i="18"/>
  <c r="BM108" i="18"/>
  <c r="A109" i="18"/>
  <c r="E109" i="18"/>
  <c r="F109" i="18"/>
  <c r="G109" i="18"/>
  <c r="J109" i="18"/>
  <c r="N109" i="18"/>
  <c r="O109" i="18"/>
  <c r="Q109" i="18"/>
  <c r="R109" i="18"/>
  <c r="S109" i="18"/>
  <c r="V109" i="18"/>
  <c r="X109" i="18"/>
  <c r="AA109" i="18"/>
  <c r="AB109" i="18"/>
  <c r="AC109" i="18"/>
  <c r="AD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X109" i="18"/>
  <c r="BB109" i="18"/>
  <c r="BC109" i="18"/>
  <c r="BD109" i="18"/>
  <c r="BE109" i="18"/>
  <c r="BF109" i="18"/>
  <c r="BG109" i="18"/>
  <c r="BH109" i="18"/>
  <c r="BJ109" i="18"/>
  <c r="BK109" i="18"/>
  <c r="BM109" i="18"/>
  <c r="A110" i="18"/>
  <c r="E110" i="18"/>
  <c r="F110" i="18"/>
  <c r="G110" i="18"/>
  <c r="J110" i="18"/>
  <c r="N110" i="18"/>
  <c r="O110" i="18"/>
  <c r="Q110" i="18"/>
  <c r="R110" i="18"/>
  <c r="S110" i="18"/>
  <c r="V110" i="18"/>
  <c r="X110" i="18"/>
  <c r="AA110" i="18"/>
  <c r="AB110" i="18"/>
  <c r="AC110" i="18"/>
  <c r="AD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X110" i="18"/>
  <c r="BB110" i="18"/>
  <c r="BC110" i="18"/>
  <c r="BD110" i="18"/>
  <c r="BE110" i="18"/>
  <c r="BF110" i="18"/>
  <c r="BG110" i="18"/>
  <c r="BH110" i="18"/>
  <c r="BJ110" i="18"/>
  <c r="BK110" i="18"/>
  <c r="BM110" i="18"/>
  <c r="A111" i="18"/>
  <c r="E111" i="18"/>
  <c r="F111" i="18"/>
  <c r="G111" i="18"/>
  <c r="J111" i="18"/>
  <c r="N111" i="18"/>
  <c r="O111" i="18"/>
  <c r="Q111" i="18"/>
  <c r="R111" i="18"/>
  <c r="S111" i="18"/>
  <c r="V111" i="18"/>
  <c r="X111" i="18"/>
  <c r="AA111" i="18"/>
  <c r="AB111" i="18"/>
  <c r="AC111" i="18"/>
  <c r="AD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X111" i="18"/>
  <c r="BB111" i="18"/>
  <c r="BC111" i="18"/>
  <c r="BD111" i="18"/>
  <c r="BE111" i="18"/>
  <c r="BF111" i="18"/>
  <c r="BG111" i="18"/>
  <c r="BH111" i="18"/>
  <c r="BJ111" i="18"/>
  <c r="BK111" i="18"/>
  <c r="BM111" i="18"/>
  <c r="A112" i="18"/>
  <c r="E112" i="18"/>
  <c r="F112" i="18"/>
  <c r="G112" i="18"/>
  <c r="J112" i="18"/>
  <c r="N112" i="18"/>
  <c r="O112" i="18"/>
  <c r="Q112" i="18"/>
  <c r="R112" i="18"/>
  <c r="S112" i="18"/>
  <c r="V112" i="18"/>
  <c r="X112" i="18"/>
  <c r="AA112" i="18"/>
  <c r="AB112" i="18"/>
  <c r="AC112" i="18"/>
  <c r="AD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X112" i="18"/>
  <c r="BB112" i="18"/>
  <c r="BC112" i="18"/>
  <c r="BD112" i="18"/>
  <c r="BE112" i="18"/>
  <c r="BF112" i="18"/>
  <c r="BG112" i="18"/>
  <c r="BH112" i="18"/>
  <c r="BJ112" i="18"/>
  <c r="BK112" i="18"/>
  <c r="BM112" i="18"/>
  <c r="A113" i="18"/>
  <c r="E113" i="18"/>
  <c r="F113" i="18"/>
  <c r="G113" i="18"/>
  <c r="J113" i="18"/>
  <c r="N113" i="18"/>
  <c r="O113" i="18"/>
  <c r="Q113" i="18"/>
  <c r="R113" i="18"/>
  <c r="S113" i="18"/>
  <c r="V113" i="18"/>
  <c r="X113" i="18"/>
  <c r="AA113" i="18"/>
  <c r="AB113" i="18"/>
  <c r="AC113" i="18"/>
  <c r="AD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X113" i="18"/>
  <c r="BB113" i="18"/>
  <c r="BC113" i="18"/>
  <c r="BD113" i="18"/>
  <c r="BE113" i="18"/>
  <c r="BF113" i="18"/>
  <c r="BG113" i="18"/>
  <c r="BH113" i="18"/>
  <c r="BJ113" i="18"/>
  <c r="BK113" i="18"/>
  <c r="BM113" i="18"/>
  <c r="A114" i="18"/>
  <c r="E114" i="18"/>
  <c r="F114" i="18"/>
  <c r="G114" i="18"/>
  <c r="H114" i="18"/>
  <c r="J114" i="18"/>
  <c r="N114" i="18"/>
  <c r="O114" i="18"/>
  <c r="Q114" i="18"/>
  <c r="R114" i="18"/>
  <c r="S114" i="18"/>
  <c r="V114" i="18"/>
  <c r="X114" i="18"/>
  <c r="AA114" i="18"/>
  <c r="AB114" i="18"/>
  <c r="AC114" i="18"/>
  <c r="AD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X114" i="18"/>
  <c r="AY114" i="18"/>
  <c r="AZ114" i="18"/>
  <c r="BB114" i="18"/>
  <c r="BC114" i="18"/>
  <c r="BD114" i="18"/>
  <c r="BE114" i="18"/>
  <c r="BF114" i="18"/>
  <c r="BG114" i="18"/>
  <c r="BH114" i="18"/>
  <c r="BJ114" i="18"/>
  <c r="BK114" i="18"/>
  <c r="BM114" i="18"/>
  <c r="A115" i="18"/>
  <c r="E115" i="18"/>
  <c r="F115" i="18"/>
  <c r="G115" i="18"/>
  <c r="J115" i="18"/>
  <c r="N115" i="18"/>
  <c r="O115" i="18"/>
  <c r="Q115" i="18"/>
  <c r="R115" i="18"/>
  <c r="S115" i="18"/>
  <c r="V115" i="18"/>
  <c r="X115" i="18"/>
  <c r="AA115" i="18"/>
  <c r="AB115" i="18"/>
  <c r="AC115" i="18"/>
  <c r="AD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X115" i="18"/>
  <c r="BB115" i="18"/>
  <c r="BC115" i="18"/>
  <c r="BD115" i="18"/>
  <c r="BE115" i="18"/>
  <c r="BF115" i="18"/>
  <c r="BG115" i="18"/>
  <c r="BH115" i="18"/>
  <c r="BJ115" i="18"/>
  <c r="BK115" i="18"/>
  <c r="BM115" i="18"/>
  <c r="A116" i="18"/>
  <c r="E116" i="18"/>
  <c r="F116" i="18"/>
  <c r="G116" i="18"/>
  <c r="J116" i="18"/>
  <c r="N116" i="18"/>
  <c r="O116" i="18"/>
  <c r="Q116" i="18"/>
  <c r="R116" i="18"/>
  <c r="S116" i="18"/>
  <c r="V116" i="18"/>
  <c r="X116" i="18"/>
  <c r="AA116" i="18"/>
  <c r="AB116" i="18"/>
  <c r="AC116" i="18"/>
  <c r="AD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X116" i="18"/>
  <c r="BB116" i="18"/>
  <c r="BC116" i="18"/>
  <c r="BD116" i="18"/>
  <c r="BE116" i="18"/>
  <c r="BF116" i="18"/>
  <c r="BG116" i="18"/>
  <c r="BH116" i="18"/>
  <c r="BJ116" i="18"/>
  <c r="BK116" i="18"/>
  <c r="BM116" i="18"/>
  <c r="A117" i="18"/>
  <c r="E117" i="18"/>
  <c r="F117" i="18"/>
  <c r="G117" i="18"/>
  <c r="J117" i="18"/>
  <c r="N117" i="18"/>
  <c r="O117" i="18"/>
  <c r="Q117" i="18"/>
  <c r="R117" i="18"/>
  <c r="S117" i="18"/>
  <c r="V117" i="18"/>
  <c r="X117" i="18"/>
  <c r="AA117" i="18"/>
  <c r="AB117" i="18"/>
  <c r="AC117" i="18"/>
  <c r="AD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X117" i="18"/>
  <c r="BB117" i="18"/>
  <c r="BC117" i="18"/>
  <c r="BD117" i="18"/>
  <c r="BE117" i="18"/>
  <c r="BF117" i="18"/>
  <c r="BG117" i="18"/>
  <c r="BH117" i="18"/>
  <c r="BJ117" i="18"/>
  <c r="BK117" i="18"/>
  <c r="BM117" i="18"/>
  <c r="A118" i="18"/>
  <c r="E118" i="18"/>
  <c r="F118" i="18"/>
  <c r="G118" i="18"/>
  <c r="J118" i="18"/>
  <c r="N118" i="18"/>
  <c r="O118" i="18"/>
  <c r="Q118" i="18"/>
  <c r="R118" i="18"/>
  <c r="S118" i="18"/>
  <c r="V118" i="18"/>
  <c r="X118" i="18"/>
  <c r="AA118" i="18"/>
  <c r="AB118" i="18"/>
  <c r="AC118" i="18"/>
  <c r="AD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X118" i="18"/>
  <c r="BB118" i="18"/>
  <c r="BC118" i="18"/>
  <c r="BD118" i="18"/>
  <c r="BE118" i="18"/>
  <c r="BF118" i="18"/>
  <c r="BG118" i="18"/>
  <c r="BH118" i="18"/>
  <c r="BJ118" i="18"/>
  <c r="BK118" i="18"/>
  <c r="BM118" i="18"/>
  <c r="A119" i="18"/>
  <c r="E119" i="18"/>
  <c r="F119" i="18"/>
  <c r="G119" i="18"/>
  <c r="J119" i="18"/>
  <c r="N119" i="18"/>
  <c r="O119" i="18"/>
  <c r="Q119" i="18"/>
  <c r="R119" i="18"/>
  <c r="S119" i="18"/>
  <c r="V119" i="18"/>
  <c r="X119" i="18"/>
  <c r="AA119" i="18"/>
  <c r="AB119" i="18"/>
  <c r="AC119" i="18"/>
  <c r="AD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X119" i="18"/>
  <c r="BB119" i="18"/>
  <c r="BC119" i="18"/>
  <c r="BD119" i="18"/>
  <c r="BE119" i="18"/>
  <c r="BF119" i="18"/>
  <c r="BG119" i="18"/>
  <c r="BH119" i="18"/>
  <c r="BJ119" i="18"/>
  <c r="BK119" i="18"/>
  <c r="BM119" i="18"/>
  <c r="A120" i="18"/>
  <c r="E120" i="18"/>
  <c r="F120" i="18"/>
  <c r="G120" i="18"/>
  <c r="J120" i="18"/>
  <c r="N120" i="18"/>
  <c r="O120" i="18"/>
  <c r="Q120" i="18"/>
  <c r="R120" i="18"/>
  <c r="S120" i="18"/>
  <c r="V120" i="18"/>
  <c r="X120" i="18"/>
  <c r="AA120" i="18"/>
  <c r="AB120" i="18"/>
  <c r="AC120" i="18"/>
  <c r="AD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X120" i="18"/>
  <c r="BB120" i="18"/>
  <c r="BC120" i="18"/>
  <c r="BD120" i="18"/>
  <c r="BE120" i="18"/>
  <c r="BF120" i="18"/>
  <c r="BG120" i="18"/>
  <c r="BH120" i="18"/>
  <c r="BJ120" i="18"/>
  <c r="BK120" i="18"/>
  <c r="BM120" i="18"/>
  <c r="A121" i="18"/>
  <c r="E121" i="18"/>
  <c r="F121" i="18"/>
  <c r="G121" i="18"/>
  <c r="J121" i="18"/>
  <c r="N121" i="18"/>
  <c r="O121" i="18"/>
  <c r="Q121" i="18"/>
  <c r="R121" i="18"/>
  <c r="S121" i="18"/>
  <c r="V121" i="18"/>
  <c r="X121" i="18"/>
  <c r="AA121" i="18"/>
  <c r="AB121" i="18"/>
  <c r="AC121" i="18"/>
  <c r="AD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X121" i="18"/>
  <c r="BB121" i="18"/>
  <c r="BC121" i="18"/>
  <c r="BD121" i="18"/>
  <c r="BE121" i="18"/>
  <c r="BF121" i="18"/>
  <c r="BG121" i="18"/>
  <c r="BH121" i="18"/>
  <c r="BJ121" i="18"/>
  <c r="BK121" i="18"/>
  <c r="BM121" i="18"/>
  <c r="A122" i="18"/>
  <c r="E122" i="18"/>
  <c r="F122" i="18"/>
  <c r="G122" i="18"/>
  <c r="J122" i="18"/>
  <c r="N122" i="18"/>
  <c r="O122" i="18"/>
  <c r="Q122" i="18"/>
  <c r="R122" i="18"/>
  <c r="S122" i="18"/>
  <c r="V122" i="18"/>
  <c r="X122" i="18"/>
  <c r="AA122" i="18"/>
  <c r="AB122" i="18"/>
  <c r="AC122" i="18"/>
  <c r="AD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X122" i="18"/>
  <c r="BB122" i="18"/>
  <c r="BC122" i="18"/>
  <c r="BD122" i="18"/>
  <c r="BE122" i="18"/>
  <c r="BF122" i="18"/>
  <c r="BG122" i="18"/>
  <c r="BH122" i="18"/>
  <c r="BJ122" i="18"/>
  <c r="BK122" i="18"/>
  <c r="BM122" i="18"/>
  <c r="A123" i="18"/>
  <c r="E123" i="18"/>
  <c r="F123" i="18"/>
  <c r="G123" i="18"/>
  <c r="J123" i="18"/>
  <c r="N123" i="18"/>
  <c r="O123" i="18"/>
  <c r="Q123" i="18"/>
  <c r="R123" i="18"/>
  <c r="S123" i="18"/>
  <c r="V123" i="18"/>
  <c r="X123" i="18"/>
  <c r="AA123" i="18"/>
  <c r="AB123" i="18"/>
  <c r="AC123" i="18"/>
  <c r="AD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X123" i="18"/>
  <c r="BB123" i="18"/>
  <c r="BC123" i="18"/>
  <c r="BD123" i="18"/>
  <c r="BE123" i="18"/>
  <c r="BF123" i="18"/>
  <c r="BG123" i="18"/>
  <c r="BH123" i="18"/>
  <c r="BJ123" i="18"/>
  <c r="BK123" i="18"/>
  <c r="BM123" i="18"/>
  <c r="A124" i="18"/>
  <c r="E124" i="18"/>
  <c r="F124" i="18"/>
  <c r="G124" i="18"/>
  <c r="J124" i="18"/>
  <c r="N124" i="18"/>
  <c r="O124" i="18"/>
  <c r="Q124" i="18"/>
  <c r="R124" i="18"/>
  <c r="S124" i="18"/>
  <c r="V124" i="18"/>
  <c r="X124" i="18"/>
  <c r="AA124" i="18"/>
  <c r="AB124" i="18"/>
  <c r="AC124" i="18"/>
  <c r="AD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X124" i="18"/>
  <c r="BB124" i="18"/>
  <c r="BC124" i="18"/>
  <c r="BD124" i="18"/>
  <c r="BE124" i="18"/>
  <c r="BF124" i="18"/>
  <c r="BG124" i="18"/>
  <c r="BH124" i="18"/>
  <c r="BJ124" i="18"/>
  <c r="BK124" i="18"/>
  <c r="BM124" i="18"/>
  <c r="A125" i="18"/>
  <c r="E125" i="18"/>
  <c r="F125" i="18"/>
  <c r="G125" i="18"/>
  <c r="J125" i="18"/>
  <c r="N125" i="18"/>
  <c r="O125" i="18"/>
  <c r="Q125" i="18"/>
  <c r="R125" i="18"/>
  <c r="S125" i="18"/>
  <c r="V125" i="18"/>
  <c r="X125" i="18"/>
  <c r="AA125" i="18"/>
  <c r="AB125" i="18"/>
  <c r="AC125" i="18"/>
  <c r="AD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X125" i="18"/>
  <c r="BB125" i="18"/>
  <c r="BC125" i="18"/>
  <c r="BD125" i="18"/>
  <c r="BE125" i="18"/>
  <c r="BF125" i="18"/>
  <c r="BG125" i="18"/>
  <c r="BH125" i="18"/>
  <c r="BJ125" i="18"/>
  <c r="BK125" i="18"/>
  <c r="BM125" i="18"/>
  <c r="A126" i="18"/>
  <c r="E126" i="18"/>
  <c r="F126" i="18"/>
  <c r="G126" i="18"/>
  <c r="H126" i="18"/>
  <c r="J126" i="18"/>
  <c r="N126" i="18"/>
  <c r="O126" i="18"/>
  <c r="Q126" i="18"/>
  <c r="R126" i="18"/>
  <c r="S126" i="18"/>
  <c r="V126" i="18"/>
  <c r="X126" i="18"/>
  <c r="AA126" i="18"/>
  <c r="AB126" i="18"/>
  <c r="AC126" i="18"/>
  <c r="AD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X126" i="18"/>
  <c r="AY126" i="18"/>
  <c r="AZ126" i="18"/>
  <c r="BB126" i="18"/>
  <c r="BC126" i="18"/>
  <c r="BD126" i="18"/>
  <c r="BE126" i="18"/>
  <c r="BF126" i="18"/>
  <c r="BG126" i="18"/>
  <c r="BH126" i="18"/>
  <c r="BJ126" i="18"/>
  <c r="BK126" i="18"/>
  <c r="BM126" i="18"/>
  <c r="A127" i="18"/>
  <c r="E127" i="18"/>
  <c r="F127" i="18"/>
  <c r="G127" i="18"/>
  <c r="J127" i="18"/>
  <c r="N127" i="18"/>
  <c r="O127" i="18"/>
  <c r="Q127" i="18"/>
  <c r="R127" i="18"/>
  <c r="S127" i="18"/>
  <c r="V127" i="18"/>
  <c r="X127" i="18"/>
  <c r="AA127" i="18"/>
  <c r="AB127" i="18"/>
  <c r="AC127" i="18"/>
  <c r="AD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X127" i="18"/>
  <c r="BB127" i="18"/>
  <c r="BC127" i="18"/>
  <c r="BD127" i="18"/>
  <c r="BE127" i="18"/>
  <c r="BF127" i="18"/>
  <c r="BG127" i="18"/>
  <c r="BH127" i="18"/>
  <c r="BJ127" i="18"/>
  <c r="BK127" i="18"/>
  <c r="BM127" i="18"/>
  <c r="A128" i="18"/>
  <c r="E128" i="18"/>
  <c r="F128" i="18"/>
  <c r="G128" i="18"/>
  <c r="J128" i="18"/>
  <c r="N128" i="18"/>
  <c r="O128" i="18"/>
  <c r="Q128" i="18"/>
  <c r="R128" i="18"/>
  <c r="S128" i="18"/>
  <c r="V128" i="18"/>
  <c r="X128" i="18"/>
  <c r="AA128" i="18"/>
  <c r="AB128" i="18"/>
  <c r="AC128" i="18"/>
  <c r="AD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X128" i="18"/>
  <c r="BB128" i="18"/>
  <c r="BC128" i="18"/>
  <c r="BD128" i="18"/>
  <c r="BE128" i="18"/>
  <c r="BF128" i="18"/>
  <c r="BG128" i="18"/>
  <c r="BH128" i="18"/>
  <c r="BJ128" i="18"/>
  <c r="BK128" i="18"/>
  <c r="BM128" i="18"/>
  <c r="A129" i="18"/>
  <c r="E129" i="18"/>
  <c r="F129" i="18"/>
  <c r="G129" i="18"/>
  <c r="J129" i="18"/>
  <c r="N129" i="18"/>
  <c r="O129" i="18"/>
  <c r="Q129" i="18"/>
  <c r="R129" i="18"/>
  <c r="S129" i="18"/>
  <c r="V129" i="18"/>
  <c r="X129" i="18"/>
  <c r="AA129" i="18"/>
  <c r="AB129" i="18"/>
  <c r="AC129" i="18"/>
  <c r="AD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X129" i="18"/>
  <c r="BB129" i="18"/>
  <c r="BC129" i="18"/>
  <c r="BD129" i="18"/>
  <c r="BE129" i="18"/>
  <c r="BF129" i="18"/>
  <c r="BG129" i="18"/>
  <c r="BH129" i="18"/>
  <c r="BJ129" i="18"/>
  <c r="BK129" i="18"/>
  <c r="BM129" i="18"/>
  <c r="A130" i="18"/>
  <c r="E130" i="18"/>
  <c r="F130" i="18"/>
  <c r="G130" i="18"/>
  <c r="J130" i="18"/>
  <c r="N130" i="18"/>
  <c r="O130" i="18"/>
  <c r="Q130" i="18"/>
  <c r="R130" i="18"/>
  <c r="S130" i="18"/>
  <c r="V130" i="18"/>
  <c r="X130" i="18"/>
  <c r="AA130" i="18"/>
  <c r="AB130" i="18"/>
  <c r="AC130" i="18"/>
  <c r="AD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X130" i="18"/>
  <c r="BB130" i="18"/>
  <c r="BC130" i="18"/>
  <c r="BD130" i="18"/>
  <c r="BE130" i="18"/>
  <c r="BF130" i="18"/>
  <c r="BG130" i="18"/>
  <c r="BH130" i="18"/>
  <c r="BJ130" i="18"/>
  <c r="BK130" i="18"/>
  <c r="BM130" i="18"/>
  <c r="A131" i="18"/>
  <c r="E131" i="18"/>
  <c r="F131" i="18"/>
  <c r="G131" i="18"/>
  <c r="J131" i="18"/>
  <c r="N131" i="18"/>
  <c r="O131" i="18"/>
  <c r="Q131" i="18"/>
  <c r="R131" i="18"/>
  <c r="S131" i="18"/>
  <c r="V131" i="18"/>
  <c r="X131" i="18"/>
  <c r="AA131" i="18"/>
  <c r="AB131" i="18"/>
  <c r="AC131" i="18"/>
  <c r="AD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X131" i="18"/>
  <c r="BB131" i="18"/>
  <c r="BC131" i="18"/>
  <c r="BD131" i="18"/>
  <c r="BE131" i="18"/>
  <c r="BF131" i="18"/>
  <c r="BG131" i="18"/>
  <c r="BH131" i="18"/>
  <c r="BJ131" i="18"/>
  <c r="BK131" i="18"/>
  <c r="BM131" i="18"/>
  <c r="A132" i="18"/>
  <c r="E132" i="18"/>
  <c r="F132" i="18"/>
  <c r="G132" i="18"/>
  <c r="J132" i="18"/>
  <c r="N132" i="18"/>
  <c r="O132" i="18"/>
  <c r="Q132" i="18"/>
  <c r="R132" i="18"/>
  <c r="S132" i="18"/>
  <c r="V132" i="18"/>
  <c r="X132" i="18"/>
  <c r="AA132" i="18"/>
  <c r="AB132" i="18"/>
  <c r="AC132" i="18"/>
  <c r="AD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X132" i="18"/>
  <c r="BB132" i="18"/>
  <c r="BC132" i="18"/>
  <c r="BD132" i="18"/>
  <c r="BE132" i="18"/>
  <c r="BF132" i="18"/>
  <c r="BG132" i="18"/>
  <c r="BH132" i="18"/>
  <c r="BJ132" i="18"/>
  <c r="BK132" i="18"/>
  <c r="BM132" i="18"/>
  <c r="A133" i="18"/>
  <c r="E133" i="18"/>
  <c r="F133" i="18"/>
  <c r="G133" i="18"/>
  <c r="J133" i="18"/>
  <c r="N133" i="18"/>
  <c r="O133" i="18"/>
  <c r="Q133" i="18"/>
  <c r="R133" i="18"/>
  <c r="S133" i="18"/>
  <c r="V133" i="18"/>
  <c r="X133" i="18"/>
  <c r="AA133" i="18"/>
  <c r="AB133" i="18"/>
  <c r="AC133" i="18"/>
  <c r="AD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X133" i="18"/>
  <c r="BB133" i="18"/>
  <c r="BC133" i="18"/>
  <c r="BD133" i="18"/>
  <c r="BE133" i="18"/>
  <c r="BF133" i="18"/>
  <c r="BG133" i="18"/>
  <c r="BH133" i="18"/>
  <c r="BJ133" i="18"/>
  <c r="BK133" i="18"/>
  <c r="BM133" i="18"/>
  <c r="A134" i="18"/>
  <c r="E134" i="18"/>
  <c r="F134" i="18"/>
  <c r="G134" i="18"/>
  <c r="J134" i="18"/>
  <c r="N134" i="18"/>
  <c r="O134" i="18"/>
  <c r="Q134" i="18"/>
  <c r="R134" i="18"/>
  <c r="S134" i="18"/>
  <c r="V134" i="18"/>
  <c r="X134" i="18"/>
  <c r="AA134" i="18"/>
  <c r="AB134" i="18"/>
  <c r="AC134" i="18"/>
  <c r="AD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X134" i="18"/>
  <c r="BB134" i="18"/>
  <c r="BC134" i="18"/>
  <c r="BD134" i="18"/>
  <c r="BE134" i="18"/>
  <c r="BF134" i="18"/>
  <c r="BG134" i="18"/>
  <c r="BH134" i="18"/>
  <c r="BJ134" i="18"/>
  <c r="BK134" i="18"/>
  <c r="BM134" i="18"/>
  <c r="A135" i="18"/>
  <c r="E135" i="18"/>
  <c r="F135" i="18"/>
  <c r="G135" i="18"/>
  <c r="J135" i="18"/>
  <c r="N135" i="18"/>
  <c r="O135" i="18"/>
  <c r="Q135" i="18"/>
  <c r="R135" i="18"/>
  <c r="S135" i="18"/>
  <c r="V135" i="18"/>
  <c r="X135" i="18"/>
  <c r="AA135" i="18"/>
  <c r="AB135" i="18"/>
  <c r="AC135" i="18"/>
  <c r="AD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X135" i="18"/>
  <c r="BB135" i="18"/>
  <c r="BC135" i="18"/>
  <c r="BD135" i="18"/>
  <c r="BE135" i="18"/>
  <c r="BF135" i="18"/>
  <c r="BG135" i="18"/>
  <c r="BH135" i="18"/>
  <c r="BJ135" i="18"/>
  <c r="BK135" i="18"/>
  <c r="BM135" i="18"/>
  <c r="A136" i="18"/>
  <c r="E136" i="18"/>
  <c r="F136" i="18"/>
  <c r="G136" i="18"/>
  <c r="J136" i="18"/>
  <c r="N136" i="18"/>
  <c r="O136" i="18"/>
  <c r="Q136" i="18"/>
  <c r="R136" i="18"/>
  <c r="S136" i="18"/>
  <c r="V136" i="18"/>
  <c r="X136" i="18"/>
  <c r="AA136" i="18"/>
  <c r="AB136" i="18"/>
  <c r="AC136" i="18"/>
  <c r="AD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X136" i="18"/>
  <c r="BB136" i="18"/>
  <c r="BC136" i="18"/>
  <c r="BD136" i="18"/>
  <c r="BE136" i="18"/>
  <c r="BF136" i="18"/>
  <c r="BG136" i="18"/>
  <c r="BH136" i="18"/>
  <c r="BJ136" i="18"/>
  <c r="BK136" i="18"/>
  <c r="BM136" i="18"/>
  <c r="A137" i="18"/>
  <c r="E137" i="18"/>
  <c r="F137" i="18"/>
  <c r="G137" i="18"/>
  <c r="J137" i="18"/>
  <c r="N137" i="18"/>
  <c r="O137" i="18"/>
  <c r="Q137" i="18"/>
  <c r="R137" i="18"/>
  <c r="S137" i="18"/>
  <c r="V137" i="18"/>
  <c r="X137" i="18"/>
  <c r="AA137" i="18"/>
  <c r="AB137" i="18"/>
  <c r="AC137" i="18"/>
  <c r="AD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X137" i="18"/>
  <c r="BB137" i="18"/>
  <c r="BC137" i="18"/>
  <c r="BD137" i="18"/>
  <c r="BE137" i="18"/>
  <c r="BF137" i="18"/>
  <c r="BG137" i="18"/>
  <c r="BH137" i="18"/>
  <c r="BJ137" i="18"/>
  <c r="BK137" i="18"/>
  <c r="BM137" i="18"/>
  <c r="A138" i="18"/>
  <c r="E138" i="18"/>
  <c r="F138" i="18"/>
  <c r="G138" i="18"/>
  <c r="H138" i="18"/>
  <c r="J138" i="18"/>
  <c r="N138" i="18"/>
  <c r="O138" i="18"/>
  <c r="Q138" i="18"/>
  <c r="R138" i="18"/>
  <c r="S138" i="18"/>
  <c r="V138" i="18"/>
  <c r="X138" i="18"/>
  <c r="AA138" i="18"/>
  <c r="AB138" i="18"/>
  <c r="AC138" i="18"/>
  <c r="AD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X138" i="18"/>
  <c r="AY138" i="18"/>
  <c r="AZ138" i="18"/>
  <c r="BB138" i="18"/>
  <c r="BC138" i="18"/>
  <c r="BD138" i="18"/>
  <c r="BE138" i="18"/>
  <c r="BF138" i="18"/>
  <c r="BG138" i="18"/>
  <c r="BH138" i="18"/>
  <c r="BJ138" i="18"/>
  <c r="BK138" i="18"/>
  <c r="BM138" i="18"/>
  <c r="A139" i="18"/>
  <c r="E139" i="18"/>
  <c r="F139" i="18"/>
  <c r="G139" i="18"/>
  <c r="J139" i="18"/>
  <c r="N139" i="18"/>
  <c r="O139" i="18"/>
  <c r="Q139" i="18"/>
  <c r="R139" i="18"/>
  <c r="S139" i="18"/>
  <c r="V139" i="18"/>
  <c r="X139" i="18"/>
  <c r="AA139" i="18"/>
  <c r="AB139" i="18"/>
  <c r="AC139" i="18"/>
  <c r="AD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X139" i="18"/>
  <c r="BB139" i="18"/>
  <c r="BC139" i="18"/>
  <c r="BD139" i="18"/>
  <c r="BE139" i="18"/>
  <c r="BF139" i="18"/>
  <c r="BG139" i="18"/>
  <c r="BH139" i="18"/>
  <c r="BJ139" i="18"/>
  <c r="BK139" i="18"/>
  <c r="BM139" i="18"/>
  <c r="A140" i="18"/>
  <c r="E140" i="18"/>
  <c r="F140" i="18"/>
  <c r="G140" i="18"/>
  <c r="J140" i="18"/>
  <c r="N140" i="18"/>
  <c r="O140" i="18"/>
  <c r="Q140" i="18"/>
  <c r="R140" i="18"/>
  <c r="S140" i="18"/>
  <c r="V140" i="18"/>
  <c r="X140" i="18"/>
  <c r="AA140" i="18"/>
  <c r="AB140" i="18"/>
  <c r="AC140" i="18"/>
  <c r="AD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X140" i="18"/>
  <c r="BB140" i="18"/>
  <c r="BC140" i="18"/>
  <c r="BD140" i="18"/>
  <c r="BE140" i="18"/>
  <c r="BF140" i="18"/>
  <c r="BG140" i="18"/>
  <c r="BH140" i="18"/>
  <c r="BJ140" i="18"/>
  <c r="BK140" i="18"/>
  <c r="BM140" i="18"/>
  <c r="A141" i="18"/>
  <c r="E141" i="18"/>
  <c r="F141" i="18"/>
  <c r="G141" i="18"/>
  <c r="J141" i="18"/>
  <c r="N141" i="18"/>
  <c r="O141" i="18"/>
  <c r="Q141" i="18"/>
  <c r="R141" i="18"/>
  <c r="S141" i="18"/>
  <c r="V141" i="18"/>
  <c r="X141" i="18"/>
  <c r="AA141" i="18"/>
  <c r="AB141" i="18"/>
  <c r="AC141" i="18"/>
  <c r="AD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X141" i="18"/>
  <c r="BB141" i="18"/>
  <c r="BC141" i="18"/>
  <c r="BD141" i="18"/>
  <c r="BE141" i="18"/>
  <c r="BF141" i="18"/>
  <c r="BG141" i="18"/>
  <c r="BH141" i="18"/>
  <c r="BJ141" i="18"/>
  <c r="BK141" i="18"/>
  <c r="BM141" i="18"/>
  <c r="A142" i="18"/>
  <c r="E142" i="18"/>
  <c r="F142" i="18"/>
  <c r="G142" i="18"/>
  <c r="J142" i="18"/>
  <c r="N142" i="18"/>
  <c r="O142" i="18"/>
  <c r="Q142" i="18"/>
  <c r="R142" i="18"/>
  <c r="S142" i="18"/>
  <c r="V142" i="18"/>
  <c r="X142" i="18"/>
  <c r="AA142" i="18"/>
  <c r="AB142" i="18"/>
  <c r="AC142" i="18"/>
  <c r="AD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X142" i="18"/>
  <c r="BB142" i="18"/>
  <c r="BC142" i="18"/>
  <c r="BD142" i="18"/>
  <c r="BE142" i="18"/>
  <c r="BF142" i="18"/>
  <c r="BG142" i="18"/>
  <c r="BH142" i="18"/>
  <c r="BJ142" i="18"/>
  <c r="BK142" i="18"/>
  <c r="BM142" i="18"/>
  <c r="A143" i="18"/>
  <c r="E143" i="18"/>
  <c r="F143" i="18"/>
  <c r="G143" i="18"/>
  <c r="J143" i="18"/>
  <c r="N143" i="18"/>
  <c r="O143" i="18"/>
  <c r="Q143" i="18"/>
  <c r="R143" i="18"/>
  <c r="S143" i="18"/>
  <c r="V143" i="18"/>
  <c r="X143" i="18"/>
  <c r="AA143" i="18"/>
  <c r="AB143" i="18"/>
  <c r="AC143" i="18"/>
  <c r="AD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X143" i="18"/>
  <c r="BB143" i="18"/>
  <c r="BC143" i="18"/>
  <c r="BD143" i="18"/>
  <c r="BE143" i="18"/>
  <c r="BF143" i="18"/>
  <c r="BG143" i="18"/>
  <c r="BH143" i="18"/>
  <c r="BJ143" i="18"/>
  <c r="BK143" i="18"/>
  <c r="BM143" i="18"/>
  <c r="A144" i="18"/>
  <c r="E144" i="18"/>
  <c r="F144" i="18"/>
  <c r="G144" i="18"/>
  <c r="J144" i="18"/>
  <c r="N144" i="18"/>
  <c r="O144" i="18"/>
  <c r="Q144" i="18"/>
  <c r="R144" i="18"/>
  <c r="S144" i="18"/>
  <c r="V144" i="18"/>
  <c r="X144" i="18"/>
  <c r="AA144" i="18"/>
  <c r="AB144" i="18"/>
  <c r="AC144" i="18"/>
  <c r="AD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X144" i="18"/>
  <c r="BB144" i="18"/>
  <c r="BC144" i="18"/>
  <c r="BD144" i="18"/>
  <c r="BE144" i="18"/>
  <c r="BF144" i="18"/>
  <c r="BG144" i="18"/>
  <c r="BH144" i="18"/>
  <c r="BJ144" i="18"/>
  <c r="BK144" i="18"/>
  <c r="BM144" i="18"/>
  <c r="A145" i="18"/>
  <c r="E145" i="18"/>
  <c r="F145" i="18"/>
  <c r="G145" i="18"/>
  <c r="J145" i="18"/>
  <c r="N145" i="18"/>
  <c r="O145" i="18"/>
  <c r="Q145" i="18"/>
  <c r="R145" i="18"/>
  <c r="S145" i="18"/>
  <c r="V145" i="18"/>
  <c r="X145" i="18"/>
  <c r="AA145" i="18"/>
  <c r="AB145" i="18"/>
  <c r="AC145" i="18"/>
  <c r="AD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X145" i="18"/>
  <c r="BB145" i="18"/>
  <c r="BC145" i="18"/>
  <c r="BD145" i="18"/>
  <c r="BE145" i="18"/>
  <c r="BF145" i="18"/>
  <c r="BG145" i="18"/>
  <c r="BH145" i="18"/>
  <c r="BJ145" i="18"/>
  <c r="BK145" i="18"/>
  <c r="BM145" i="18"/>
  <c r="A146" i="18"/>
  <c r="E146" i="18"/>
  <c r="F146" i="18"/>
  <c r="G146" i="18"/>
  <c r="J146" i="18"/>
  <c r="N146" i="18"/>
  <c r="O146" i="18"/>
  <c r="Q146" i="18"/>
  <c r="R146" i="18"/>
  <c r="S146" i="18"/>
  <c r="V146" i="18"/>
  <c r="X146" i="18"/>
  <c r="AA146" i="18"/>
  <c r="AB146" i="18"/>
  <c r="AC146" i="18"/>
  <c r="AD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X146" i="18"/>
  <c r="BB146" i="18"/>
  <c r="BC146" i="18"/>
  <c r="BD146" i="18"/>
  <c r="BE146" i="18"/>
  <c r="BF146" i="18"/>
  <c r="BG146" i="18"/>
  <c r="BH146" i="18"/>
  <c r="BJ146" i="18"/>
  <c r="BK146" i="18"/>
  <c r="BM146" i="18"/>
  <c r="A147" i="18"/>
  <c r="E147" i="18"/>
  <c r="F147" i="18"/>
  <c r="G147" i="18"/>
  <c r="J147" i="18"/>
  <c r="N147" i="18"/>
  <c r="O147" i="18"/>
  <c r="Q147" i="18"/>
  <c r="R147" i="18"/>
  <c r="S147" i="18"/>
  <c r="V147" i="18"/>
  <c r="X147" i="18"/>
  <c r="AA147" i="18"/>
  <c r="AB147" i="18"/>
  <c r="AC147" i="18"/>
  <c r="AD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X147" i="18"/>
  <c r="BB147" i="18"/>
  <c r="BC147" i="18"/>
  <c r="BD147" i="18"/>
  <c r="BE147" i="18"/>
  <c r="BF147" i="18"/>
  <c r="BG147" i="18"/>
  <c r="BH147" i="18"/>
  <c r="BJ147" i="18"/>
  <c r="BK147" i="18"/>
  <c r="BM147" i="18"/>
  <c r="A148" i="18"/>
  <c r="E148" i="18"/>
  <c r="F148" i="18"/>
  <c r="G148" i="18"/>
  <c r="J148" i="18"/>
  <c r="N148" i="18"/>
  <c r="O148" i="18"/>
  <c r="Q148" i="18"/>
  <c r="R148" i="18"/>
  <c r="S148" i="18"/>
  <c r="V148" i="18"/>
  <c r="X148" i="18"/>
  <c r="AA148" i="18"/>
  <c r="AB148" i="18"/>
  <c r="AC148" i="18"/>
  <c r="AD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X148" i="18"/>
  <c r="BB148" i="18"/>
  <c r="BC148" i="18"/>
  <c r="BD148" i="18"/>
  <c r="BE148" i="18"/>
  <c r="BF148" i="18"/>
  <c r="BG148" i="18"/>
  <c r="BH148" i="18"/>
  <c r="BJ148" i="18"/>
  <c r="BK148" i="18"/>
  <c r="BM148" i="18"/>
  <c r="A149" i="18"/>
  <c r="E149" i="18"/>
  <c r="F149" i="18"/>
  <c r="G149" i="18"/>
  <c r="J149" i="18"/>
  <c r="N149" i="18"/>
  <c r="O149" i="18"/>
  <c r="Q149" i="18"/>
  <c r="R149" i="18"/>
  <c r="S149" i="18"/>
  <c r="V149" i="18"/>
  <c r="X149" i="18"/>
  <c r="AA149" i="18"/>
  <c r="AB149" i="18"/>
  <c r="AC149" i="18"/>
  <c r="AD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X149" i="18"/>
  <c r="BB149" i="18"/>
  <c r="BC149" i="18"/>
  <c r="BD149" i="18"/>
  <c r="BE149" i="18"/>
  <c r="BF149" i="18"/>
  <c r="BG149" i="18"/>
  <c r="BH149" i="18"/>
  <c r="BJ149" i="18"/>
  <c r="BK149" i="18"/>
  <c r="BM149" i="18"/>
  <c r="A150" i="18"/>
  <c r="E150" i="18"/>
  <c r="F150" i="18"/>
  <c r="G150" i="18"/>
  <c r="H150" i="18"/>
  <c r="J150" i="18"/>
  <c r="N150" i="18"/>
  <c r="O150" i="18"/>
  <c r="Q150" i="18"/>
  <c r="R150" i="18"/>
  <c r="S150" i="18"/>
  <c r="V150" i="18"/>
  <c r="X150" i="18"/>
  <c r="AA150" i="18"/>
  <c r="AB150" i="18"/>
  <c r="AC150" i="18"/>
  <c r="AD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X150" i="18"/>
  <c r="AY150" i="18"/>
  <c r="AZ150" i="18"/>
  <c r="BB150" i="18"/>
  <c r="BC150" i="18"/>
  <c r="BD150" i="18"/>
  <c r="BE150" i="18"/>
  <c r="BF150" i="18"/>
  <c r="BG150" i="18"/>
  <c r="BH150" i="18"/>
  <c r="BJ150" i="18"/>
  <c r="BK150" i="18"/>
  <c r="BM150" i="18"/>
  <c r="A151" i="18"/>
  <c r="E151" i="18"/>
  <c r="F151" i="18"/>
  <c r="G151" i="18"/>
  <c r="J151" i="18"/>
  <c r="N151" i="18"/>
  <c r="O151" i="18"/>
  <c r="Q151" i="18"/>
  <c r="R151" i="18"/>
  <c r="S151" i="18"/>
  <c r="V151" i="18"/>
  <c r="X151" i="18"/>
  <c r="AA151" i="18"/>
  <c r="AB151" i="18"/>
  <c r="AC151" i="18"/>
  <c r="AD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X151" i="18"/>
  <c r="BB151" i="18"/>
  <c r="BC151" i="18"/>
  <c r="BD151" i="18"/>
  <c r="BE151" i="18"/>
  <c r="BF151" i="18"/>
  <c r="BG151" i="18"/>
  <c r="BH151" i="18"/>
  <c r="BJ151" i="18"/>
  <c r="BK151" i="18"/>
  <c r="BM151" i="18"/>
  <c r="A152" i="18"/>
  <c r="E152" i="18"/>
  <c r="F152" i="18"/>
  <c r="G152" i="18"/>
  <c r="J152" i="18"/>
  <c r="N152" i="18"/>
  <c r="O152" i="18"/>
  <c r="Q152" i="18"/>
  <c r="R152" i="18"/>
  <c r="S152" i="18"/>
  <c r="V152" i="18"/>
  <c r="X152" i="18"/>
  <c r="AA152" i="18"/>
  <c r="AB152" i="18"/>
  <c r="AC152" i="18"/>
  <c r="AD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X152" i="18"/>
  <c r="BB152" i="18"/>
  <c r="BC152" i="18"/>
  <c r="BD152" i="18"/>
  <c r="BE152" i="18"/>
  <c r="BF152" i="18"/>
  <c r="BG152" i="18"/>
  <c r="BH152" i="18"/>
  <c r="BJ152" i="18"/>
  <c r="BK152" i="18"/>
  <c r="BM152" i="18"/>
  <c r="A153" i="18"/>
  <c r="E153" i="18"/>
  <c r="F153" i="18"/>
  <c r="G153" i="18"/>
  <c r="J153" i="18"/>
  <c r="N153" i="18"/>
  <c r="O153" i="18"/>
  <c r="Q153" i="18"/>
  <c r="R153" i="18"/>
  <c r="S153" i="18"/>
  <c r="V153" i="18"/>
  <c r="X153" i="18"/>
  <c r="AA153" i="18"/>
  <c r="AB153" i="18"/>
  <c r="AC153" i="18"/>
  <c r="AD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X153" i="18"/>
  <c r="BB153" i="18"/>
  <c r="BC153" i="18"/>
  <c r="BD153" i="18"/>
  <c r="BE153" i="18"/>
  <c r="BF153" i="18"/>
  <c r="BG153" i="18"/>
  <c r="BH153" i="18"/>
  <c r="BJ153" i="18"/>
  <c r="BK153" i="18"/>
  <c r="BM153" i="18"/>
  <c r="A154" i="18"/>
  <c r="E154" i="18"/>
  <c r="F154" i="18"/>
  <c r="G154" i="18"/>
  <c r="J154" i="18"/>
  <c r="N154" i="18"/>
  <c r="O154" i="18"/>
  <c r="Q154" i="18"/>
  <c r="R154" i="18"/>
  <c r="S154" i="18"/>
  <c r="V154" i="18"/>
  <c r="X154" i="18"/>
  <c r="AA154" i="18"/>
  <c r="AB154" i="18"/>
  <c r="AC154" i="18"/>
  <c r="AD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X154" i="18"/>
  <c r="BB154" i="18"/>
  <c r="BC154" i="18"/>
  <c r="BD154" i="18"/>
  <c r="BE154" i="18"/>
  <c r="BF154" i="18"/>
  <c r="BG154" i="18"/>
  <c r="BH154" i="18"/>
  <c r="BJ154" i="18"/>
  <c r="BK154" i="18"/>
  <c r="BM154" i="18"/>
  <c r="A155" i="18"/>
  <c r="E155" i="18"/>
  <c r="F155" i="18"/>
  <c r="G155" i="18"/>
  <c r="J155" i="18"/>
  <c r="N155" i="18"/>
  <c r="O155" i="18"/>
  <c r="Q155" i="18"/>
  <c r="R155" i="18"/>
  <c r="S155" i="18"/>
  <c r="V155" i="18"/>
  <c r="X155" i="18"/>
  <c r="AA155" i="18"/>
  <c r="AB155" i="18"/>
  <c r="AC155" i="18"/>
  <c r="AD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X155" i="18"/>
  <c r="BB155" i="18"/>
  <c r="BC155" i="18"/>
  <c r="BD155" i="18"/>
  <c r="BE155" i="18"/>
  <c r="BF155" i="18"/>
  <c r="BG155" i="18"/>
  <c r="BH155" i="18"/>
  <c r="BJ155" i="18"/>
  <c r="BK155" i="18"/>
  <c r="BM155" i="18"/>
  <c r="A156" i="18"/>
  <c r="E156" i="18"/>
  <c r="F156" i="18"/>
  <c r="G156" i="18"/>
  <c r="J156" i="18"/>
  <c r="N156" i="18"/>
  <c r="O156" i="18"/>
  <c r="Q156" i="18"/>
  <c r="R156" i="18"/>
  <c r="S156" i="18"/>
  <c r="V156" i="18"/>
  <c r="X156" i="18"/>
  <c r="AA156" i="18"/>
  <c r="AB156" i="18"/>
  <c r="AC156" i="18"/>
  <c r="AD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X156" i="18"/>
  <c r="BB156" i="18"/>
  <c r="BC156" i="18"/>
  <c r="BD156" i="18"/>
  <c r="BE156" i="18"/>
  <c r="BF156" i="18"/>
  <c r="BG156" i="18"/>
  <c r="BH156" i="18"/>
  <c r="BJ156" i="18"/>
  <c r="BK156" i="18"/>
  <c r="BM156" i="18"/>
  <c r="A157" i="18"/>
  <c r="E157" i="18"/>
  <c r="F157" i="18"/>
  <c r="G157" i="18"/>
  <c r="J157" i="18"/>
  <c r="N157" i="18"/>
  <c r="O157" i="18"/>
  <c r="Q157" i="18"/>
  <c r="R157" i="18"/>
  <c r="S157" i="18"/>
  <c r="V157" i="18"/>
  <c r="X157" i="18"/>
  <c r="AA157" i="18"/>
  <c r="AB157" i="18"/>
  <c r="AC157" i="18"/>
  <c r="AD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X157" i="18"/>
  <c r="BB157" i="18"/>
  <c r="BC157" i="18"/>
  <c r="BD157" i="18"/>
  <c r="BE157" i="18"/>
  <c r="BF157" i="18"/>
  <c r="BG157" i="18"/>
  <c r="BH157" i="18"/>
  <c r="BJ157" i="18"/>
  <c r="BK157" i="18"/>
  <c r="BM157" i="18"/>
  <c r="A158" i="18"/>
  <c r="E158" i="18"/>
  <c r="F158" i="18"/>
  <c r="G158" i="18"/>
  <c r="J158" i="18"/>
  <c r="N158" i="18"/>
  <c r="O158" i="18"/>
  <c r="Q158" i="18"/>
  <c r="R158" i="18"/>
  <c r="S158" i="18"/>
  <c r="V158" i="18"/>
  <c r="X158" i="18"/>
  <c r="AA158" i="18"/>
  <c r="AB158" i="18"/>
  <c r="AC158" i="18"/>
  <c r="AD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X158" i="18"/>
  <c r="BB158" i="18"/>
  <c r="BC158" i="18"/>
  <c r="BD158" i="18"/>
  <c r="BE158" i="18"/>
  <c r="BF158" i="18"/>
  <c r="BG158" i="18"/>
  <c r="BH158" i="18"/>
  <c r="BJ158" i="18"/>
  <c r="BK158" i="18"/>
  <c r="BM158" i="18"/>
  <c r="A159" i="18"/>
  <c r="E159" i="18"/>
  <c r="F159" i="18"/>
  <c r="G159" i="18"/>
  <c r="J159" i="18"/>
  <c r="N159" i="18"/>
  <c r="O159" i="18"/>
  <c r="Q159" i="18"/>
  <c r="R159" i="18"/>
  <c r="S159" i="18"/>
  <c r="V159" i="18"/>
  <c r="X159" i="18"/>
  <c r="AA159" i="18"/>
  <c r="AB159" i="18"/>
  <c r="AC159" i="18"/>
  <c r="AD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X159" i="18"/>
  <c r="BB159" i="18"/>
  <c r="BC159" i="18"/>
  <c r="BD159" i="18"/>
  <c r="BE159" i="18"/>
  <c r="BF159" i="18"/>
  <c r="BG159" i="18"/>
  <c r="BH159" i="18"/>
  <c r="BJ159" i="18"/>
  <c r="BK159" i="18"/>
  <c r="BM159" i="18"/>
  <c r="A160" i="18"/>
  <c r="E160" i="18"/>
  <c r="F160" i="18"/>
  <c r="G160" i="18"/>
  <c r="J160" i="18"/>
  <c r="N160" i="18"/>
  <c r="O160" i="18"/>
  <c r="Q160" i="18"/>
  <c r="R160" i="18"/>
  <c r="S160" i="18"/>
  <c r="V160" i="18"/>
  <c r="X160" i="18"/>
  <c r="AA160" i="18"/>
  <c r="AB160" i="18"/>
  <c r="AC160" i="18"/>
  <c r="AD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X160" i="18"/>
  <c r="BB160" i="18"/>
  <c r="BC160" i="18"/>
  <c r="BD160" i="18"/>
  <c r="BE160" i="18"/>
  <c r="BF160" i="18"/>
  <c r="BG160" i="18"/>
  <c r="BH160" i="18"/>
  <c r="BJ160" i="18"/>
  <c r="BK160" i="18"/>
  <c r="BM160" i="18"/>
  <c r="A161" i="18"/>
  <c r="E161" i="18"/>
  <c r="F161" i="18"/>
  <c r="G161" i="18"/>
  <c r="J161" i="18"/>
  <c r="N161" i="18"/>
  <c r="O161" i="18"/>
  <c r="Q161" i="18"/>
  <c r="R161" i="18"/>
  <c r="S161" i="18"/>
  <c r="V161" i="18"/>
  <c r="X161" i="18"/>
  <c r="AA161" i="18"/>
  <c r="AB161" i="18"/>
  <c r="AC161" i="18"/>
  <c r="AD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X161" i="18"/>
  <c r="BB161" i="18"/>
  <c r="BC161" i="18"/>
  <c r="BD161" i="18"/>
  <c r="BE161" i="18"/>
  <c r="BF161" i="18"/>
  <c r="BG161" i="18"/>
  <c r="BH161" i="18"/>
  <c r="BJ161" i="18"/>
  <c r="BK161" i="18"/>
  <c r="BM161" i="18"/>
  <c r="A162" i="18"/>
  <c r="E162" i="18"/>
  <c r="F162" i="18"/>
  <c r="G162" i="18"/>
  <c r="H162" i="18"/>
  <c r="J162" i="18"/>
  <c r="N162" i="18"/>
  <c r="O162" i="18"/>
  <c r="Q162" i="18"/>
  <c r="R162" i="18"/>
  <c r="S162" i="18"/>
  <c r="V162" i="18"/>
  <c r="X162" i="18"/>
  <c r="AA162" i="18"/>
  <c r="AB162" i="18"/>
  <c r="AC162" i="18"/>
  <c r="AD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X162" i="18"/>
  <c r="AY162" i="18"/>
  <c r="AZ162" i="18"/>
  <c r="BB162" i="18"/>
  <c r="BC162" i="18"/>
  <c r="BD162" i="18"/>
  <c r="BE162" i="18"/>
  <c r="BF162" i="18"/>
  <c r="BG162" i="18"/>
  <c r="BH162" i="18"/>
  <c r="BJ162" i="18"/>
  <c r="BK162" i="18"/>
  <c r="BM162" i="18"/>
  <c r="A163" i="18"/>
  <c r="E163" i="18"/>
  <c r="F163" i="18"/>
  <c r="G163" i="18"/>
  <c r="J163" i="18"/>
  <c r="N163" i="18"/>
  <c r="O163" i="18"/>
  <c r="Q163" i="18"/>
  <c r="R163" i="18"/>
  <c r="S163" i="18"/>
  <c r="V163" i="18"/>
  <c r="X163" i="18"/>
  <c r="AA163" i="18"/>
  <c r="AB163" i="18"/>
  <c r="AC163" i="18"/>
  <c r="AD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X163" i="18"/>
  <c r="BB163" i="18"/>
  <c r="BC163" i="18"/>
  <c r="BD163" i="18"/>
  <c r="BE163" i="18"/>
  <c r="BF163" i="18"/>
  <c r="BG163" i="18"/>
  <c r="BH163" i="18"/>
  <c r="BJ163" i="18"/>
  <c r="BK163" i="18"/>
  <c r="BM163" i="18"/>
  <c r="A164" i="18"/>
  <c r="E164" i="18"/>
  <c r="F164" i="18"/>
  <c r="G164" i="18"/>
  <c r="J164" i="18"/>
  <c r="N164" i="18"/>
  <c r="O164" i="18"/>
  <c r="Q164" i="18"/>
  <c r="R164" i="18"/>
  <c r="S164" i="18"/>
  <c r="V164" i="18"/>
  <c r="X164" i="18"/>
  <c r="AA164" i="18"/>
  <c r="AB164" i="18"/>
  <c r="AC164" i="18"/>
  <c r="AD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X164" i="18"/>
  <c r="BB164" i="18"/>
  <c r="BC164" i="18"/>
  <c r="BD164" i="18"/>
  <c r="BE164" i="18"/>
  <c r="BF164" i="18"/>
  <c r="BG164" i="18"/>
  <c r="BH164" i="18"/>
  <c r="BJ164" i="18"/>
  <c r="BK164" i="18"/>
  <c r="BM164" i="18"/>
  <c r="A165" i="18"/>
  <c r="E165" i="18"/>
  <c r="F165" i="18"/>
  <c r="G165" i="18"/>
  <c r="J165" i="18"/>
  <c r="N165" i="18"/>
  <c r="O165" i="18"/>
  <c r="Q165" i="18"/>
  <c r="R165" i="18"/>
  <c r="S165" i="18"/>
  <c r="V165" i="18"/>
  <c r="X165" i="18"/>
  <c r="AA165" i="18"/>
  <c r="AB165" i="18"/>
  <c r="AC165" i="18"/>
  <c r="AD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X165" i="18"/>
  <c r="BB165" i="18"/>
  <c r="BC165" i="18"/>
  <c r="BD165" i="18"/>
  <c r="BE165" i="18"/>
  <c r="BF165" i="18"/>
  <c r="BG165" i="18"/>
  <c r="BH165" i="18"/>
  <c r="BJ165" i="18"/>
  <c r="BK165" i="18"/>
  <c r="BM165" i="18"/>
  <c r="A166" i="18"/>
  <c r="E166" i="18"/>
  <c r="F166" i="18"/>
  <c r="G166" i="18"/>
  <c r="J166" i="18"/>
  <c r="N166" i="18"/>
  <c r="O166" i="18"/>
  <c r="Q166" i="18"/>
  <c r="R166" i="18"/>
  <c r="S166" i="18"/>
  <c r="V166" i="18"/>
  <c r="X166" i="18"/>
  <c r="AA166" i="18"/>
  <c r="AB166" i="18"/>
  <c r="AC166" i="18"/>
  <c r="AD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X166" i="18"/>
  <c r="BB166" i="18"/>
  <c r="BC166" i="18"/>
  <c r="BD166" i="18"/>
  <c r="BE166" i="18"/>
  <c r="BF166" i="18"/>
  <c r="BG166" i="18"/>
  <c r="BH166" i="18"/>
  <c r="BJ166" i="18"/>
  <c r="BK166" i="18"/>
  <c r="BM166" i="18"/>
  <c r="A167" i="18"/>
  <c r="E167" i="18"/>
  <c r="F167" i="18"/>
  <c r="G167" i="18"/>
  <c r="J167" i="18"/>
  <c r="N167" i="18"/>
  <c r="O167" i="18"/>
  <c r="Q167" i="18"/>
  <c r="R167" i="18"/>
  <c r="S167" i="18"/>
  <c r="V167" i="18"/>
  <c r="X167" i="18"/>
  <c r="AA167" i="18"/>
  <c r="AB167" i="18"/>
  <c r="AC167" i="18"/>
  <c r="AD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X167" i="18"/>
  <c r="BB167" i="18"/>
  <c r="BC167" i="18"/>
  <c r="BD167" i="18"/>
  <c r="BE167" i="18"/>
  <c r="BF167" i="18"/>
  <c r="BG167" i="18"/>
  <c r="BH167" i="18"/>
  <c r="BJ167" i="18"/>
  <c r="BK167" i="18"/>
  <c r="BM167" i="18"/>
  <c r="A168" i="18"/>
  <c r="E168" i="18"/>
  <c r="F168" i="18"/>
  <c r="G168" i="18"/>
  <c r="J168" i="18"/>
  <c r="N168" i="18"/>
  <c r="O168" i="18"/>
  <c r="Q168" i="18"/>
  <c r="R168" i="18"/>
  <c r="S168" i="18"/>
  <c r="V168" i="18"/>
  <c r="X168" i="18"/>
  <c r="AA168" i="18"/>
  <c r="AB168" i="18"/>
  <c r="AC168" i="18"/>
  <c r="AD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X168" i="18"/>
  <c r="BB168" i="18"/>
  <c r="BC168" i="18"/>
  <c r="BD168" i="18"/>
  <c r="BE168" i="18"/>
  <c r="BF168" i="18"/>
  <c r="BG168" i="18"/>
  <c r="BH168" i="18"/>
  <c r="BJ168" i="18"/>
  <c r="BK168" i="18"/>
  <c r="BM168" i="18"/>
  <c r="A169" i="18"/>
  <c r="E169" i="18"/>
  <c r="F169" i="18"/>
  <c r="G169" i="18"/>
  <c r="J169" i="18"/>
  <c r="N169" i="18"/>
  <c r="O169" i="18"/>
  <c r="Q169" i="18"/>
  <c r="R169" i="18"/>
  <c r="S169" i="18"/>
  <c r="V169" i="18"/>
  <c r="X169" i="18"/>
  <c r="AA169" i="18"/>
  <c r="AB169" i="18"/>
  <c r="AC169" i="18"/>
  <c r="AD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X169" i="18"/>
  <c r="BB169" i="18"/>
  <c r="BC169" i="18"/>
  <c r="BD169" i="18"/>
  <c r="BE169" i="18"/>
  <c r="BF169" i="18"/>
  <c r="BG169" i="18"/>
  <c r="BH169" i="18"/>
  <c r="BJ169" i="18"/>
  <c r="BK169" i="18"/>
  <c r="BM169" i="18"/>
  <c r="A170" i="18"/>
  <c r="E170" i="18"/>
  <c r="F170" i="18"/>
  <c r="G170" i="18"/>
  <c r="J170" i="18"/>
  <c r="N170" i="18"/>
  <c r="O170" i="18"/>
  <c r="Q170" i="18"/>
  <c r="R170" i="18"/>
  <c r="S170" i="18"/>
  <c r="V170" i="18"/>
  <c r="X170" i="18"/>
  <c r="AA170" i="18"/>
  <c r="AB170" i="18"/>
  <c r="AC170" i="18"/>
  <c r="AD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X170" i="18"/>
  <c r="BB170" i="18"/>
  <c r="BC170" i="18"/>
  <c r="BD170" i="18"/>
  <c r="BE170" i="18"/>
  <c r="BF170" i="18"/>
  <c r="BG170" i="18"/>
  <c r="BH170" i="18"/>
  <c r="BJ170" i="18"/>
  <c r="BK170" i="18"/>
  <c r="BM170" i="18"/>
  <c r="A171" i="18"/>
  <c r="E171" i="18"/>
  <c r="F171" i="18"/>
  <c r="G171" i="18"/>
  <c r="J171" i="18"/>
  <c r="N171" i="18"/>
  <c r="O171" i="18"/>
  <c r="Q171" i="18"/>
  <c r="R171" i="18"/>
  <c r="S171" i="18"/>
  <c r="V171" i="18"/>
  <c r="X171" i="18"/>
  <c r="AA171" i="18"/>
  <c r="AB171" i="18"/>
  <c r="AC171" i="18"/>
  <c r="AD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X171" i="18"/>
  <c r="BB171" i="18"/>
  <c r="BC171" i="18"/>
  <c r="BD171" i="18"/>
  <c r="BE171" i="18"/>
  <c r="BF171" i="18"/>
  <c r="BG171" i="18"/>
  <c r="BH171" i="18"/>
  <c r="BJ171" i="18"/>
  <c r="BK171" i="18"/>
  <c r="BM171" i="18"/>
  <c r="A172" i="18"/>
  <c r="E172" i="18"/>
  <c r="F172" i="18"/>
  <c r="G172" i="18"/>
  <c r="J172" i="18"/>
  <c r="N172" i="18"/>
  <c r="O172" i="18"/>
  <c r="Q172" i="18"/>
  <c r="R172" i="18"/>
  <c r="S172" i="18"/>
  <c r="V172" i="18"/>
  <c r="X172" i="18"/>
  <c r="AA172" i="18"/>
  <c r="AB172" i="18"/>
  <c r="AC172" i="18"/>
  <c r="AD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X172" i="18"/>
  <c r="BB172" i="18"/>
  <c r="BC172" i="18"/>
  <c r="BD172" i="18"/>
  <c r="BE172" i="18"/>
  <c r="BF172" i="18"/>
  <c r="BG172" i="18"/>
  <c r="BH172" i="18"/>
  <c r="BJ172" i="18"/>
  <c r="BK172" i="18"/>
  <c r="BM172" i="18"/>
  <c r="A173" i="18"/>
  <c r="E173" i="18"/>
  <c r="F173" i="18"/>
  <c r="G173" i="18"/>
  <c r="J173" i="18"/>
  <c r="N173" i="18"/>
  <c r="O173" i="18"/>
  <c r="Q173" i="18"/>
  <c r="R173" i="18"/>
  <c r="S173" i="18"/>
  <c r="V173" i="18"/>
  <c r="X173" i="18"/>
  <c r="AA173" i="18"/>
  <c r="AB173" i="18"/>
  <c r="AC173" i="18"/>
  <c r="AD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X173" i="18"/>
  <c r="BB173" i="18"/>
  <c r="BC173" i="18"/>
  <c r="BD173" i="18"/>
  <c r="BE173" i="18"/>
  <c r="BF173" i="18"/>
  <c r="BG173" i="18"/>
  <c r="BH173" i="18"/>
  <c r="BJ173" i="18"/>
  <c r="BK173" i="18"/>
  <c r="BM173" i="18"/>
  <c r="A174" i="18"/>
  <c r="E174" i="18"/>
  <c r="F174" i="18"/>
  <c r="G174" i="18"/>
  <c r="H174" i="18"/>
  <c r="J174" i="18"/>
  <c r="N174" i="18"/>
  <c r="O174" i="18"/>
  <c r="Q174" i="18"/>
  <c r="R174" i="18"/>
  <c r="S174" i="18"/>
  <c r="V174" i="18"/>
  <c r="X174" i="18"/>
  <c r="AA174" i="18"/>
  <c r="AB174" i="18"/>
  <c r="AC174" i="18"/>
  <c r="AD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X174" i="18"/>
  <c r="AY174" i="18"/>
  <c r="AZ174" i="18"/>
  <c r="BB174" i="18"/>
  <c r="BC174" i="18"/>
  <c r="BD174" i="18"/>
  <c r="BE174" i="18"/>
  <c r="BF174" i="18"/>
  <c r="BG174" i="18"/>
  <c r="BH174" i="18"/>
  <c r="BJ174" i="18"/>
  <c r="BK174" i="18"/>
  <c r="BM174" i="18"/>
  <c r="A175" i="18"/>
  <c r="E175" i="18"/>
  <c r="F175" i="18"/>
  <c r="G175" i="18"/>
  <c r="J175" i="18"/>
  <c r="N175" i="18"/>
  <c r="O175" i="18"/>
  <c r="Q175" i="18"/>
  <c r="R175" i="18"/>
  <c r="S175" i="18"/>
  <c r="V175" i="18"/>
  <c r="X175" i="18"/>
  <c r="AA175" i="18"/>
  <c r="AB175" i="18"/>
  <c r="AC175" i="18"/>
  <c r="AD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X175" i="18"/>
  <c r="BB175" i="18"/>
  <c r="BC175" i="18"/>
  <c r="BD175" i="18"/>
  <c r="BE175" i="18"/>
  <c r="BF175" i="18"/>
  <c r="BG175" i="18"/>
  <c r="BH175" i="18"/>
  <c r="BJ175" i="18"/>
  <c r="BK175" i="18"/>
  <c r="BM175" i="18"/>
  <c r="A176" i="18"/>
  <c r="E176" i="18"/>
  <c r="F176" i="18"/>
  <c r="G176" i="18"/>
  <c r="J176" i="18"/>
  <c r="N176" i="18"/>
  <c r="O176" i="18"/>
  <c r="Q176" i="18"/>
  <c r="R176" i="18"/>
  <c r="S176" i="18"/>
  <c r="V176" i="18"/>
  <c r="X176" i="18"/>
  <c r="AA176" i="18"/>
  <c r="AB176" i="18"/>
  <c r="AC176" i="18"/>
  <c r="AD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X176" i="18"/>
  <c r="BB176" i="18"/>
  <c r="BC176" i="18"/>
  <c r="BD176" i="18"/>
  <c r="BE176" i="18"/>
  <c r="BF176" i="18"/>
  <c r="BG176" i="18"/>
  <c r="BH176" i="18"/>
  <c r="BJ176" i="18"/>
  <c r="BK176" i="18"/>
  <c r="BM176" i="18"/>
  <c r="A177" i="18"/>
  <c r="E177" i="18"/>
  <c r="F177" i="18"/>
  <c r="G177" i="18"/>
  <c r="J177" i="18"/>
  <c r="N177" i="18"/>
  <c r="O177" i="18"/>
  <c r="Q177" i="18"/>
  <c r="R177" i="18"/>
  <c r="S177" i="18"/>
  <c r="V177" i="18"/>
  <c r="X177" i="18"/>
  <c r="AA177" i="18"/>
  <c r="AB177" i="18"/>
  <c r="AC177" i="18"/>
  <c r="AD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X177" i="18"/>
  <c r="BB177" i="18"/>
  <c r="BC177" i="18"/>
  <c r="BD177" i="18"/>
  <c r="BE177" i="18"/>
  <c r="BF177" i="18"/>
  <c r="BG177" i="18"/>
  <c r="BH177" i="18"/>
  <c r="BJ177" i="18"/>
  <c r="BK177" i="18"/>
  <c r="BM177" i="18"/>
  <c r="A178" i="18"/>
  <c r="E178" i="18"/>
  <c r="F178" i="18"/>
  <c r="G178" i="18"/>
  <c r="J178" i="18"/>
  <c r="N178" i="18"/>
  <c r="O178" i="18"/>
  <c r="Q178" i="18"/>
  <c r="R178" i="18"/>
  <c r="S178" i="18"/>
  <c r="V178" i="18"/>
  <c r="X178" i="18"/>
  <c r="AA178" i="18"/>
  <c r="AB178" i="18"/>
  <c r="AC178" i="18"/>
  <c r="AD178" i="18"/>
  <c r="AH178" i="18"/>
  <c r="AI178" i="18"/>
  <c r="AJ178" i="18"/>
  <c r="AK178" i="18"/>
  <c r="AL178" i="18"/>
  <c r="AM178" i="18"/>
  <c r="AN178" i="18"/>
  <c r="AO178" i="18"/>
  <c r="AP178" i="18"/>
  <c r="AQ178" i="18"/>
  <c r="AR178" i="18"/>
  <c r="AS178" i="18"/>
  <c r="AT178" i="18"/>
  <c r="AU178" i="18"/>
  <c r="AV178" i="18"/>
  <c r="AX178" i="18"/>
  <c r="BB178" i="18"/>
  <c r="BC178" i="18"/>
  <c r="BD178" i="18"/>
  <c r="BE178" i="18"/>
  <c r="BF178" i="18"/>
  <c r="BG178" i="18"/>
  <c r="BH178" i="18"/>
  <c r="BJ178" i="18"/>
  <c r="BK178" i="18"/>
  <c r="BM178" i="18"/>
  <c r="A179" i="18"/>
  <c r="E179" i="18"/>
  <c r="F179" i="18"/>
  <c r="G179" i="18"/>
  <c r="J179" i="18"/>
  <c r="N179" i="18"/>
  <c r="O179" i="18"/>
  <c r="Q179" i="18"/>
  <c r="R179" i="18"/>
  <c r="S179" i="18"/>
  <c r="V179" i="18"/>
  <c r="X179" i="18"/>
  <c r="AA179" i="18"/>
  <c r="AB179" i="18"/>
  <c r="AC179" i="18"/>
  <c r="AD179" i="18"/>
  <c r="AH179" i="18"/>
  <c r="AI179" i="18"/>
  <c r="AJ179" i="18"/>
  <c r="AK179" i="18"/>
  <c r="AL179" i="18"/>
  <c r="AM179" i="18"/>
  <c r="AN179" i="18"/>
  <c r="AO179" i="18"/>
  <c r="AP179" i="18"/>
  <c r="AQ179" i="18"/>
  <c r="AR179" i="18"/>
  <c r="AS179" i="18"/>
  <c r="AT179" i="18"/>
  <c r="AU179" i="18"/>
  <c r="AV179" i="18"/>
  <c r="AX179" i="18"/>
  <c r="BB179" i="18"/>
  <c r="BC179" i="18"/>
  <c r="BD179" i="18"/>
  <c r="BE179" i="18"/>
  <c r="BF179" i="18"/>
  <c r="BG179" i="18"/>
  <c r="BH179" i="18"/>
  <c r="BJ179" i="18"/>
  <c r="BK179" i="18"/>
  <c r="BM179" i="18"/>
  <c r="A180" i="18"/>
  <c r="E180" i="18"/>
  <c r="F180" i="18"/>
  <c r="G180" i="18"/>
  <c r="J180" i="18"/>
  <c r="N180" i="18"/>
  <c r="O180" i="18"/>
  <c r="Q180" i="18"/>
  <c r="R180" i="18"/>
  <c r="S180" i="18"/>
  <c r="V180" i="18"/>
  <c r="X180" i="18"/>
  <c r="AA180" i="18"/>
  <c r="AB180" i="18"/>
  <c r="AC180" i="18"/>
  <c r="AD180" i="18"/>
  <c r="AH180" i="18"/>
  <c r="AI180" i="18"/>
  <c r="AJ180" i="18"/>
  <c r="AK180" i="18"/>
  <c r="AL180" i="18"/>
  <c r="AM180" i="18"/>
  <c r="AN180" i="18"/>
  <c r="AO180" i="18"/>
  <c r="AP180" i="18"/>
  <c r="AQ180" i="18"/>
  <c r="AR180" i="18"/>
  <c r="AS180" i="18"/>
  <c r="AT180" i="18"/>
  <c r="AU180" i="18"/>
  <c r="AV180" i="18"/>
  <c r="AX180" i="18"/>
  <c r="BB180" i="18"/>
  <c r="BC180" i="18"/>
  <c r="BD180" i="18"/>
  <c r="BE180" i="18"/>
  <c r="BF180" i="18"/>
  <c r="BG180" i="18"/>
  <c r="BH180" i="18"/>
  <c r="BJ180" i="18"/>
  <c r="BK180" i="18"/>
  <c r="BM180" i="18"/>
  <c r="A181" i="18"/>
  <c r="E181" i="18"/>
  <c r="F181" i="18"/>
  <c r="G181" i="18"/>
  <c r="J181" i="18"/>
  <c r="N181" i="18"/>
  <c r="O181" i="18"/>
  <c r="Q181" i="18"/>
  <c r="R181" i="18"/>
  <c r="S181" i="18"/>
  <c r="V181" i="18"/>
  <c r="X181" i="18"/>
  <c r="AA181" i="18"/>
  <c r="AB181" i="18"/>
  <c r="AC181" i="18"/>
  <c r="AD181" i="18"/>
  <c r="AH181" i="18"/>
  <c r="AI181" i="18"/>
  <c r="AJ181" i="18"/>
  <c r="AK181" i="18"/>
  <c r="AL181" i="18"/>
  <c r="AM181" i="18"/>
  <c r="AN181" i="18"/>
  <c r="AO181" i="18"/>
  <c r="AP181" i="18"/>
  <c r="AQ181" i="18"/>
  <c r="AR181" i="18"/>
  <c r="AS181" i="18"/>
  <c r="AT181" i="18"/>
  <c r="AU181" i="18"/>
  <c r="AV181" i="18"/>
  <c r="AX181" i="18"/>
  <c r="BB181" i="18"/>
  <c r="BC181" i="18"/>
  <c r="BD181" i="18"/>
  <c r="BE181" i="18"/>
  <c r="BF181" i="18"/>
  <c r="BG181" i="18"/>
  <c r="BH181" i="18"/>
  <c r="BJ181" i="18"/>
  <c r="BK181" i="18"/>
  <c r="BM181" i="18"/>
  <c r="A182" i="18"/>
  <c r="E182" i="18"/>
  <c r="F182" i="18"/>
  <c r="G182" i="18"/>
  <c r="J182" i="18"/>
  <c r="N182" i="18"/>
  <c r="O182" i="18"/>
  <c r="Q182" i="18"/>
  <c r="R182" i="18"/>
  <c r="S182" i="18"/>
  <c r="V182" i="18"/>
  <c r="X182" i="18"/>
  <c r="AA182" i="18"/>
  <c r="AB182" i="18"/>
  <c r="AC182" i="18"/>
  <c r="AD182" i="18"/>
  <c r="AH182" i="18"/>
  <c r="AI182" i="18"/>
  <c r="AJ182" i="18"/>
  <c r="AK182" i="18"/>
  <c r="AL182" i="18"/>
  <c r="AM182" i="18"/>
  <c r="AN182" i="18"/>
  <c r="AO182" i="18"/>
  <c r="AP182" i="18"/>
  <c r="AQ182" i="18"/>
  <c r="AR182" i="18"/>
  <c r="AS182" i="18"/>
  <c r="AT182" i="18"/>
  <c r="AU182" i="18"/>
  <c r="AV182" i="18"/>
  <c r="AX182" i="18"/>
  <c r="BB182" i="18"/>
  <c r="BC182" i="18"/>
  <c r="BD182" i="18"/>
  <c r="BE182" i="18"/>
  <c r="BF182" i="18"/>
  <c r="BG182" i="18"/>
  <c r="BH182" i="18"/>
  <c r="BJ182" i="18"/>
  <c r="BK182" i="18"/>
  <c r="BM182" i="18"/>
  <c r="A183" i="18"/>
  <c r="E183" i="18"/>
  <c r="F183" i="18"/>
  <c r="G183" i="18"/>
  <c r="J183" i="18"/>
  <c r="N183" i="18"/>
  <c r="O183" i="18"/>
  <c r="Q183" i="18"/>
  <c r="R183" i="18"/>
  <c r="S183" i="18"/>
  <c r="V183" i="18"/>
  <c r="X183" i="18"/>
  <c r="AA183" i="18"/>
  <c r="AB183" i="18"/>
  <c r="AC183" i="18"/>
  <c r="AD183" i="18"/>
  <c r="AH183" i="18"/>
  <c r="AI183" i="18"/>
  <c r="AJ183" i="18"/>
  <c r="AK183" i="18"/>
  <c r="AL183" i="18"/>
  <c r="AM183" i="18"/>
  <c r="AN183" i="18"/>
  <c r="AO183" i="18"/>
  <c r="AP183" i="18"/>
  <c r="AQ183" i="18"/>
  <c r="AR183" i="18"/>
  <c r="AS183" i="18"/>
  <c r="AT183" i="18"/>
  <c r="AU183" i="18"/>
  <c r="AV183" i="18"/>
  <c r="AX183" i="18"/>
  <c r="BB183" i="18"/>
  <c r="BC183" i="18"/>
  <c r="BD183" i="18"/>
  <c r="BE183" i="18"/>
  <c r="BF183" i="18"/>
  <c r="BG183" i="18"/>
  <c r="BH183" i="18"/>
  <c r="BJ183" i="18"/>
  <c r="BK183" i="18"/>
  <c r="BM183" i="18"/>
  <c r="A184" i="18"/>
  <c r="E184" i="18"/>
  <c r="F184" i="18"/>
  <c r="G184" i="18"/>
  <c r="J184" i="18"/>
  <c r="N184" i="18"/>
  <c r="O184" i="18"/>
  <c r="Q184" i="18"/>
  <c r="R184" i="18"/>
  <c r="S184" i="18"/>
  <c r="V184" i="18"/>
  <c r="X184" i="18"/>
  <c r="AA184" i="18"/>
  <c r="AB184" i="18"/>
  <c r="AC184" i="18"/>
  <c r="AD184" i="18"/>
  <c r="AH184" i="18"/>
  <c r="AI184" i="18"/>
  <c r="AJ184" i="18"/>
  <c r="AK184" i="18"/>
  <c r="AL184" i="18"/>
  <c r="AM184" i="18"/>
  <c r="AN184" i="18"/>
  <c r="AO184" i="18"/>
  <c r="AP184" i="18"/>
  <c r="AQ184" i="18"/>
  <c r="AR184" i="18"/>
  <c r="AS184" i="18"/>
  <c r="AT184" i="18"/>
  <c r="AU184" i="18"/>
  <c r="AV184" i="18"/>
  <c r="AX184" i="18"/>
  <c r="BB184" i="18"/>
  <c r="BC184" i="18"/>
  <c r="BD184" i="18"/>
  <c r="BE184" i="18"/>
  <c r="BF184" i="18"/>
  <c r="BG184" i="18"/>
  <c r="BH184" i="18"/>
  <c r="BJ184" i="18"/>
  <c r="BK184" i="18"/>
  <c r="BM184" i="18"/>
  <c r="A185" i="18"/>
  <c r="E185" i="18"/>
  <c r="F185" i="18"/>
  <c r="G185" i="18"/>
  <c r="J185" i="18"/>
  <c r="N185" i="18"/>
  <c r="O185" i="18"/>
  <c r="Q185" i="18"/>
  <c r="R185" i="18"/>
  <c r="S185" i="18"/>
  <c r="V185" i="18"/>
  <c r="X185" i="18"/>
  <c r="AA185" i="18"/>
  <c r="AB185" i="18"/>
  <c r="AC185" i="18"/>
  <c r="AD185" i="18"/>
  <c r="AH185" i="18"/>
  <c r="AI185" i="18"/>
  <c r="AJ185" i="18"/>
  <c r="AK185" i="18"/>
  <c r="AL185" i="18"/>
  <c r="AM185" i="18"/>
  <c r="AN185" i="18"/>
  <c r="AO185" i="18"/>
  <c r="AP185" i="18"/>
  <c r="AQ185" i="18"/>
  <c r="AR185" i="18"/>
  <c r="AS185" i="18"/>
  <c r="AT185" i="18"/>
  <c r="AU185" i="18"/>
  <c r="AV185" i="18"/>
  <c r="AX185" i="18"/>
  <c r="BB185" i="18"/>
  <c r="BC185" i="18"/>
  <c r="BD185" i="18"/>
  <c r="BE185" i="18"/>
  <c r="BF185" i="18"/>
  <c r="BG185" i="18"/>
  <c r="BH185" i="18"/>
  <c r="BJ185" i="18"/>
  <c r="BK185" i="18"/>
  <c r="BM185" i="18"/>
  <c r="A186" i="18"/>
  <c r="E186" i="18"/>
  <c r="F186" i="18"/>
  <c r="G186" i="18"/>
  <c r="H186" i="18"/>
  <c r="J186" i="18"/>
  <c r="N186" i="18"/>
  <c r="O186" i="18"/>
  <c r="Q186" i="18"/>
  <c r="R186" i="18"/>
  <c r="S186" i="18"/>
  <c r="V186" i="18"/>
  <c r="X186" i="18"/>
  <c r="AA186" i="18"/>
  <c r="AB186" i="18"/>
  <c r="AC186" i="18"/>
  <c r="AD186" i="18"/>
  <c r="AH186" i="18"/>
  <c r="AI186" i="18"/>
  <c r="AJ186" i="18"/>
  <c r="AK186" i="18"/>
  <c r="AL186" i="18"/>
  <c r="AM186" i="18"/>
  <c r="AN186" i="18"/>
  <c r="AO186" i="18"/>
  <c r="AP186" i="18"/>
  <c r="AQ186" i="18"/>
  <c r="AR186" i="18"/>
  <c r="AS186" i="18"/>
  <c r="AT186" i="18"/>
  <c r="AU186" i="18"/>
  <c r="AV186" i="18"/>
  <c r="AX186" i="18"/>
  <c r="AY186" i="18"/>
  <c r="AZ186" i="18"/>
  <c r="BB186" i="18"/>
  <c r="BC186" i="18"/>
  <c r="BD186" i="18"/>
  <c r="BE186" i="18"/>
  <c r="BF186" i="18"/>
  <c r="BG186" i="18"/>
  <c r="BH186" i="18"/>
  <c r="BJ186" i="18"/>
  <c r="BK186" i="18"/>
  <c r="BM186" i="18"/>
  <c r="A187" i="18"/>
  <c r="E187" i="18"/>
  <c r="F187" i="18"/>
  <c r="G187" i="18"/>
  <c r="J187" i="18"/>
  <c r="N187" i="18"/>
  <c r="O187" i="18"/>
  <c r="Q187" i="18"/>
  <c r="R187" i="18"/>
  <c r="S187" i="18"/>
  <c r="V187" i="18"/>
  <c r="X187" i="18"/>
  <c r="AA187" i="18"/>
  <c r="AB187" i="18"/>
  <c r="AC187" i="18"/>
  <c r="AD187" i="18"/>
  <c r="AH187" i="18"/>
  <c r="AI187" i="18"/>
  <c r="AJ187" i="18"/>
  <c r="AK187" i="18"/>
  <c r="AL187" i="18"/>
  <c r="AM187" i="18"/>
  <c r="AN187" i="18"/>
  <c r="AO187" i="18"/>
  <c r="AP187" i="18"/>
  <c r="AQ187" i="18"/>
  <c r="AR187" i="18"/>
  <c r="AS187" i="18"/>
  <c r="AT187" i="18"/>
  <c r="AU187" i="18"/>
  <c r="AV187" i="18"/>
  <c r="AX187" i="18"/>
  <c r="BB187" i="18"/>
  <c r="BC187" i="18"/>
  <c r="BD187" i="18"/>
  <c r="BE187" i="18"/>
  <c r="BF187" i="18"/>
  <c r="BG187" i="18"/>
  <c r="BH187" i="18"/>
  <c r="BJ187" i="18"/>
  <c r="BK187" i="18"/>
  <c r="BM187" i="18"/>
  <c r="A188" i="18"/>
  <c r="E188" i="18"/>
  <c r="F188" i="18"/>
  <c r="G188" i="18"/>
  <c r="J188" i="18"/>
  <c r="N188" i="18"/>
  <c r="O188" i="18"/>
  <c r="Q188" i="18"/>
  <c r="R188" i="18"/>
  <c r="S188" i="18"/>
  <c r="V188" i="18"/>
  <c r="X188" i="18"/>
  <c r="AA188" i="18"/>
  <c r="AB188" i="18"/>
  <c r="AC188" i="18"/>
  <c r="AD188" i="18"/>
  <c r="AH188" i="18"/>
  <c r="AI188" i="18"/>
  <c r="AJ188" i="18"/>
  <c r="AK188" i="18"/>
  <c r="AL188" i="18"/>
  <c r="AM188" i="18"/>
  <c r="AN188" i="18"/>
  <c r="AO188" i="18"/>
  <c r="AP188" i="18"/>
  <c r="AQ188" i="18"/>
  <c r="AR188" i="18"/>
  <c r="AS188" i="18"/>
  <c r="AT188" i="18"/>
  <c r="AU188" i="18"/>
  <c r="AV188" i="18"/>
  <c r="AX188" i="18"/>
  <c r="BB188" i="18"/>
  <c r="BC188" i="18"/>
  <c r="BD188" i="18"/>
  <c r="BE188" i="18"/>
  <c r="BF188" i="18"/>
  <c r="BG188" i="18"/>
  <c r="BH188" i="18"/>
  <c r="BJ188" i="18"/>
  <c r="BK188" i="18"/>
  <c r="BM188" i="18"/>
  <c r="A189" i="18"/>
  <c r="E189" i="18"/>
  <c r="F189" i="18"/>
  <c r="G189" i="18"/>
  <c r="J189" i="18"/>
  <c r="N189" i="18"/>
  <c r="O189" i="18"/>
  <c r="Q189" i="18"/>
  <c r="R189" i="18"/>
  <c r="S189" i="18"/>
  <c r="V189" i="18"/>
  <c r="X189" i="18"/>
  <c r="AA189" i="18"/>
  <c r="AB189" i="18"/>
  <c r="AC189" i="18"/>
  <c r="AD189" i="18"/>
  <c r="AH189" i="18"/>
  <c r="AI189" i="18"/>
  <c r="AJ189" i="18"/>
  <c r="AK189" i="18"/>
  <c r="AL189" i="18"/>
  <c r="AM189" i="18"/>
  <c r="AN189" i="18"/>
  <c r="AO189" i="18"/>
  <c r="AP189" i="18"/>
  <c r="AQ189" i="18"/>
  <c r="AR189" i="18"/>
  <c r="AS189" i="18"/>
  <c r="AT189" i="18"/>
  <c r="AU189" i="18"/>
  <c r="AV189" i="18"/>
  <c r="AX189" i="18"/>
  <c r="BB189" i="18"/>
  <c r="BC189" i="18"/>
  <c r="BD189" i="18"/>
  <c r="BE189" i="18"/>
  <c r="BF189" i="18"/>
  <c r="BG189" i="18"/>
  <c r="BH189" i="18"/>
  <c r="BJ189" i="18"/>
  <c r="BK189" i="18"/>
  <c r="BM189" i="18"/>
  <c r="A190" i="18"/>
  <c r="E190" i="18"/>
  <c r="F190" i="18"/>
  <c r="G190" i="18"/>
  <c r="J190" i="18"/>
  <c r="N190" i="18"/>
  <c r="O190" i="18"/>
  <c r="Q190" i="18"/>
  <c r="R190" i="18"/>
  <c r="S190" i="18"/>
  <c r="V190" i="18"/>
  <c r="X190" i="18"/>
  <c r="AA190" i="18"/>
  <c r="AB190" i="18"/>
  <c r="AC190" i="18"/>
  <c r="AD190" i="18"/>
  <c r="AH190" i="18"/>
  <c r="AI190" i="18"/>
  <c r="AJ190" i="18"/>
  <c r="AK190" i="18"/>
  <c r="AL190" i="18"/>
  <c r="AM190" i="18"/>
  <c r="AN190" i="18"/>
  <c r="AO190" i="18"/>
  <c r="AP190" i="18"/>
  <c r="AQ190" i="18"/>
  <c r="AR190" i="18"/>
  <c r="AS190" i="18"/>
  <c r="AT190" i="18"/>
  <c r="AU190" i="18"/>
  <c r="AV190" i="18"/>
  <c r="AX190" i="18"/>
  <c r="BB190" i="18"/>
  <c r="BC190" i="18"/>
  <c r="BD190" i="18"/>
  <c r="BE190" i="18"/>
  <c r="BF190" i="18"/>
  <c r="BG190" i="18"/>
  <c r="BH190" i="18"/>
  <c r="BJ190" i="18"/>
  <c r="BK190" i="18"/>
  <c r="BM190" i="18"/>
  <c r="A191" i="18"/>
  <c r="E191" i="18"/>
  <c r="F191" i="18"/>
  <c r="G191" i="18"/>
  <c r="J191" i="18"/>
  <c r="N191" i="18"/>
  <c r="O191" i="18"/>
  <c r="Q191" i="18"/>
  <c r="R191" i="18"/>
  <c r="S191" i="18"/>
  <c r="V191" i="18"/>
  <c r="X191" i="18"/>
  <c r="AA191" i="18"/>
  <c r="AB191" i="18"/>
  <c r="AC191" i="18"/>
  <c r="AD191" i="18"/>
  <c r="AH191" i="18"/>
  <c r="AI191" i="18"/>
  <c r="AJ191" i="18"/>
  <c r="AK191" i="18"/>
  <c r="AL191" i="18"/>
  <c r="AM191" i="18"/>
  <c r="AN191" i="18"/>
  <c r="AO191" i="18"/>
  <c r="AP191" i="18"/>
  <c r="AQ191" i="18"/>
  <c r="AR191" i="18"/>
  <c r="AS191" i="18"/>
  <c r="AT191" i="18"/>
  <c r="AU191" i="18"/>
  <c r="AV191" i="18"/>
  <c r="AX191" i="18"/>
  <c r="BB191" i="18"/>
  <c r="BC191" i="18"/>
  <c r="BD191" i="18"/>
  <c r="BE191" i="18"/>
  <c r="BF191" i="18"/>
  <c r="BG191" i="18"/>
  <c r="BH191" i="18"/>
  <c r="BJ191" i="18"/>
  <c r="BK191" i="18"/>
  <c r="BM191" i="18"/>
  <c r="A192" i="18"/>
  <c r="E192" i="18"/>
  <c r="F192" i="18"/>
  <c r="G192" i="18"/>
  <c r="J192" i="18"/>
  <c r="N192" i="18"/>
  <c r="O192" i="18"/>
  <c r="Q192" i="18"/>
  <c r="R192" i="18"/>
  <c r="S192" i="18"/>
  <c r="V192" i="18"/>
  <c r="X192" i="18"/>
  <c r="AA192" i="18"/>
  <c r="AB192" i="18"/>
  <c r="AC192" i="18"/>
  <c r="AD192" i="18"/>
  <c r="AH192" i="18"/>
  <c r="AI192" i="18"/>
  <c r="AJ192" i="18"/>
  <c r="AK192" i="18"/>
  <c r="AL192" i="18"/>
  <c r="AM192" i="18"/>
  <c r="AN192" i="18"/>
  <c r="AO192" i="18"/>
  <c r="AP192" i="18"/>
  <c r="AQ192" i="18"/>
  <c r="AR192" i="18"/>
  <c r="AS192" i="18"/>
  <c r="AT192" i="18"/>
  <c r="AU192" i="18"/>
  <c r="AV192" i="18"/>
  <c r="AX192" i="18"/>
  <c r="BB192" i="18"/>
  <c r="BC192" i="18"/>
  <c r="BD192" i="18"/>
  <c r="BE192" i="18"/>
  <c r="BF192" i="18"/>
  <c r="BG192" i="18"/>
  <c r="BH192" i="18"/>
  <c r="BJ192" i="18"/>
  <c r="BK192" i="18"/>
  <c r="BM192" i="18"/>
  <c r="A193" i="18"/>
  <c r="E193" i="18"/>
  <c r="F193" i="18"/>
  <c r="G193" i="18"/>
  <c r="J193" i="18"/>
  <c r="N193" i="18"/>
  <c r="O193" i="18"/>
  <c r="Q193" i="18"/>
  <c r="R193" i="18"/>
  <c r="S193" i="18"/>
  <c r="V193" i="18"/>
  <c r="X193" i="18"/>
  <c r="AA193" i="18"/>
  <c r="AB193" i="18"/>
  <c r="AC193" i="18"/>
  <c r="AD193" i="18"/>
  <c r="AH193" i="18"/>
  <c r="AI193" i="18"/>
  <c r="AJ193" i="18"/>
  <c r="AK193" i="18"/>
  <c r="AL193" i="18"/>
  <c r="AM193" i="18"/>
  <c r="AN193" i="18"/>
  <c r="AO193" i="18"/>
  <c r="AP193" i="18"/>
  <c r="AQ193" i="18"/>
  <c r="AR193" i="18"/>
  <c r="AS193" i="18"/>
  <c r="AT193" i="18"/>
  <c r="AU193" i="18"/>
  <c r="AV193" i="18"/>
  <c r="AX193" i="18"/>
  <c r="BB193" i="18"/>
  <c r="BC193" i="18"/>
  <c r="BD193" i="18"/>
  <c r="BE193" i="18"/>
  <c r="BF193" i="18"/>
  <c r="BG193" i="18"/>
  <c r="BH193" i="18"/>
  <c r="BJ193" i="18"/>
  <c r="BK193" i="18"/>
  <c r="BM193" i="18"/>
  <c r="A194" i="18"/>
  <c r="E194" i="18"/>
  <c r="F194" i="18"/>
  <c r="G194" i="18"/>
  <c r="J194" i="18"/>
  <c r="N194" i="18"/>
  <c r="O194" i="18"/>
  <c r="Q194" i="18"/>
  <c r="R194" i="18"/>
  <c r="S194" i="18"/>
  <c r="V194" i="18"/>
  <c r="X194" i="18"/>
  <c r="AA194" i="18"/>
  <c r="AB194" i="18"/>
  <c r="AC194" i="18"/>
  <c r="AD194" i="18"/>
  <c r="AH194" i="18"/>
  <c r="AI194" i="18"/>
  <c r="AJ194" i="18"/>
  <c r="AK194" i="18"/>
  <c r="AL194" i="18"/>
  <c r="AM194" i="18"/>
  <c r="AN194" i="18"/>
  <c r="AO194" i="18"/>
  <c r="AP194" i="18"/>
  <c r="AQ194" i="18"/>
  <c r="AR194" i="18"/>
  <c r="AS194" i="18"/>
  <c r="AT194" i="18"/>
  <c r="AU194" i="18"/>
  <c r="AV194" i="18"/>
  <c r="AX194" i="18"/>
  <c r="BB194" i="18"/>
  <c r="BC194" i="18"/>
  <c r="BD194" i="18"/>
  <c r="BE194" i="18"/>
  <c r="BF194" i="18"/>
  <c r="BG194" i="18"/>
  <c r="BH194" i="18"/>
  <c r="BJ194" i="18"/>
  <c r="BK194" i="18"/>
  <c r="BM194" i="18"/>
  <c r="A195" i="18"/>
  <c r="E195" i="18"/>
  <c r="F195" i="18"/>
  <c r="G195" i="18"/>
  <c r="J195" i="18"/>
  <c r="N195" i="18"/>
  <c r="O195" i="18"/>
  <c r="Q195" i="18"/>
  <c r="R195" i="18"/>
  <c r="S195" i="18"/>
  <c r="V195" i="18"/>
  <c r="X195" i="18"/>
  <c r="AA195" i="18"/>
  <c r="AB195" i="18"/>
  <c r="AC195" i="18"/>
  <c r="AD195" i="18"/>
  <c r="AH195" i="18"/>
  <c r="AI195" i="18"/>
  <c r="AJ195" i="18"/>
  <c r="AK195" i="18"/>
  <c r="AL195" i="18"/>
  <c r="AM195" i="18"/>
  <c r="AN195" i="18"/>
  <c r="AO195" i="18"/>
  <c r="AP195" i="18"/>
  <c r="AQ195" i="18"/>
  <c r="AR195" i="18"/>
  <c r="AS195" i="18"/>
  <c r="AT195" i="18"/>
  <c r="AU195" i="18"/>
  <c r="AV195" i="18"/>
  <c r="AX195" i="18"/>
  <c r="BB195" i="18"/>
  <c r="BC195" i="18"/>
  <c r="BD195" i="18"/>
  <c r="BE195" i="18"/>
  <c r="BF195" i="18"/>
  <c r="BG195" i="18"/>
  <c r="BH195" i="18"/>
  <c r="BJ195" i="18"/>
  <c r="BK195" i="18"/>
  <c r="BM195" i="18"/>
  <c r="A196" i="18"/>
  <c r="E196" i="18"/>
  <c r="F196" i="18"/>
  <c r="G196" i="18"/>
  <c r="J196" i="18"/>
  <c r="N196" i="18"/>
  <c r="O196" i="18"/>
  <c r="Q196" i="18"/>
  <c r="R196" i="18"/>
  <c r="S196" i="18"/>
  <c r="V196" i="18"/>
  <c r="X196" i="18"/>
  <c r="AA196" i="18"/>
  <c r="AB196" i="18"/>
  <c r="AC196" i="18"/>
  <c r="AD196" i="18"/>
  <c r="AH196" i="18"/>
  <c r="AI196" i="18"/>
  <c r="AJ196" i="18"/>
  <c r="AK196" i="18"/>
  <c r="AL196" i="18"/>
  <c r="AM196" i="18"/>
  <c r="AN196" i="18"/>
  <c r="AO196" i="18"/>
  <c r="AP196" i="18"/>
  <c r="AQ196" i="18"/>
  <c r="AR196" i="18"/>
  <c r="AS196" i="18"/>
  <c r="AT196" i="18"/>
  <c r="AU196" i="18"/>
  <c r="AV196" i="18"/>
  <c r="AX196" i="18"/>
  <c r="BB196" i="18"/>
  <c r="BC196" i="18"/>
  <c r="BD196" i="18"/>
  <c r="BE196" i="18"/>
  <c r="BF196" i="18"/>
  <c r="BG196" i="18"/>
  <c r="BH196" i="18"/>
  <c r="BJ196" i="18"/>
  <c r="BK196" i="18"/>
  <c r="BM196" i="18"/>
  <c r="A197" i="18"/>
  <c r="E197" i="18"/>
  <c r="F197" i="18"/>
  <c r="G197" i="18"/>
  <c r="J197" i="18"/>
  <c r="N197" i="18"/>
  <c r="O197" i="18"/>
  <c r="Q197" i="18"/>
  <c r="R197" i="18"/>
  <c r="S197" i="18"/>
  <c r="V197" i="18"/>
  <c r="X197" i="18"/>
  <c r="AA197" i="18"/>
  <c r="AB197" i="18"/>
  <c r="AC197" i="18"/>
  <c r="AD197" i="18"/>
  <c r="AH197" i="18"/>
  <c r="AI197" i="18"/>
  <c r="AJ197" i="18"/>
  <c r="AK197" i="18"/>
  <c r="AL197" i="18"/>
  <c r="AM197" i="18"/>
  <c r="AN197" i="18"/>
  <c r="AO197" i="18"/>
  <c r="AP197" i="18"/>
  <c r="AQ197" i="18"/>
  <c r="AR197" i="18"/>
  <c r="AS197" i="18"/>
  <c r="AT197" i="18"/>
  <c r="AU197" i="18"/>
  <c r="AV197" i="18"/>
  <c r="AX197" i="18"/>
  <c r="BB197" i="18"/>
  <c r="BC197" i="18"/>
  <c r="BD197" i="18"/>
  <c r="BE197" i="18"/>
  <c r="BF197" i="18"/>
  <c r="BG197" i="18"/>
  <c r="BH197" i="18"/>
  <c r="BJ197" i="18"/>
  <c r="BK197" i="18"/>
  <c r="BM197" i="18"/>
  <c r="A198" i="18"/>
  <c r="E198" i="18"/>
  <c r="F198" i="18"/>
  <c r="G198" i="18"/>
  <c r="H198" i="18"/>
  <c r="J198" i="18"/>
  <c r="N198" i="18"/>
  <c r="O198" i="18"/>
  <c r="Q198" i="18"/>
  <c r="R198" i="18"/>
  <c r="S198" i="18"/>
  <c r="V198" i="18"/>
  <c r="X198" i="18"/>
  <c r="AA198" i="18"/>
  <c r="AB198" i="18"/>
  <c r="AC198" i="18"/>
  <c r="AD198" i="18"/>
  <c r="AH198" i="18"/>
  <c r="AI198" i="18"/>
  <c r="AJ198" i="18"/>
  <c r="AK198" i="18"/>
  <c r="AL198" i="18"/>
  <c r="AM198" i="18"/>
  <c r="AN198" i="18"/>
  <c r="AO198" i="18"/>
  <c r="AP198" i="18"/>
  <c r="AQ198" i="18"/>
  <c r="AR198" i="18"/>
  <c r="AS198" i="18"/>
  <c r="AT198" i="18"/>
  <c r="AU198" i="18"/>
  <c r="AV198" i="18"/>
  <c r="AX198" i="18"/>
  <c r="AY198" i="18"/>
  <c r="AZ198" i="18"/>
  <c r="BB198" i="18"/>
  <c r="BC198" i="18"/>
  <c r="BD198" i="18"/>
  <c r="BE198" i="18"/>
  <c r="BF198" i="18"/>
  <c r="BG198" i="18"/>
  <c r="BH198" i="18"/>
  <c r="BJ198" i="18"/>
  <c r="BK198" i="18"/>
  <c r="BM198" i="18"/>
  <c r="A199" i="18"/>
  <c r="E199" i="18"/>
  <c r="F199" i="18"/>
  <c r="G199" i="18"/>
  <c r="J199" i="18"/>
  <c r="N199" i="18"/>
  <c r="O199" i="18"/>
  <c r="Q199" i="18"/>
  <c r="R199" i="18"/>
  <c r="S199" i="18"/>
  <c r="V199" i="18"/>
  <c r="X199" i="18"/>
  <c r="AA199" i="18"/>
  <c r="AB199" i="18"/>
  <c r="AC199" i="18"/>
  <c r="AD199" i="18"/>
  <c r="AH199" i="18"/>
  <c r="AI199" i="18"/>
  <c r="AJ199" i="18"/>
  <c r="AK199" i="18"/>
  <c r="AL199" i="18"/>
  <c r="AM199" i="18"/>
  <c r="AN199" i="18"/>
  <c r="AO199" i="18"/>
  <c r="AP199" i="18"/>
  <c r="AQ199" i="18"/>
  <c r="AR199" i="18"/>
  <c r="AS199" i="18"/>
  <c r="AT199" i="18"/>
  <c r="AU199" i="18"/>
  <c r="AV199" i="18"/>
  <c r="AX199" i="18"/>
  <c r="BB199" i="18"/>
  <c r="BC199" i="18"/>
  <c r="BD199" i="18"/>
  <c r="BE199" i="18"/>
  <c r="BF199" i="18"/>
  <c r="BG199" i="18"/>
  <c r="BH199" i="18"/>
  <c r="BJ199" i="18"/>
  <c r="BK199" i="18"/>
  <c r="BM199" i="18"/>
  <c r="A200" i="18"/>
  <c r="E200" i="18"/>
  <c r="F200" i="18"/>
  <c r="G200" i="18"/>
  <c r="J200" i="18"/>
  <c r="N200" i="18"/>
  <c r="O200" i="18"/>
  <c r="Q200" i="18"/>
  <c r="R200" i="18"/>
  <c r="S200" i="18"/>
  <c r="V200" i="18"/>
  <c r="X200" i="18"/>
  <c r="AA200" i="18"/>
  <c r="AB200" i="18"/>
  <c r="AC200" i="18"/>
  <c r="AD200" i="18"/>
  <c r="AH200" i="18"/>
  <c r="AI200" i="18"/>
  <c r="AJ200" i="18"/>
  <c r="AK200" i="18"/>
  <c r="AL200" i="18"/>
  <c r="AM200" i="18"/>
  <c r="AN200" i="18"/>
  <c r="AO200" i="18"/>
  <c r="AP200" i="18"/>
  <c r="AQ200" i="18"/>
  <c r="AR200" i="18"/>
  <c r="AS200" i="18"/>
  <c r="AT200" i="18"/>
  <c r="AU200" i="18"/>
  <c r="AV200" i="18"/>
  <c r="AX200" i="18"/>
  <c r="BB200" i="18"/>
  <c r="BC200" i="18"/>
  <c r="BD200" i="18"/>
  <c r="BE200" i="18"/>
  <c r="BF200" i="18"/>
  <c r="BG200" i="18"/>
  <c r="BH200" i="18"/>
  <c r="BJ200" i="18"/>
  <c r="BK200" i="18"/>
  <c r="BM200" i="18"/>
  <c r="A201" i="18"/>
  <c r="E201" i="18"/>
  <c r="F201" i="18"/>
  <c r="G201" i="18"/>
  <c r="J201" i="18"/>
  <c r="N201" i="18"/>
  <c r="O201" i="18"/>
  <c r="Q201" i="18"/>
  <c r="R201" i="18"/>
  <c r="S201" i="18"/>
  <c r="V201" i="18"/>
  <c r="X201" i="18"/>
  <c r="AA201" i="18"/>
  <c r="AB201" i="18"/>
  <c r="AC201" i="18"/>
  <c r="AD201" i="18"/>
  <c r="AH201" i="18"/>
  <c r="AI201" i="18"/>
  <c r="AJ201" i="18"/>
  <c r="AK201" i="18"/>
  <c r="AL201" i="18"/>
  <c r="AM201" i="18"/>
  <c r="AN201" i="18"/>
  <c r="AO201" i="18"/>
  <c r="AP201" i="18"/>
  <c r="AQ201" i="18"/>
  <c r="AR201" i="18"/>
  <c r="AS201" i="18"/>
  <c r="AT201" i="18"/>
  <c r="AU201" i="18"/>
  <c r="AV201" i="18"/>
  <c r="AX201" i="18"/>
  <c r="BB201" i="18"/>
  <c r="BC201" i="18"/>
  <c r="BD201" i="18"/>
  <c r="BE201" i="18"/>
  <c r="BF201" i="18"/>
  <c r="BG201" i="18"/>
  <c r="BH201" i="18"/>
  <c r="BJ201" i="18"/>
  <c r="BK201" i="18"/>
  <c r="BM201" i="18"/>
  <c r="A202" i="18"/>
  <c r="E202" i="18"/>
  <c r="F202" i="18"/>
  <c r="G202" i="18"/>
  <c r="J202" i="18"/>
  <c r="N202" i="18"/>
  <c r="O202" i="18"/>
  <c r="Q202" i="18"/>
  <c r="R202" i="18"/>
  <c r="S202" i="18"/>
  <c r="V202" i="18"/>
  <c r="X202" i="18"/>
  <c r="AA202" i="18"/>
  <c r="AB202" i="18"/>
  <c r="AC202" i="18"/>
  <c r="AD202" i="18"/>
  <c r="AH202" i="18"/>
  <c r="AI202" i="18"/>
  <c r="AJ202" i="18"/>
  <c r="AK202" i="18"/>
  <c r="AL202" i="18"/>
  <c r="AM202" i="18"/>
  <c r="AN202" i="18"/>
  <c r="AO202" i="18"/>
  <c r="AP202" i="18"/>
  <c r="AQ202" i="18"/>
  <c r="AR202" i="18"/>
  <c r="AS202" i="18"/>
  <c r="AT202" i="18"/>
  <c r="AU202" i="18"/>
  <c r="AV202" i="18"/>
  <c r="AX202" i="18"/>
  <c r="BB202" i="18"/>
  <c r="BC202" i="18"/>
  <c r="BD202" i="18"/>
  <c r="BE202" i="18"/>
  <c r="BF202" i="18"/>
  <c r="BG202" i="18"/>
  <c r="BH202" i="18"/>
  <c r="BJ202" i="18"/>
  <c r="BK202" i="18"/>
  <c r="BM202" i="18"/>
  <c r="A203" i="18"/>
  <c r="E203" i="18"/>
  <c r="F203" i="18"/>
  <c r="G203" i="18"/>
  <c r="J203" i="18"/>
  <c r="N203" i="18"/>
  <c r="O203" i="18"/>
  <c r="Q203" i="18"/>
  <c r="R203" i="18"/>
  <c r="S203" i="18"/>
  <c r="V203" i="18"/>
  <c r="X203" i="18"/>
  <c r="AA203" i="18"/>
  <c r="AB203" i="18"/>
  <c r="AC203" i="18"/>
  <c r="AD203" i="18"/>
  <c r="AH203" i="18"/>
  <c r="AI203" i="18"/>
  <c r="AJ203" i="18"/>
  <c r="AK203" i="18"/>
  <c r="AL203" i="18"/>
  <c r="AM203" i="18"/>
  <c r="AN203" i="18"/>
  <c r="AO203" i="18"/>
  <c r="AP203" i="18"/>
  <c r="AQ203" i="18"/>
  <c r="AR203" i="18"/>
  <c r="AS203" i="18"/>
  <c r="AT203" i="18"/>
  <c r="AU203" i="18"/>
  <c r="AV203" i="18"/>
  <c r="AX203" i="18"/>
  <c r="BB203" i="18"/>
  <c r="BC203" i="18"/>
  <c r="BD203" i="18"/>
  <c r="BE203" i="18"/>
  <c r="BF203" i="18"/>
  <c r="BG203" i="18"/>
  <c r="BH203" i="18"/>
  <c r="BJ203" i="18"/>
  <c r="BK203" i="18"/>
  <c r="BM203" i="18"/>
  <c r="A204" i="18"/>
  <c r="E204" i="18"/>
  <c r="F204" i="18"/>
  <c r="G204" i="18"/>
  <c r="J204" i="18"/>
  <c r="N204" i="18"/>
  <c r="O204" i="18"/>
  <c r="Q204" i="18"/>
  <c r="R204" i="18"/>
  <c r="S204" i="18"/>
  <c r="V204" i="18"/>
  <c r="X204" i="18"/>
  <c r="AA204" i="18"/>
  <c r="AB204" i="18"/>
  <c r="AC204" i="18"/>
  <c r="AD204" i="18"/>
  <c r="AH204" i="18"/>
  <c r="AI204" i="18"/>
  <c r="AJ204" i="18"/>
  <c r="AK204" i="18"/>
  <c r="AL204" i="18"/>
  <c r="AM204" i="18"/>
  <c r="AN204" i="18"/>
  <c r="AO204" i="18"/>
  <c r="AP204" i="18"/>
  <c r="AQ204" i="18"/>
  <c r="AR204" i="18"/>
  <c r="AS204" i="18"/>
  <c r="AT204" i="18"/>
  <c r="AU204" i="18"/>
  <c r="AV204" i="18"/>
  <c r="AX204" i="18"/>
  <c r="BB204" i="18"/>
  <c r="BC204" i="18"/>
  <c r="BD204" i="18"/>
  <c r="BE204" i="18"/>
  <c r="BF204" i="18"/>
  <c r="BG204" i="18"/>
  <c r="BH204" i="18"/>
  <c r="BJ204" i="18"/>
  <c r="BK204" i="18"/>
  <c r="BM204" i="18"/>
  <c r="A205" i="18"/>
  <c r="E205" i="18"/>
  <c r="F205" i="18"/>
  <c r="G205" i="18"/>
  <c r="J205" i="18"/>
  <c r="N205" i="18"/>
  <c r="O205" i="18"/>
  <c r="Q205" i="18"/>
  <c r="R205" i="18"/>
  <c r="S205" i="18"/>
  <c r="V205" i="18"/>
  <c r="X205" i="18"/>
  <c r="AA205" i="18"/>
  <c r="AB205" i="18"/>
  <c r="AC205" i="18"/>
  <c r="AD205" i="18"/>
  <c r="AH205" i="18"/>
  <c r="AI205" i="18"/>
  <c r="AJ205" i="18"/>
  <c r="AK205" i="18"/>
  <c r="AL205" i="18"/>
  <c r="AM205" i="18"/>
  <c r="AN205" i="18"/>
  <c r="AO205" i="18"/>
  <c r="AP205" i="18"/>
  <c r="AQ205" i="18"/>
  <c r="AR205" i="18"/>
  <c r="AS205" i="18"/>
  <c r="AT205" i="18"/>
  <c r="AU205" i="18"/>
  <c r="AV205" i="18"/>
  <c r="AX205" i="18"/>
  <c r="BB205" i="18"/>
  <c r="BC205" i="18"/>
  <c r="BD205" i="18"/>
  <c r="BE205" i="18"/>
  <c r="BF205" i="18"/>
  <c r="BG205" i="18"/>
  <c r="BH205" i="18"/>
  <c r="BJ205" i="18"/>
  <c r="BK205" i="18"/>
  <c r="BM205" i="18"/>
  <c r="A206" i="18"/>
  <c r="E206" i="18"/>
  <c r="F206" i="18"/>
  <c r="G206" i="18"/>
  <c r="J206" i="18"/>
  <c r="N206" i="18"/>
  <c r="O206" i="18"/>
  <c r="Q206" i="18"/>
  <c r="R206" i="18"/>
  <c r="S206" i="18"/>
  <c r="V206" i="18"/>
  <c r="X206" i="18"/>
  <c r="AA206" i="18"/>
  <c r="AB206" i="18"/>
  <c r="AC206" i="18"/>
  <c r="AD206" i="18"/>
  <c r="AH206" i="18"/>
  <c r="AI206" i="18"/>
  <c r="AJ206" i="18"/>
  <c r="AK206" i="18"/>
  <c r="AL206" i="18"/>
  <c r="AM206" i="18"/>
  <c r="AN206" i="18"/>
  <c r="AO206" i="18"/>
  <c r="AP206" i="18"/>
  <c r="AQ206" i="18"/>
  <c r="AR206" i="18"/>
  <c r="AS206" i="18"/>
  <c r="AT206" i="18"/>
  <c r="AU206" i="18"/>
  <c r="AV206" i="18"/>
  <c r="AX206" i="18"/>
  <c r="BB206" i="18"/>
  <c r="BC206" i="18"/>
  <c r="BD206" i="18"/>
  <c r="BE206" i="18"/>
  <c r="BF206" i="18"/>
  <c r="BG206" i="18"/>
  <c r="BH206" i="18"/>
  <c r="BJ206" i="18"/>
  <c r="BK206" i="18"/>
  <c r="BM206" i="18"/>
  <c r="A207" i="18"/>
  <c r="E207" i="18"/>
  <c r="F207" i="18"/>
  <c r="G207" i="18"/>
  <c r="J207" i="18"/>
  <c r="N207" i="18"/>
  <c r="O207" i="18"/>
  <c r="Q207" i="18"/>
  <c r="R207" i="18"/>
  <c r="S207" i="18"/>
  <c r="V207" i="18"/>
  <c r="X207" i="18"/>
  <c r="AA207" i="18"/>
  <c r="AB207" i="18"/>
  <c r="AC207" i="18"/>
  <c r="AD207" i="18"/>
  <c r="AH207" i="18"/>
  <c r="AI207" i="18"/>
  <c r="AJ207" i="18"/>
  <c r="AK207" i="18"/>
  <c r="AL207" i="18"/>
  <c r="AM207" i="18"/>
  <c r="AN207" i="18"/>
  <c r="AO207" i="18"/>
  <c r="AP207" i="18"/>
  <c r="AQ207" i="18"/>
  <c r="AR207" i="18"/>
  <c r="AS207" i="18"/>
  <c r="AT207" i="18"/>
  <c r="AU207" i="18"/>
  <c r="AV207" i="18"/>
  <c r="AX207" i="18"/>
  <c r="BB207" i="18"/>
  <c r="BC207" i="18"/>
  <c r="BD207" i="18"/>
  <c r="BE207" i="18"/>
  <c r="BF207" i="18"/>
  <c r="BG207" i="18"/>
  <c r="BH207" i="18"/>
  <c r="BJ207" i="18"/>
  <c r="BK207" i="18"/>
  <c r="BM207" i="18"/>
  <c r="A208" i="18"/>
  <c r="E208" i="18"/>
  <c r="F208" i="18"/>
  <c r="G208" i="18"/>
  <c r="J208" i="18"/>
  <c r="N208" i="18"/>
  <c r="O208" i="18"/>
  <c r="Q208" i="18"/>
  <c r="R208" i="18"/>
  <c r="S208" i="18"/>
  <c r="V208" i="18"/>
  <c r="X208" i="18"/>
  <c r="AA208" i="18"/>
  <c r="AB208" i="18"/>
  <c r="AC208" i="18"/>
  <c r="AD208" i="18"/>
  <c r="AH208" i="18"/>
  <c r="AI208" i="18"/>
  <c r="AJ208" i="18"/>
  <c r="AK208" i="18"/>
  <c r="AL208" i="18"/>
  <c r="AM208" i="18"/>
  <c r="AN208" i="18"/>
  <c r="AO208" i="18"/>
  <c r="AP208" i="18"/>
  <c r="AQ208" i="18"/>
  <c r="AR208" i="18"/>
  <c r="AS208" i="18"/>
  <c r="AT208" i="18"/>
  <c r="AU208" i="18"/>
  <c r="AV208" i="18"/>
  <c r="AX208" i="18"/>
  <c r="BB208" i="18"/>
  <c r="BC208" i="18"/>
  <c r="BD208" i="18"/>
  <c r="BE208" i="18"/>
  <c r="BF208" i="18"/>
  <c r="BG208" i="18"/>
  <c r="BH208" i="18"/>
  <c r="BJ208" i="18"/>
  <c r="BK208" i="18"/>
  <c r="BM208" i="18"/>
  <c r="A209" i="18"/>
  <c r="E209" i="18"/>
  <c r="F209" i="18"/>
  <c r="G209" i="18"/>
  <c r="J209" i="18"/>
  <c r="N209" i="18"/>
  <c r="O209" i="18"/>
  <c r="Q209" i="18"/>
  <c r="R209" i="18"/>
  <c r="S209" i="18"/>
  <c r="V209" i="18"/>
  <c r="X209" i="18"/>
  <c r="AA209" i="18"/>
  <c r="AB209" i="18"/>
  <c r="AC209" i="18"/>
  <c r="AD209" i="18"/>
  <c r="AH209" i="18"/>
  <c r="AI209" i="18"/>
  <c r="AJ209" i="18"/>
  <c r="AK209" i="18"/>
  <c r="AL209" i="18"/>
  <c r="AM209" i="18"/>
  <c r="AN209" i="18"/>
  <c r="AO209" i="18"/>
  <c r="AP209" i="18"/>
  <c r="AQ209" i="18"/>
  <c r="AR209" i="18"/>
  <c r="AS209" i="18"/>
  <c r="AT209" i="18"/>
  <c r="AU209" i="18"/>
  <c r="AV209" i="18"/>
  <c r="AX209" i="18"/>
  <c r="BB209" i="18"/>
  <c r="BC209" i="18"/>
  <c r="BD209" i="18"/>
  <c r="BE209" i="18"/>
  <c r="BF209" i="18"/>
  <c r="BG209" i="18"/>
  <c r="BH209" i="18"/>
  <c r="BJ209" i="18"/>
  <c r="BK209" i="18"/>
  <c r="BM209" i="18"/>
  <c r="A210" i="18"/>
  <c r="E210" i="18"/>
  <c r="F210" i="18"/>
  <c r="G210" i="18"/>
  <c r="H210" i="18"/>
  <c r="J210" i="18"/>
  <c r="N210" i="18"/>
  <c r="O210" i="18"/>
  <c r="Q210" i="18"/>
  <c r="R210" i="18"/>
  <c r="S210" i="18"/>
  <c r="V210" i="18"/>
  <c r="X210" i="18"/>
  <c r="AA210" i="18"/>
  <c r="AB210" i="18"/>
  <c r="AC210" i="18"/>
  <c r="AD210" i="18"/>
  <c r="AH210" i="18"/>
  <c r="AI210" i="18"/>
  <c r="AJ210" i="18"/>
  <c r="AK210" i="18"/>
  <c r="AL210" i="18"/>
  <c r="AM210" i="18"/>
  <c r="AN210" i="18"/>
  <c r="AO210" i="18"/>
  <c r="AP210" i="18"/>
  <c r="AQ210" i="18"/>
  <c r="AR210" i="18"/>
  <c r="AS210" i="18"/>
  <c r="AT210" i="18"/>
  <c r="AU210" i="18"/>
  <c r="AV210" i="18"/>
  <c r="AX210" i="18"/>
  <c r="AY210" i="18"/>
  <c r="AZ210" i="18"/>
  <c r="BB210" i="18"/>
  <c r="BC210" i="18"/>
  <c r="BD210" i="18"/>
  <c r="BE210" i="18"/>
  <c r="BF210" i="18"/>
  <c r="BG210" i="18"/>
  <c r="BH210" i="18"/>
  <c r="BJ210" i="18"/>
  <c r="BK210" i="18"/>
  <c r="BM210" i="18"/>
  <c r="A211" i="18"/>
  <c r="E211" i="18"/>
  <c r="F211" i="18"/>
  <c r="G211" i="18"/>
  <c r="J211" i="18"/>
  <c r="N211" i="18"/>
  <c r="O211" i="18"/>
  <c r="Q211" i="18"/>
  <c r="R211" i="18"/>
  <c r="S211" i="18"/>
  <c r="V211" i="18"/>
  <c r="X211" i="18"/>
  <c r="AA211" i="18"/>
  <c r="AB211" i="18"/>
  <c r="AC211" i="18"/>
  <c r="AD211" i="18"/>
  <c r="AH211" i="18"/>
  <c r="AI211" i="18"/>
  <c r="AJ211" i="18"/>
  <c r="AK211" i="18"/>
  <c r="AL211" i="18"/>
  <c r="AM211" i="18"/>
  <c r="AN211" i="18"/>
  <c r="AO211" i="18"/>
  <c r="AP211" i="18"/>
  <c r="AQ211" i="18"/>
  <c r="AR211" i="18"/>
  <c r="AS211" i="18"/>
  <c r="AT211" i="18"/>
  <c r="AU211" i="18"/>
  <c r="AV211" i="18"/>
  <c r="AX211" i="18"/>
  <c r="BB211" i="18"/>
  <c r="BC211" i="18"/>
  <c r="BD211" i="18"/>
  <c r="BE211" i="18"/>
  <c r="BF211" i="18"/>
  <c r="BG211" i="18"/>
  <c r="BH211" i="18"/>
  <c r="BJ211" i="18"/>
  <c r="BK211" i="18"/>
  <c r="BM211" i="18"/>
  <c r="A212" i="18"/>
  <c r="E212" i="18"/>
  <c r="F212" i="18"/>
  <c r="G212" i="18"/>
  <c r="J212" i="18"/>
  <c r="N212" i="18"/>
  <c r="O212" i="18"/>
  <c r="Q212" i="18"/>
  <c r="R212" i="18"/>
  <c r="S212" i="18"/>
  <c r="V212" i="18"/>
  <c r="X212" i="18"/>
  <c r="AA212" i="18"/>
  <c r="AB212" i="18"/>
  <c r="AC212" i="18"/>
  <c r="AD212" i="18"/>
  <c r="AH212" i="18"/>
  <c r="AI212" i="18"/>
  <c r="AJ212" i="18"/>
  <c r="AK212" i="18"/>
  <c r="AL212" i="18"/>
  <c r="AM212" i="18"/>
  <c r="AN212" i="18"/>
  <c r="AO212" i="18"/>
  <c r="AP212" i="18"/>
  <c r="AQ212" i="18"/>
  <c r="AR212" i="18"/>
  <c r="AS212" i="18"/>
  <c r="AT212" i="18"/>
  <c r="AU212" i="18"/>
  <c r="AV212" i="18"/>
  <c r="AX212" i="18"/>
  <c r="BB212" i="18"/>
  <c r="BC212" i="18"/>
  <c r="BD212" i="18"/>
  <c r="BE212" i="18"/>
  <c r="BF212" i="18"/>
  <c r="BG212" i="18"/>
  <c r="BH212" i="18"/>
  <c r="BJ212" i="18"/>
  <c r="BK212" i="18"/>
  <c r="BM212" i="18"/>
  <c r="A213" i="18"/>
  <c r="E213" i="18"/>
  <c r="F213" i="18"/>
  <c r="G213" i="18"/>
  <c r="J213" i="18"/>
  <c r="N213" i="18"/>
  <c r="O213" i="18"/>
  <c r="Q213" i="18"/>
  <c r="R213" i="18"/>
  <c r="S213" i="18"/>
  <c r="V213" i="18"/>
  <c r="X213" i="18"/>
  <c r="AA213" i="18"/>
  <c r="AB213" i="18"/>
  <c r="AC213" i="18"/>
  <c r="AD213" i="18"/>
  <c r="AH213" i="18"/>
  <c r="AI213" i="18"/>
  <c r="AJ213" i="18"/>
  <c r="AK213" i="18"/>
  <c r="AL213" i="18"/>
  <c r="AM213" i="18"/>
  <c r="AN213" i="18"/>
  <c r="AO213" i="18"/>
  <c r="AP213" i="18"/>
  <c r="AQ213" i="18"/>
  <c r="AR213" i="18"/>
  <c r="AS213" i="18"/>
  <c r="AT213" i="18"/>
  <c r="AU213" i="18"/>
  <c r="AV213" i="18"/>
  <c r="AX213" i="18"/>
  <c r="BB213" i="18"/>
  <c r="BC213" i="18"/>
  <c r="BD213" i="18"/>
  <c r="BE213" i="18"/>
  <c r="BF213" i="18"/>
  <c r="BG213" i="18"/>
  <c r="BH213" i="18"/>
  <c r="BJ213" i="18"/>
  <c r="BK213" i="18"/>
  <c r="BM213" i="18"/>
  <c r="A214" i="18"/>
  <c r="E214" i="18"/>
  <c r="F214" i="18"/>
  <c r="G214" i="18"/>
  <c r="J214" i="18"/>
  <c r="N214" i="18"/>
  <c r="O214" i="18"/>
  <c r="Q214" i="18"/>
  <c r="R214" i="18"/>
  <c r="S214" i="18"/>
  <c r="V214" i="18"/>
  <c r="X214" i="18"/>
  <c r="AA214" i="18"/>
  <c r="AB214" i="18"/>
  <c r="AC214" i="18"/>
  <c r="AD214" i="18"/>
  <c r="AH214" i="18"/>
  <c r="AI214" i="18"/>
  <c r="AJ214" i="18"/>
  <c r="AK214" i="18"/>
  <c r="AL214" i="18"/>
  <c r="AM214" i="18"/>
  <c r="AN214" i="18"/>
  <c r="AO214" i="18"/>
  <c r="AP214" i="18"/>
  <c r="AQ214" i="18"/>
  <c r="AR214" i="18"/>
  <c r="AS214" i="18"/>
  <c r="AT214" i="18"/>
  <c r="AU214" i="18"/>
  <c r="AV214" i="18"/>
  <c r="AX214" i="18"/>
  <c r="BB214" i="18"/>
  <c r="BC214" i="18"/>
  <c r="BD214" i="18"/>
  <c r="BE214" i="18"/>
  <c r="BF214" i="18"/>
  <c r="BG214" i="18"/>
  <c r="BH214" i="18"/>
  <c r="BJ214" i="18"/>
  <c r="BK214" i="18"/>
  <c r="BM214" i="18"/>
  <c r="A215" i="18"/>
  <c r="E215" i="18"/>
  <c r="F215" i="18"/>
  <c r="G215" i="18"/>
  <c r="J215" i="18"/>
  <c r="N215" i="18"/>
  <c r="O215" i="18"/>
  <c r="Q215" i="18"/>
  <c r="R215" i="18"/>
  <c r="S215" i="18"/>
  <c r="V215" i="18"/>
  <c r="X215" i="18"/>
  <c r="AA215" i="18"/>
  <c r="AB215" i="18"/>
  <c r="AC215" i="18"/>
  <c r="AD215" i="18"/>
  <c r="AH215" i="18"/>
  <c r="AI215" i="18"/>
  <c r="AJ215" i="18"/>
  <c r="AK215" i="18"/>
  <c r="AL215" i="18"/>
  <c r="AM215" i="18"/>
  <c r="AN215" i="18"/>
  <c r="AO215" i="18"/>
  <c r="AP215" i="18"/>
  <c r="AQ215" i="18"/>
  <c r="AR215" i="18"/>
  <c r="AS215" i="18"/>
  <c r="AT215" i="18"/>
  <c r="AU215" i="18"/>
  <c r="AV215" i="18"/>
  <c r="AX215" i="18"/>
  <c r="BB215" i="18"/>
  <c r="BC215" i="18"/>
  <c r="BD215" i="18"/>
  <c r="BE215" i="18"/>
  <c r="BF215" i="18"/>
  <c r="BG215" i="18"/>
  <c r="BH215" i="18"/>
  <c r="BJ215" i="18"/>
  <c r="BK215" i="18"/>
  <c r="BM215" i="18"/>
  <c r="A216" i="18"/>
  <c r="E216" i="18"/>
  <c r="F216" i="18"/>
  <c r="G216" i="18"/>
  <c r="J216" i="18"/>
  <c r="N216" i="18"/>
  <c r="O216" i="18"/>
  <c r="Q216" i="18"/>
  <c r="R216" i="18"/>
  <c r="S216" i="18"/>
  <c r="V216" i="18"/>
  <c r="X216" i="18"/>
  <c r="AA216" i="18"/>
  <c r="AB216" i="18"/>
  <c r="AC216" i="18"/>
  <c r="AD216" i="18"/>
  <c r="AH216" i="18"/>
  <c r="AI216" i="18"/>
  <c r="AJ216" i="18"/>
  <c r="AK216" i="18"/>
  <c r="AL216" i="18"/>
  <c r="AM216" i="18"/>
  <c r="AN216" i="18"/>
  <c r="AO216" i="18"/>
  <c r="AP216" i="18"/>
  <c r="AQ216" i="18"/>
  <c r="AR216" i="18"/>
  <c r="AS216" i="18"/>
  <c r="AT216" i="18"/>
  <c r="AU216" i="18"/>
  <c r="AV216" i="18"/>
  <c r="AX216" i="18"/>
  <c r="BB216" i="18"/>
  <c r="BC216" i="18"/>
  <c r="BD216" i="18"/>
  <c r="BE216" i="18"/>
  <c r="BF216" i="18"/>
  <c r="BG216" i="18"/>
  <c r="BH216" i="18"/>
  <c r="BJ216" i="18"/>
  <c r="BK216" i="18"/>
  <c r="BM216" i="18"/>
  <c r="A217" i="18"/>
  <c r="E217" i="18"/>
  <c r="F217" i="18"/>
  <c r="G217" i="18"/>
  <c r="J217" i="18"/>
  <c r="N217" i="18"/>
  <c r="O217" i="18"/>
  <c r="Q217" i="18"/>
  <c r="R217" i="18"/>
  <c r="S217" i="18"/>
  <c r="V217" i="18"/>
  <c r="X217" i="18"/>
  <c r="AA217" i="18"/>
  <c r="AB217" i="18"/>
  <c r="AC217" i="18"/>
  <c r="AD217" i="18"/>
  <c r="AH217" i="18"/>
  <c r="AI217" i="18"/>
  <c r="AJ217" i="18"/>
  <c r="AK217" i="18"/>
  <c r="AL217" i="18"/>
  <c r="AM217" i="18"/>
  <c r="AN217" i="18"/>
  <c r="AO217" i="18"/>
  <c r="AP217" i="18"/>
  <c r="AQ217" i="18"/>
  <c r="AR217" i="18"/>
  <c r="AS217" i="18"/>
  <c r="AT217" i="18"/>
  <c r="AU217" i="18"/>
  <c r="AV217" i="18"/>
  <c r="AX217" i="18"/>
  <c r="BB217" i="18"/>
  <c r="BC217" i="18"/>
  <c r="BD217" i="18"/>
  <c r="BE217" i="18"/>
  <c r="BF217" i="18"/>
  <c r="BG217" i="18"/>
  <c r="BH217" i="18"/>
  <c r="BJ217" i="18"/>
  <c r="BK217" i="18"/>
  <c r="BM217" i="18"/>
  <c r="A218" i="18"/>
  <c r="E218" i="18"/>
  <c r="F218" i="18"/>
  <c r="G218" i="18"/>
  <c r="J218" i="18"/>
  <c r="N218" i="18"/>
  <c r="O218" i="18"/>
  <c r="Q218" i="18"/>
  <c r="R218" i="18"/>
  <c r="S218" i="18"/>
  <c r="V218" i="18"/>
  <c r="X218" i="18"/>
  <c r="AA218" i="18"/>
  <c r="AB218" i="18"/>
  <c r="AC218" i="18"/>
  <c r="AD218" i="18"/>
  <c r="AH218" i="18"/>
  <c r="AI218" i="18"/>
  <c r="AJ218" i="18"/>
  <c r="AK218" i="18"/>
  <c r="AL218" i="18"/>
  <c r="AM218" i="18"/>
  <c r="AN218" i="18"/>
  <c r="AO218" i="18"/>
  <c r="AP218" i="18"/>
  <c r="AQ218" i="18"/>
  <c r="AR218" i="18"/>
  <c r="AS218" i="18"/>
  <c r="AT218" i="18"/>
  <c r="AU218" i="18"/>
  <c r="AV218" i="18"/>
  <c r="AX218" i="18"/>
  <c r="BB218" i="18"/>
  <c r="BC218" i="18"/>
  <c r="BD218" i="18"/>
  <c r="BE218" i="18"/>
  <c r="BF218" i="18"/>
  <c r="BG218" i="18"/>
  <c r="BH218" i="18"/>
  <c r="BJ218" i="18"/>
  <c r="BK218" i="18"/>
  <c r="BM218" i="18"/>
  <c r="A219" i="18"/>
  <c r="E219" i="18"/>
  <c r="F219" i="18"/>
  <c r="G219" i="18"/>
  <c r="J219" i="18"/>
  <c r="N219" i="18"/>
  <c r="O219" i="18"/>
  <c r="Q219" i="18"/>
  <c r="R219" i="18"/>
  <c r="S219" i="18"/>
  <c r="V219" i="18"/>
  <c r="X219" i="18"/>
  <c r="AA219" i="18"/>
  <c r="AB219" i="18"/>
  <c r="AC219" i="18"/>
  <c r="AD219" i="18"/>
  <c r="AH219" i="18"/>
  <c r="AI219" i="18"/>
  <c r="AJ219" i="18"/>
  <c r="AK219" i="18"/>
  <c r="AL219" i="18"/>
  <c r="AM219" i="18"/>
  <c r="AN219" i="18"/>
  <c r="AO219" i="18"/>
  <c r="AP219" i="18"/>
  <c r="AQ219" i="18"/>
  <c r="AR219" i="18"/>
  <c r="AS219" i="18"/>
  <c r="AT219" i="18"/>
  <c r="AU219" i="18"/>
  <c r="AV219" i="18"/>
  <c r="AX219" i="18"/>
  <c r="BB219" i="18"/>
  <c r="BC219" i="18"/>
  <c r="BD219" i="18"/>
  <c r="BE219" i="18"/>
  <c r="BF219" i="18"/>
  <c r="BG219" i="18"/>
  <c r="BH219" i="18"/>
  <c r="BJ219" i="18"/>
  <c r="BK219" i="18"/>
  <c r="BM219" i="18"/>
  <c r="A220" i="18"/>
  <c r="E220" i="18"/>
  <c r="F220" i="18"/>
  <c r="G220" i="18"/>
  <c r="J220" i="18"/>
  <c r="N220" i="18"/>
  <c r="O220" i="18"/>
  <c r="Q220" i="18"/>
  <c r="R220" i="18"/>
  <c r="S220" i="18"/>
  <c r="V220" i="18"/>
  <c r="X220" i="18"/>
  <c r="AA220" i="18"/>
  <c r="AB220" i="18"/>
  <c r="AC220" i="18"/>
  <c r="AD220" i="18"/>
  <c r="AH220" i="18"/>
  <c r="AI220" i="18"/>
  <c r="AJ220" i="18"/>
  <c r="AK220" i="18"/>
  <c r="AL220" i="18"/>
  <c r="AM220" i="18"/>
  <c r="AN220" i="18"/>
  <c r="AO220" i="18"/>
  <c r="AP220" i="18"/>
  <c r="AQ220" i="18"/>
  <c r="AR220" i="18"/>
  <c r="AS220" i="18"/>
  <c r="AT220" i="18"/>
  <c r="AU220" i="18"/>
  <c r="AV220" i="18"/>
  <c r="AX220" i="18"/>
  <c r="BB220" i="18"/>
  <c r="BC220" i="18"/>
  <c r="BD220" i="18"/>
  <c r="BE220" i="18"/>
  <c r="BF220" i="18"/>
  <c r="BG220" i="18"/>
  <c r="BH220" i="18"/>
  <c r="BJ220" i="18"/>
  <c r="BK220" i="18"/>
  <c r="BM220" i="18"/>
  <c r="A221" i="18"/>
  <c r="E221" i="18"/>
  <c r="F221" i="18"/>
  <c r="G221" i="18"/>
  <c r="J221" i="18"/>
  <c r="N221" i="18"/>
  <c r="O221" i="18"/>
  <c r="Q221" i="18"/>
  <c r="R221" i="18"/>
  <c r="S221" i="18"/>
  <c r="V221" i="18"/>
  <c r="X221" i="18"/>
  <c r="AA221" i="18"/>
  <c r="AB221" i="18"/>
  <c r="AC221" i="18"/>
  <c r="AD221" i="18"/>
  <c r="AH221" i="18"/>
  <c r="AI221" i="18"/>
  <c r="AJ221" i="18"/>
  <c r="AK221" i="18"/>
  <c r="AL221" i="18"/>
  <c r="AM221" i="18"/>
  <c r="AN221" i="18"/>
  <c r="AO221" i="18"/>
  <c r="AP221" i="18"/>
  <c r="AQ221" i="18"/>
  <c r="AR221" i="18"/>
  <c r="AS221" i="18"/>
  <c r="AT221" i="18"/>
  <c r="AU221" i="18"/>
  <c r="AV221" i="18"/>
  <c r="AX221" i="18"/>
  <c r="BB221" i="18"/>
  <c r="BC221" i="18"/>
  <c r="BD221" i="18"/>
  <c r="BE221" i="18"/>
  <c r="BF221" i="18"/>
  <c r="BG221" i="18"/>
  <c r="BH221" i="18"/>
  <c r="BJ221" i="18"/>
  <c r="BK221" i="18"/>
  <c r="BM221" i="18"/>
  <c r="A222" i="18"/>
  <c r="E222" i="18"/>
  <c r="F222" i="18"/>
  <c r="G222" i="18"/>
  <c r="H222" i="18"/>
  <c r="J222" i="18"/>
  <c r="N222" i="18"/>
  <c r="O222" i="18"/>
  <c r="Q222" i="18"/>
  <c r="R222" i="18"/>
  <c r="S222" i="18"/>
  <c r="V222" i="18"/>
  <c r="X222" i="18"/>
  <c r="AA222" i="18"/>
  <c r="AB222" i="18"/>
  <c r="AC222" i="18"/>
  <c r="AD222" i="18"/>
  <c r="AH222" i="18"/>
  <c r="AI222" i="18"/>
  <c r="AJ222" i="18"/>
  <c r="AK222" i="18"/>
  <c r="AL222" i="18"/>
  <c r="AM222" i="18"/>
  <c r="AN222" i="18"/>
  <c r="AO222" i="18"/>
  <c r="AP222" i="18"/>
  <c r="AQ222" i="18"/>
  <c r="AR222" i="18"/>
  <c r="AS222" i="18"/>
  <c r="AT222" i="18"/>
  <c r="AU222" i="18"/>
  <c r="AV222" i="18"/>
  <c r="AX222" i="18"/>
  <c r="AY222" i="18"/>
  <c r="AZ222" i="18"/>
  <c r="BB222" i="18"/>
  <c r="BC222" i="18"/>
  <c r="BD222" i="18"/>
  <c r="BE222" i="18"/>
  <c r="BF222" i="18"/>
  <c r="BG222" i="18"/>
  <c r="BH222" i="18"/>
  <c r="BJ222" i="18"/>
  <c r="BK222" i="18"/>
  <c r="BM222" i="18"/>
  <c r="A223" i="18"/>
  <c r="E223" i="18"/>
  <c r="F223" i="18"/>
  <c r="G223" i="18"/>
  <c r="J223" i="18"/>
  <c r="N223" i="18"/>
  <c r="O223" i="18"/>
  <c r="Q223" i="18"/>
  <c r="R223" i="18"/>
  <c r="S223" i="18"/>
  <c r="V223" i="18"/>
  <c r="X223" i="18"/>
  <c r="AA223" i="18"/>
  <c r="AB223" i="18"/>
  <c r="AC223" i="18"/>
  <c r="AD223" i="18"/>
  <c r="AH223" i="18"/>
  <c r="AI223" i="18"/>
  <c r="AJ223" i="18"/>
  <c r="AK223" i="18"/>
  <c r="AL223" i="18"/>
  <c r="AM223" i="18"/>
  <c r="AN223" i="18"/>
  <c r="AO223" i="18"/>
  <c r="AP223" i="18"/>
  <c r="AQ223" i="18"/>
  <c r="AR223" i="18"/>
  <c r="AS223" i="18"/>
  <c r="AT223" i="18"/>
  <c r="AU223" i="18"/>
  <c r="AV223" i="18"/>
  <c r="AX223" i="18"/>
  <c r="BB223" i="18"/>
  <c r="BC223" i="18"/>
  <c r="BD223" i="18"/>
  <c r="BE223" i="18"/>
  <c r="BF223" i="18"/>
  <c r="BG223" i="18"/>
  <c r="BH223" i="18"/>
  <c r="BJ223" i="18"/>
  <c r="BK223" i="18"/>
  <c r="BM223" i="18"/>
  <c r="A224" i="18"/>
  <c r="E224" i="18"/>
  <c r="F224" i="18"/>
  <c r="G224" i="18"/>
  <c r="J224" i="18"/>
  <c r="N224" i="18"/>
  <c r="O224" i="18"/>
  <c r="Q224" i="18"/>
  <c r="R224" i="18"/>
  <c r="S224" i="18"/>
  <c r="V224" i="18"/>
  <c r="X224" i="18"/>
  <c r="AA224" i="18"/>
  <c r="AB224" i="18"/>
  <c r="AC224" i="18"/>
  <c r="AD224" i="18"/>
  <c r="AH224" i="18"/>
  <c r="AI224" i="18"/>
  <c r="AJ224" i="18"/>
  <c r="AK224" i="18"/>
  <c r="AL224" i="18"/>
  <c r="AM224" i="18"/>
  <c r="AN224" i="18"/>
  <c r="AO224" i="18"/>
  <c r="AP224" i="18"/>
  <c r="AQ224" i="18"/>
  <c r="AR224" i="18"/>
  <c r="AS224" i="18"/>
  <c r="AT224" i="18"/>
  <c r="AU224" i="18"/>
  <c r="AV224" i="18"/>
  <c r="AX224" i="18"/>
  <c r="BB224" i="18"/>
  <c r="BC224" i="18"/>
  <c r="BD224" i="18"/>
  <c r="BE224" i="18"/>
  <c r="BF224" i="18"/>
  <c r="BG224" i="18"/>
  <c r="BH224" i="18"/>
  <c r="BJ224" i="18"/>
  <c r="BK224" i="18"/>
  <c r="BM224" i="18"/>
  <c r="A225" i="18"/>
  <c r="E225" i="18"/>
  <c r="F225" i="18"/>
  <c r="G225" i="18"/>
  <c r="J225" i="18"/>
  <c r="N225" i="18"/>
  <c r="O225" i="18"/>
  <c r="Q225" i="18"/>
  <c r="R225" i="18"/>
  <c r="S225" i="18"/>
  <c r="V225" i="18"/>
  <c r="X225" i="18"/>
  <c r="AA225" i="18"/>
  <c r="AB225" i="18"/>
  <c r="AC225" i="18"/>
  <c r="AD225" i="18"/>
  <c r="AH225" i="18"/>
  <c r="AI225" i="18"/>
  <c r="AJ225" i="18"/>
  <c r="AK225" i="18"/>
  <c r="AL225" i="18"/>
  <c r="AM225" i="18"/>
  <c r="AN225" i="18"/>
  <c r="AO225" i="18"/>
  <c r="AP225" i="18"/>
  <c r="AQ225" i="18"/>
  <c r="AR225" i="18"/>
  <c r="AS225" i="18"/>
  <c r="AT225" i="18"/>
  <c r="AU225" i="18"/>
  <c r="AV225" i="18"/>
  <c r="AX225" i="18"/>
  <c r="BB225" i="18"/>
  <c r="BC225" i="18"/>
  <c r="BD225" i="18"/>
  <c r="BE225" i="18"/>
  <c r="BF225" i="18"/>
  <c r="BG225" i="18"/>
  <c r="BH225" i="18"/>
  <c r="BJ225" i="18"/>
  <c r="BK225" i="18"/>
  <c r="BM225" i="18"/>
  <c r="A226" i="18"/>
  <c r="E226" i="18"/>
  <c r="F226" i="18"/>
  <c r="G226" i="18"/>
  <c r="J226" i="18"/>
  <c r="N226" i="18"/>
  <c r="O226" i="18"/>
  <c r="Q226" i="18"/>
  <c r="R226" i="18"/>
  <c r="S226" i="18"/>
  <c r="V226" i="18"/>
  <c r="X226" i="18"/>
  <c r="AA226" i="18"/>
  <c r="AB226" i="18"/>
  <c r="AC226" i="18"/>
  <c r="AD226" i="18"/>
  <c r="AH226" i="18"/>
  <c r="AI226" i="18"/>
  <c r="AJ226" i="18"/>
  <c r="AK226" i="18"/>
  <c r="AL226" i="18"/>
  <c r="AM226" i="18"/>
  <c r="AN226" i="18"/>
  <c r="AO226" i="18"/>
  <c r="AP226" i="18"/>
  <c r="AQ226" i="18"/>
  <c r="AR226" i="18"/>
  <c r="AS226" i="18"/>
  <c r="AT226" i="18"/>
  <c r="AU226" i="18"/>
  <c r="AV226" i="18"/>
  <c r="AX226" i="18"/>
  <c r="BB226" i="18"/>
  <c r="BC226" i="18"/>
  <c r="BD226" i="18"/>
  <c r="BE226" i="18"/>
  <c r="BF226" i="18"/>
  <c r="BG226" i="18"/>
  <c r="BH226" i="18"/>
  <c r="BJ226" i="18"/>
  <c r="BK226" i="18"/>
  <c r="BM226" i="18"/>
  <c r="A227" i="18"/>
  <c r="E227" i="18"/>
  <c r="F227" i="18"/>
  <c r="G227" i="18"/>
  <c r="J227" i="18"/>
  <c r="N227" i="18"/>
  <c r="O227" i="18"/>
  <c r="Q227" i="18"/>
  <c r="R227" i="18"/>
  <c r="S227" i="18"/>
  <c r="V227" i="18"/>
  <c r="X227" i="18"/>
  <c r="AA227" i="18"/>
  <c r="AB227" i="18"/>
  <c r="AC227" i="18"/>
  <c r="AD227" i="18"/>
  <c r="AH227" i="18"/>
  <c r="AI227" i="18"/>
  <c r="AJ227" i="18"/>
  <c r="AK227" i="18"/>
  <c r="AL227" i="18"/>
  <c r="AM227" i="18"/>
  <c r="AN227" i="18"/>
  <c r="AO227" i="18"/>
  <c r="AP227" i="18"/>
  <c r="AQ227" i="18"/>
  <c r="AR227" i="18"/>
  <c r="AS227" i="18"/>
  <c r="AT227" i="18"/>
  <c r="AU227" i="18"/>
  <c r="AV227" i="18"/>
  <c r="AX227" i="18"/>
  <c r="BB227" i="18"/>
  <c r="BC227" i="18"/>
  <c r="BD227" i="18"/>
  <c r="BE227" i="18"/>
  <c r="BF227" i="18"/>
  <c r="BG227" i="18"/>
  <c r="BH227" i="18"/>
  <c r="BJ227" i="18"/>
  <c r="BK227" i="18"/>
  <c r="BM227" i="18"/>
  <c r="A228" i="18"/>
  <c r="E228" i="18"/>
  <c r="F228" i="18"/>
  <c r="G228" i="18"/>
  <c r="J228" i="18"/>
  <c r="N228" i="18"/>
  <c r="O228" i="18"/>
  <c r="Q228" i="18"/>
  <c r="R228" i="18"/>
  <c r="S228" i="18"/>
  <c r="V228" i="18"/>
  <c r="X228" i="18"/>
  <c r="AA228" i="18"/>
  <c r="AB228" i="18"/>
  <c r="AC228" i="18"/>
  <c r="AD228" i="18"/>
  <c r="AH228" i="18"/>
  <c r="AI228" i="18"/>
  <c r="AJ228" i="18"/>
  <c r="AK228" i="18"/>
  <c r="AL228" i="18"/>
  <c r="AM228" i="18"/>
  <c r="AN228" i="18"/>
  <c r="AO228" i="18"/>
  <c r="AP228" i="18"/>
  <c r="AQ228" i="18"/>
  <c r="AR228" i="18"/>
  <c r="AS228" i="18"/>
  <c r="AT228" i="18"/>
  <c r="AU228" i="18"/>
  <c r="AV228" i="18"/>
  <c r="AX228" i="18"/>
  <c r="BB228" i="18"/>
  <c r="BC228" i="18"/>
  <c r="BD228" i="18"/>
  <c r="BE228" i="18"/>
  <c r="BF228" i="18"/>
  <c r="BG228" i="18"/>
  <c r="BH228" i="18"/>
  <c r="BJ228" i="18"/>
  <c r="BK228" i="18"/>
  <c r="BM228" i="18"/>
  <c r="A229" i="18"/>
  <c r="E229" i="18"/>
  <c r="F229" i="18"/>
  <c r="G229" i="18"/>
  <c r="J229" i="18"/>
  <c r="N229" i="18"/>
  <c r="O229" i="18"/>
  <c r="Q229" i="18"/>
  <c r="R229" i="18"/>
  <c r="S229" i="18"/>
  <c r="V229" i="18"/>
  <c r="X229" i="18"/>
  <c r="AA229" i="18"/>
  <c r="AB229" i="18"/>
  <c r="AC229" i="18"/>
  <c r="AD229" i="18"/>
  <c r="AH229" i="18"/>
  <c r="AI229" i="18"/>
  <c r="AJ229" i="18"/>
  <c r="AK229" i="18"/>
  <c r="AL229" i="18"/>
  <c r="AM229" i="18"/>
  <c r="AN229" i="18"/>
  <c r="AO229" i="18"/>
  <c r="AP229" i="18"/>
  <c r="AQ229" i="18"/>
  <c r="AR229" i="18"/>
  <c r="AS229" i="18"/>
  <c r="AT229" i="18"/>
  <c r="AU229" i="18"/>
  <c r="AV229" i="18"/>
  <c r="AX229" i="18"/>
  <c r="BB229" i="18"/>
  <c r="BC229" i="18"/>
  <c r="BD229" i="18"/>
  <c r="BE229" i="18"/>
  <c r="BF229" i="18"/>
  <c r="BG229" i="18"/>
  <c r="BH229" i="18"/>
  <c r="BJ229" i="18"/>
  <c r="BK229" i="18"/>
  <c r="BM229" i="18"/>
  <c r="A230" i="18"/>
  <c r="E230" i="18"/>
  <c r="F230" i="18"/>
  <c r="G230" i="18"/>
  <c r="J230" i="18"/>
  <c r="K230" i="18"/>
  <c r="N230" i="18"/>
  <c r="O230" i="18"/>
  <c r="Q230" i="18"/>
  <c r="R230" i="18"/>
  <c r="S230" i="18"/>
  <c r="V230" i="18"/>
  <c r="X230" i="18"/>
  <c r="AA230" i="18"/>
  <c r="AB230" i="18"/>
  <c r="AC230" i="18"/>
  <c r="AD230" i="18"/>
  <c r="AH230" i="18"/>
  <c r="AI230" i="18"/>
  <c r="AJ230" i="18"/>
  <c r="AK230" i="18"/>
  <c r="AL230" i="18"/>
  <c r="AM230" i="18"/>
  <c r="AN230" i="18"/>
  <c r="AO230" i="18"/>
  <c r="AP230" i="18"/>
  <c r="AQ230" i="18"/>
  <c r="AR230" i="18"/>
  <c r="AS230" i="18"/>
  <c r="AT230" i="18"/>
  <c r="AU230" i="18"/>
  <c r="AV230" i="18"/>
  <c r="AX230" i="18"/>
  <c r="BB230" i="18"/>
  <c r="BC230" i="18"/>
  <c r="BD230" i="18"/>
  <c r="BE230" i="18"/>
  <c r="BF230" i="18"/>
  <c r="BG230" i="18"/>
  <c r="BH230" i="18"/>
  <c r="BJ230" i="18"/>
  <c r="BK230" i="18"/>
  <c r="BM230" i="18"/>
  <c r="A231" i="18"/>
  <c r="E231" i="18"/>
  <c r="F231" i="18"/>
  <c r="G231" i="18"/>
  <c r="J231" i="18"/>
  <c r="K231" i="18"/>
  <c r="N231" i="18"/>
  <c r="O231" i="18"/>
  <c r="Q231" i="18"/>
  <c r="R231" i="18"/>
  <c r="S231" i="18"/>
  <c r="V231" i="18"/>
  <c r="X231" i="18"/>
  <c r="AA231" i="18"/>
  <c r="AB231" i="18"/>
  <c r="AC231" i="18"/>
  <c r="AD231" i="18"/>
  <c r="AH231" i="18"/>
  <c r="AI231" i="18"/>
  <c r="AJ231" i="18"/>
  <c r="AK231" i="18"/>
  <c r="AL231" i="18"/>
  <c r="AM231" i="18"/>
  <c r="AN231" i="18"/>
  <c r="AO231" i="18"/>
  <c r="AP231" i="18"/>
  <c r="AQ231" i="18"/>
  <c r="AR231" i="18"/>
  <c r="AS231" i="18"/>
  <c r="AT231" i="18"/>
  <c r="AU231" i="18"/>
  <c r="AV231" i="18"/>
  <c r="AX231" i="18"/>
  <c r="BB231" i="18"/>
  <c r="BC231" i="18"/>
  <c r="BD231" i="18"/>
  <c r="BE231" i="18"/>
  <c r="BF231" i="18"/>
  <c r="BG231" i="18"/>
  <c r="BH231" i="18"/>
  <c r="BJ231" i="18"/>
  <c r="BK231" i="18"/>
  <c r="BM231" i="18"/>
  <c r="A232" i="18"/>
  <c r="E232" i="18"/>
  <c r="F232" i="18"/>
  <c r="G232" i="18"/>
  <c r="J232" i="18"/>
  <c r="K232" i="18"/>
  <c r="N232" i="18"/>
  <c r="O232" i="18"/>
  <c r="Q232" i="18"/>
  <c r="R232" i="18"/>
  <c r="S232" i="18"/>
  <c r="V232" i="18"/>
  <c r="X232" i="18"/>
  <c r="AA232" i="18"/>
  <c r="AB232" i="18"/>
  <c r="AC232" i="18"/>
  <c r="AD232" i="18"/>
  <c r="AH232" i="18"/>
  <c r="AI232" i="18"/>
  <c r="AJ232" i="18"/>
  <c r="AK232" i="18"/>
  <c r="AL232" i="18"/>
  <c r="AM232" i="18"/>
  <c r="AN232" i="18"/>
  <c r="AO232" i="18"/>
  <c r="AP232" i="18"/>
  <c r="AQ232" i="18"/>
  <c r="AR232" i="18"/>
  <c r="AS232" i="18"/>
  <c r="AT232" i="18"/>
  <c r="AU232" i="18"/>
  <c r="AV232" i="18"/>
  <c r="AX232" i="18"/>
  <c r="BB232" i="18"/>
  <c r="BC232" i="18"/>
  <c r="BD232" i="18"/>
  <c r="BE232" i="18"/>
  <c r="BF232" i="18"/>
  <c r="BG232" i="18"/>
  <c r="BH232" i="18"/>
  <c r="BJ232" i="18"/>
  <c r="BK232" i="18"/>
  <c r="BM232" i="18"/>
  <c r="A233" i="18"/>
  <c r="E233" i="18"/>
  <c r="F233" i="18"/>
  <c r="G233" i="18"/>
  <c r="J233" i="18"/>
  <c r="K233" i="18"/>
  <c r="N233" i="18"/>
  <c r="O233" i="18"/>
  <c r="Q233" i="18"/>
  <c r="R233" i="18"/>
  <c r="S233" i="18"/>
  <c r="V233" i="18"/>
  <c r="X233" i="18"/>
  <c r="AA233" i="18"/>
  <c r="AB233" i="18"/>
  <c r="AC233" i="18"/>
  <c r="AD233" i="18"/>
  <c r="AH233" i="18"/>
  <c r="AI233" i="18"/>
  <c r="AJ233" i="18"/>
  <c r="AK233" i="18"/>
  <c r="AL233" i="18"/>
  <c r="AM233" i="18"/>
  <c r="AN233" i="18"/>
  <c r="AO233" i="18"/>
  <c r="AP233" i="18"/>
  <c r="AQ233" i="18"/>
  <c r="AR233" i="18"/>
  <c r="AS233" i="18"/>
  <c r="AT233" i="18"/>
  <c r="AU233" i="18"/>
  <c r="AV233" i="18"/>
  <c r="AX233" i="18"/>
  <c r="BB233" i="18"/>
  <c r="BC233" i="18"/>
  <c r="BD233" i="18"/>
  <c r="BE233" i="18"/>
  <c r="BF233" i="18"/>
  <c r="BG233" i="18"/>
  <c r="BH233" i="18"/>
  <c r="BJ233" i="18"/>
  <c r="BK233" i="18"/>
  <c r="BM233" i="18"/>
  <c r="A234" i="18"/>
  <c r="E234" i="18"/>
  <c r="F234" i="18"/>
  <c r="G234" i="18"/>
  <c r="H234" i="18"/>
  <c r="J234" i="18"/>
  <c r="K234" i="18"/>
  <c r="N234" i="18"/>
  <c r="O234" i="18"/>
  <c r="Q234" i="18"/>
  <c r="R234" i="18"/>
  <c r="S234" i="18"/>
  <c r="V234" i="18"/>
  <c r="X234" i="18"/>
  <c r="AA234" i="18"/>
  <c r="AB234" i="18"/>
  <c r="AC234" i="18"/>
  <c r="AD234" i="18"/>
  <c r="AH234" i="18"/>
  <c r="AI234" i="18"/>
  <c r="AJ234" i="18"/>
  <c r="AK234" i="18"/>
  <c r="AL234" i="18"/>
  <c r="AM234" i="18"/>
  <c r="AN234" i="18"/>
  <c r="AO234" i="18"/>
  <c r="AP234" i="18"/>
  <c r="AQ234" i="18"/>
  <c r="AR234" i="18"/>
  <c r="AS234" i="18"/>
  <c r="AT234" i="18"/>
  <c r="AU234" i="18"/>
  <c r="AV234" i="18"/>
  <c r="AX234" i="18"/>
  <c r="AY234" i="18"/>
  <c r="AZ234" i="18"/>
  <c r="BB234" i="18"/>
  <c r="BC234" i="18"/>
  <c r="BD234" i="18"/>
  <c r="BE234" i="18"/>
  <c r="BF234" i="18"/>
  <c r="BG234" i="18"/>
  <c r="BH234" i="18"/>
  <c r="BJ234" i="18"/>
  <c r="BK234" i="18"/>
  <c r="BM234" i="18"/>
  <c r="A235" i="18"/>
  <c r="E235" i="18"/>
  <c r="F235" i="18"/>
  <c r="G235" i="18"/>
  <c r="J235" i="18"/>
  <c r="K235" i="18"/>
  <c r="N235" i="18"/>
  <c r="O235" i="18"/>
  <c r="Q235" i="18"/>
  <c r="R235" i="18"/>
  <c r="S235" i="18"/>
  <c r="V235" i="18"/>
  <c r="X235" i="18"/>
  <c r="AA235" i="18"/>
  <c r="AB235" i="18"/>
  <c r="AC235" i="18"/>
  <c r="AD235" i="18"/>
  <c r="AH235" i="18"/>
  <c r="AI235" i="18"/>
  <c r="AJ235" i="18"/>
  <c r="AK235" i="18"/>
  <c r="AL235" i="18"/>
  <c r="AM235" i="18"/>
  <c r="AN235" i="18"/>
  <c r="AO235" i="18"/>
  <c r="AP235" i="18"/>
  <c r="AQ235" i="18"/>
  <c r="AR235" i="18"/>
  <c r="AS235" i="18"/>
  <c r="AT235" i="18"/>
  <c r="AU235" i="18"/>
  <c r="AV235" i="18"/>
  <c r="AX235" i="18"/>
  <c r="BB235" i="18"/>
  <c r="BC235" i="18"/>
  <c r="BD235" i="18"/>
  <c r="BE235" i="18"/>
  <c r="BF235" i="18"/>
  <c r="BG235" i="18"/>
  <c r="BH235" i="18"/>
  <c r="BJ235" i="18"/>
  <c r="BK235" i="18"/>
  <c r="BM235" i="18"/>
  <c r="A236" i="18"/>
  <c r="E236" i="18"/>
  <c r="F236" i="18"/>
  <c r="G236" i="18"/>
  <c r="J236" i="18"/>
  <c r="K236" i="18"/>
  <c r="N236" i="18"/>
  <c r="O236" i="18"/>
  <c r="Q236" i="18"/>
  <c r="R236" i="18"/>
  <c r="S236" i="18"/>
  <c r="V236" i="18"/>
  <c r="X236" i="18"/>
  <c r="AA236" i="18"/>
  <c r="AB236" i="18"/>
  <c r="AC236" i="18"/>
  <c r="AD236" i="18"/>
  <c r="AH236" i="18"/>
  <c r="AI236" i="18"/>
  <c r="AJ236" i="18"/>
  <c r="AK236" i="18"/>
  <c r="AL236" i="18"/>
  <c r="AM236" i="18"/>
  <c r="AN236" i="18"/>
  <c r="AO236" i="18"/>
  <c r="AP236" i="18"/>
  <c r="AQ236" i="18"/>
  <c r="AR236" i="18"/>
  <c r="AS236" i="18"/>
  <c r="AT236" i="18"/>
  <c r="AU236" i="18"/>
  <c r="AV236" i="18"/>
  <c r="AX236" i="18"/>
  <c r="BB236" i="18"/>
  <c r="BC236" i="18"/>
  <c r="BD236" i="18"/>
  <c r="BE236" i="18"/>
  <c r="BF236" i="18"/>
  <c r="BG236" i="18"/>
  <c r="BH236" i="18"/>
  <c r="BJ236" i="18"/>
  <c r="BK236" i="18"/>
  <c r="BM236" i="18"/>
  <c r="A237" i="18"/>
  <c r="E237" i="18"/>
  <c r="F237" i="18"/>
  <c r="G237" i="18"/>
  <c r="J237" i="18"/>
  <c r="K237" i="18"/>
  <c r="N237" i="18"/>
  <c r="O237" i="18"/>
  <c r="Q237" i="18"/>
  <c r="R237" i="18"/>
  <c r="S237" i="18"/>
  <c r="V237" i="18"/>
  <c r="X237" i="18"/>
  <c r="AA237" i="18"/>
  <c r="AB237" i="18"/>
  <c r="AC237" i="18"/>
  <c r="AD237" i="18"/>
  <c r="AH237" i="18"/>
  <c r="AI237" i="18"/>
  <c r="AJ237" i="18"/>
  <c r="AK237" i="18"/>
  <c r="AL237" i="18"/>
  <c r="AM237" i="18"/>
  <c r="AN237" i="18"/>
  <c r="AO237" i="18"/>
  <c r="AP237" i="18"/>
  <c r="AQ237" i="18"/>
  <c r="AR237" i="18"/>
  <c r="AS237" i="18"/>
  <c r="AT237" i="18"/>
  <c r="AU237" i="18"/>
  <c r="AV237" i="18"/>
  <c r="AX237" i="18"/>
  <c r="BB237" i="18"/>
  <c r="BC237" i="18"/>
  <c r="BD237" i="18"/>
  <c r="BE237" i="18"/>
  <c r="BF237" i="18"/>
  <c r="BG237" i="18"/>
  <c r="BH237" i="18"/>
  <c r="BJ237" i="18"/>
  <c r="BK237" i="18"/>
  <c r="BM237" i="18"/>
  <c r="A238" i="18"/>
  <c r="E238" i="18"/>
  <c r="F238" i="18"/>
  <c r="G238" i="18"/>
  <c r="J238" i="18"/>
  <c r="K238" i="18"/>
  <c r="N238" i="18"/>
  <c r="O238" i="18"/>
  <c r="Q238" i="18"/>
  <c r="R238" i="18"/>
  <c r="S238" i="18"/>
  <c r="V238" i="18"/>
  <c r="X238" i="18"/>
  <c r="AA238" i="18"/>
  <c r="AB238" i="18"/>
  <c r="AC238" i="18"/>
  <c r="AD238" i="18"/>
  <c r="AH238" i="18"/>
  <c r="AI238" i="18"/>
  <c r="AJ238" i="18"/>
  <c r="AK238" i="18"/>
  <c r="AL238" i="18"/>
  <c r="AM238" i="18"/>
  <c r="AN238" i="18"/>
  <c r="AO238" i="18"/>
  <c r="AP238" i="18"/>
  <c r="AQ238" i="18"/>
  <c r="AR238" i="18"/>
  <c r="AS238" i="18"/>
  <c r="AT238" i="18"/>
  <c r="AU238" i="18"/>
  <c r="AV238" i="18"/>
  <c r="AX238" i="18"/>
  <c r="BB238" i="18"/>
  <c r="BC238" i="18"/>
  <c r="BD238" i="18"/>
  <c r="BE238" i="18"/>
  <c r="BF238" i="18"/>
  <c r="BG238" i="18"/>
  <c r="BH238" i="18"/>
  <c r="BJ238" i="18"/>
  <c r="BK238" i="18"/>
  <c r="BM238" i="18"/>
  <c r="A239" i="18"/>
  <c r="E239" i="18"/>
  <c r="F239" i="18"/>
  <c r="G239" i="18"/>
  <c r="J239" i="18"/>
  <c r="K239" i="18"/>
  <c r="N239" i="18"/>
  <c r="O239" i="18"/>
  <c r="Q239" i="18"/>
  <c r="R239" i="18"/>
  <c r="S239" i="18"/>
  <c r="V239" i="18"/>
  <c r="X239" i="18"/>
  <c r="AA239" i="18"/>
  <c r="AB239" i="18"/>
  <c r="AC239" i="18"/>
  <c r="AD239" i="18"/>
  <c r="AH239" i="18"/>
  <c r="AI239" i="18"/>
  <c r="AJ239" i="18"/>
  <c r="AK239" i="18"/>
  <c r="AL239" i="18"/>
  <c r="AM239" i="18"/>
  <c r="AN239" i="18"/>
  <c r="AO239" i="18"/>
  <c r="AP239" i="18"/>
  <c r="AQ239" i="18"/>
  <c r="AR239" i="18"/>
  <c r="AS239" i="18"/>
  <c r="AT239" i="18"/>
  <c r="AU239" i="18"/>
  <c r="AV239" i="18"/>
  <c r="AX239" i="18"/>
  <c r="BB239" i="18"/>
  <c r="BC239" i="18"/>
  <c r="BD239" i="18"/>
  <c r="BE239" i="18"/>
  <c r="BF239" i="18"/>
  <c r="BG239" i="18"/>
  <c r="BH239" i="18"/>
  <c r="BJ239" i="18"/>
  <c r="BK239" i="18"/>
  <c r="BM239" i="18"/>
  <c r="A240" i="18"/>
  <c r="E240" i="18"/>
  <c r="F240" i="18"/>
  <c r="G240" i="18"/>
  <c r="J240" i="18"/>
  <c r="K240" i="18"/>
  <c r="N240" i="18"/>
  <c r="O240" i="18"/>
  <c r="Q240" i="18"/>
  <c r="R240" i="18"/>
  <c r="S240" i="18"/>
  <c r="V240" i="18"/>
  <c r="X240" i="18"/>
  <c r="AA240" i="18"/>
  <c r="AB240" i="18"/>
  <c r="AC240" i="18"/>
  <c r="AD240" i="18"/>
  <c r="AH240" i="18"/>
  <c r="AI240" i="18"/>
  <c r="AJ240" i="18"/>
  <c r="AK240" i="18"/>
  <c r="AL240" i="18"/>
  <c r="AM240" i="18"/>
  <c r="AN240" i="18"/>
  <c r="AO240" i="18"/>
  <c r="AP240" i="18"/>
  <c r="AQ240" i="18"/>
  <c r="AR240" i="18"/>
  <c r="AS240" i="18"/>
  <c r="AT240" i="18"/>
  <c r="AU240" i="18"/>
  <c r="AV240" i="18"/>
  <c r="AX240" i="18"/>
  <c r="BB240" i="18"/>
  <c r="BC240" i="18"/>
  <c r="BD240" i="18"/>
  <c r="BE240" i="18"/>
  <c r="BF240" i="18"/>
  <c r="BG240" i="18"/>
  <c r="BH240" i="18"/>
  <c r="BJ240" i="18"/>
  <c r="BK240" i="18"/>
  <c r="BM240" i="18"/>
  <c r="A241" i="18"/>
  <c r="E241" i="18"/>
  <c r="F241" i="18"/>
  <c r="G241" i="18"/>
  <c r="J241" i="18"/>
  <c r="K241" i="18"/>
  <c r="N241" i="18"/>
  <c r="O241" i="18"/>
  <c r="Q241" i="18"/>
  <c r="R241" i="18"/>
  <c r="S241" i="18"/>
  <c r="V241" i="18"/>
  <c r="X241" i="18"/>
  <c r="AA241" i="18"/>
  <c r="AB241" i="18"/>
  <c r="AC241" i="18"/>
  <c r="AD241" i="18"/>
  <c r="AH241" i="18"/>
  <c r="AI241" i="18"/>
  <c r="AJ241" i="18"/>
  <c r="AK241" i="18"/>
  <c r="AL241" i="18"/>
  <c r="AM241" i="18"/>
  <c r="AN241" i="18"/>
  <c r="AO241" i="18"/>
  <c r="AP241" i="18"/>
  <c r="AQ241" i="18"/>
  <c r="AR241" i="18"/>
  <c r="AS241" i="18"/>
  <c r="AT241" i="18"/>
  <c r="AU241" i="18"/>
  <c r="AV241" i="18"/>
  <c r="AX241" i="18"/>
  <c r="BB241" i="18"/>
  <c r="BC241" i="18"/>
  <c r="BD241" i="18"/>
  <c r="BE241" i="18"/>
  <c r="BF241" i="18"/>
  <c r="BG241" i="18"/>
  <c r="BH241" i="18"/>
  <c r="BJ241" i="18"/>
  <c r="BK241" i="18"/>
  <c r="BM241" i="18"/>
  <c r="A242" i="18"/>
  <c r="E242" i="18"/>
  <c r="F242" i="18"/>
  <c r="G242" i="18"/>
  <c r="J242" i="18"/>
  <c r="K242" i="18"/>
  <c r="N242" i="18"/>
  <c r="O242" i="18"/>
  <c r="Q242" i="18"/>
  <c r="R242" i="18"/>
  <c r="S242" i="18"/>
  <c r="V242" i="18"/>
  <c r="X242" i="18"/>
  <c r="AA242" i="18"/>
  <c r="AB242" i="18"/>
  <c r="AC242" i="18"/>
  <c r="AD242" i="18"/>
  <c r="AH242" i="18"/>
  <c r="AI242" i="18"/>
  <c r="AJ242" i="18"/>
  <c r="AK242" i="18"/>
  <c r="AL242" i="18"/>
  <c r="AM242" i="18"/>
  <c r="AN242" i="18"/>
  <c r="AO242" i="18"/>
  <c r="AP242" i="18"/>
  <c r="AQ242" i="18"/>
  <c r="AR242" i="18"/>
  <c r="AS242" i="18"/>
  <c r="AT242" i="18"/>
  <c r="AU242" i="18"/>
  <c r="AV242" i="18"/>
  <c r="AX242" i="18"/>
  <c r="BB242" i="18"/>
  <c r="BC242" i="18"/>
  <c r="BD242" i="18"/>
  <c r="BE242" i="18"/>
  <c r="BF242" i="18"/>
  <c r="BG242" i="18"/>
  <c r="BH242" i="18"/>
  <c r="BJ242" i="18"/>
  <c r="BK242" i="18"/>
  <c r="BM242" i="18"/>
  <c r="A243" i="18"/>
  <c r="E243" i="18"/>
  <c r="F243" i="18"/>
  <c r="G243" i="18"/>
  <c r="J243" i="18"/>
  <c r="K243" i="18"/>
  <c r="N243" i="18"/>
  <c r="O243" i="18"/>
  <c r="Q243" i="18"/>
  <c r="R243" i="18"/>
  <c r="S243" i="18"/>
  <c r="V243" i="18"/>
  <c r="X243" i="18"/>
  <c r="AA243" i="18"/>
  <c r="AB243" i="18"/>
  <c r="AC243" i="18"/>
  <c r="AD243" i="18"/>
  <c r="AH243" i="18"/>
  <c r="AI243" i="18"/>
  <c r="AJ243" i="18"/>
  <c r="AK243" i="18"/>
  <c r="AL243" i="18"/>
  <c r="AM243" i="18"/>
  <c r="AN243" i="18"/>
  <c r="AO243" i="18"/>
  <c r="AP243" i="18"/>
  <c r="AQ243" i="18"/>
  <c r="AR243" i="18"/>
  <c r="AS243" i="18"/>
  <c r="AT243" i="18"/>
  <c r="AU243" i="18"/>
  <c r="AV243" i="18"/>
  <c r="AX243" i="18"/>
  <c r="BB243" i="18"/>
  <c r="BC243" i="18"/>
  <c r="BD243" i="18"/>
  <c r="BE243" i="18"/>
  <c r="BF243" i="18"/>
  <c r="BG243" i="18"/>
  <c r="BH243" i="18"/>
  <c r="BJ243" i="18"/>
  <c r="BK243" i="18"/>
  <c r="BM243" i="18"/>
  <c r="A244" i="18"/>
  <c r="E244" i="18"/>
  <c r="F244" i="18"/>
  <c r="G244" i="18"/>
  <c r="J244" i="18"/>
  <c r="K244" i="18"/>
  <c r="N244" i="18"/>
  <c r="O244" i="18"/>
  <c r="Q244" i="18"/>
  <c r="R244" i="18"/>
  <c r="S244" i="18"/>
  <c r="V244" i="18"/>
  <c r="X244" i="18"/>
  <c r="AA244" i="18"/>
  <c r="AB244" i="18"/>
  <c r="AC244" i="18"/>
  <c r="AD244" i="18"/>
  <c r="AH244" i="18"/>
  <c r="AI244" i="18"/>
  <c r="AJ244" i="18"/>
  <c r="AK244" i="18"/>
  <c r="AL244" i="18"/>
  <c r="AM244" i="18"/>
  <c r="AN244" i="18"/>
  <c r="AO244" i="18"/>
  <c r="AP244" i="18"/>
  <c r="AQ244" i="18"/>
  <c r="AR244" i="18"/>
  <c r="AS244" i="18"/>
  <c r="AT244" i="18"/>
  <c r="AU244" i="18"/>
  <c r="AV244" i="18"/>
  <c r="AX244" i="18"/>
  <c r="BB244" i="18"/>
  <c r="BC244" i="18"/>
  <c r="BD244" i="18"/>
  <c r="BE244" i="18"/>
  <c r="BF244" i="18"/>
  <c r="BG244" i="18"/>
  <c r="BH244" i="18"/>
  <c r="BJ244" i="18"/>
  <c r="BK244" i="18"/>
  <c r="BM244" i="18"/>
  <c r="A245" i="18"/>
  <c r="E245" i="18"/>
  <c r="F245" i="18"/>
  <c r="G245" i="18"/>
  <c r="J245" i="18"/>
  <c r="K245" i="18"/>
  <c r="N245" i="18"/>
  <c r="O245" i="18"/>
  <c r="Q245" i="18"/>
  <c r="R245" i="18"/>
  <c r="S245" i="18"/>
  <c r="V245" i="18"/>
  <c r="X245" i="18"/>
  <c r="AA245" i="18"/>
  <c r="AB245" i="18"/>
  <c r="AC245" i="18"/>
  <c r="AD245" i="18"/>
  <c r="AH245" i="18"/>
  <c r="AI245" i="18"/>
  <c r="AJ245" i="18"/>
  <c r="AK245" i="18"/>
  <c r="AL245" i="18"/>
  <c r="AM245" i="18"/>
  <c r="AN245" i="18"/>
  <c r="AO245" i="18"/>
  <c r="AP245" i="18"/>
  <c r="AQ245" i="18"/>
  <c r="AR245" i="18"/>
  <c r="AS245" i="18"/>
  <c r="AT245" i="18"/>
  <c r="AU245" i="18"/>
  <c r="AV245" i="18"/>
  <c r="AX245" i="18"/>
  <c r="BB245" i="18"/>
  <c r="BC245" i="18"/>
  <c r="BD245" i="18"/>
  <c r="BE245" i="18"/>
  <c r="BF245" i="18"/>
  <c r="BG245" i="18"/>
  <c r="BH245" i="18"/>
  <c r="BJ245" i="18"/>
  <c r="BK245" i="18"/>
  <c r="BM245" i="18"/>
  <c r="A246" i="18"/>
  <c r="E246" i="18"/>
  <c r="F246" i="18"/>
  <c r="G246" i="18"/>
  <c r="H246" i="18"/>
  <c r="K246" i="18"/>
  <c r="N246" i="18"/>
  <c r="O246" i="18"/>
  <c r="Q246" i="18"/>
  <c r="R246" i="18"/>
  <c r="S246" i="18"/>
  <c r="V246" i="18"/>
  <c r="X246" i="18"/>
  <c r="AA246" i="18"/>
  <c r="AB246" i="18"/>
  <c r="AC246" i="18"/>
  <c r="AD246" i="18"/>
  <c r="AH246" i="18"/>
  <c r="AI246" i="18"/>
  <c r="AJ246" i="18"/>
  <c r="AK246" i="18"/>
  <c r="AL246" i="18"/>
  <c r="AM246" i="18"/>
  <c r="AN246" i="18"/>
  <c r="AO246" i="18"/>
  <c r="AP246" i="18"/>
  <c r="AQ246" i="18"/>
  <c r="AR246" i="18"/>
  <c r="AS246" i="18"/>
  <c r="AT246" i="18"/>
  <c r="AU246" i="18"/>
  <c r="AV246" i="18"/>
  <c r="AX246" i="18"/>
  <c r="AY246" i="18"/>
  <c r="AZ246" i="18"/>
  <c r="BB246" i="18"/>
  <c r="BC246" i="18"/>
  <c r="BD246" i="18"/>
  <c r="BE246" i="18"/>
  <c r="BF246" i="18"/>
  <c r="BG246" i="18"/>
  <c r="BH246" i="18"/>
  <c r="BJ246" i="18"/>
  <c r="BK246" i="18"/>
  <c r="BM246" i="18"/>
  <c r="A247" i="18"/>
  <c r="E247" i="18"/>
  <c r="F247" i="18"/>
  <c r="G247" i="18"/>
  <c r="K247" i="18"/>
  <c r="N247" i="18"/>
  <c r="O247" i="18"/>
  <c r="Q247" i="18"/>
  <c r="R247" i="18"/>
  <c r="S247" i="18"/>
  <c r="V247" i="18"/>
  <c r="X247" i="18"/>
  <c r="AA247" i="18"/>
  <c r="AB247" i="18"/>
  <c r="AC247" i="18"/>
  <c r="AD247" i="18"/>
  <c r="AH247" i="18"/>
  <c r="AI247" i="18"/>
  <c r="AJ247" i="18"/>
  <c r="AK247" i="18"/>
  <c r="AL247" i="18"/>
  <c r="AM247" i="18"/>
  <c r="AN247" i="18"/>
  <c r="AO247" i="18"/>
  <c r="AQ247" i="18"/>
  <c r="AR247" i="18"/>
  <c r="AS247" i="18"/>
  <c r="AT247" i="18"/>
  <c r="AU247" i="18"/>
  <c r="AV247" i="18"/>
  <c r="AX247" i="18"/>
  <c r="BB247" i="18"/>
  <c r="BC247" i="18"/>
  <c r="BD247" i="18"/>
  <c r="BE247" i="18"/>
  <c r="BF247" i="18"/>
  <c r="BG247" i="18"/>
  <c r="BH247" i="18"/>
  <c r="BJ247" i="18"/>
  <c r="BK247" i="18"/>
  <c r="BM247" i="18"/>
  <c r="A248" i="18"/>
  <c r="E248" i="18"/>
  <c r="F248" i="18"/>
  <c r="G248" i="18"/>
  <c r="K248" i="18"/>
  <c r="N248" i="18"/>
  <c r="O248" i="18"/>
  <c r="Q248" i="18"/>
  <c r="R248" i="18"/>
  <c r="S248" i="18"/>
  <c r="V248" i="18"/>
  <c r="X248" i="18"/>
  <c r="AA248" i="18"/>
  <c r="AB248" i="18"/>
  <c r="AD248" i="18"/>
  <c r="AH248" i="18"/>
  <c r="AI248" i="18"/>
  <c r="AJ248" i="18"/>
  <c r="AK248" i="18"/>
  <c r="AL248" i="18"/>
  <c r="AM248" i="18"/>
  <c r="AN248" i="18"/>
  <c r="AO248" i="18"/>
  <c r="AQ248" i="18"/>
  <c r="AR248" i="18"/>
  <c r="AS248" i="18"/>
  <c r="AT248" i="18"/>
  <c r="AU248" i="18"/>
  <c r="AV248" i="18"/>
  <c r="AX248" i="18"/>
  <c r="BB248" i="18"/>
  <c r="BC248" i="18"/>
  <c r="BD248" i="18"/>
  <c r="BE248" i="18"/>
  <c r="BF248" i="18"/>
  <c r="BG248" i="18"/>
  <c r="BH248" i="18"/>
  <c r="BJ248" i="18"/>
  <c r="BK248" i="18"/>
  <c r="BM248" i="18"/>
  <c r="A249" i="18"/>
  <c r="E249" i="18"/>
  <c r="F249" i="18"/>
  <c r="G249" i="18"/>
  <c r="K249" i="18"/>
  <c r="N249" i="18"/>
  <c r="O249" i="18"/>
  <c r="Q249" i="18"/>
  <c r="R249" i="18"/>
  <c r="S249" i="18"/>
  <c r="V249" i="18"/>
  <c r="X249" i="18"/>
  <c r="AA249" i="18"/>
  <c r="AB249" i="18"/>
  <c r="AD249" i="18"/>
  <c r="AH249" i="18"/>
  <c r="AI249" i="18"/>
  <c r="AJ249" i="18"/>
  <c r="AK249" i="18"/>
  <c r="AL249" i="18"/>
  <c r="AM249" i="18"/>
  <c r="AN249" i="18"/>
  <c r="AO249" i="18"/>
  <c r="AQ249" i="18"/>
  <c r="AR249" i="18"/>
  <c r="AS249" i="18"/>
  <c r="AT249" i="18"/>
  <c r="AU249" i="18"/>
  <c r="AV249" i="18"/>
  <c r="AX249" i="18"/>
  <c r="BB249" i="18"/>
  <c r="BC249" i="18"/>
  <c r="BD249" i="18"/>
  <c r="BE249" i="18"/>
  <c r="BF249" i="18"/>
  <c r="BG249" i="18"/>
  <c r="BH249" i="18"/>
  <c r="BJ249" i="18"/>
  <c r="BK249" i="18"/>
  <c r="BM249" i="18"/>
  <c r="A250" i="18"/>
  <c r="E250" i="18"/>
  <c r="F250" i="18"/>
  <c r="G250" i="18"/>
  <c r="K250" i="18"/>
  <c r="N250" i="18"/>
  <c r="O250" i="18"/>
  <c r="Q250" i="18"/>
  <c r="R250" i="18"/>
  <c r="S250" i="18"/>
  <c r="V250" i="18"/>
  <c r="X250" i="18"/>
  <c r="AA250" i="18"/>
  <c r="AB250" i="18"/>
  <c r="AD250" i="18"/>
  <c r="AH250" i="18"/>
  <c r="AI250" i="18"/>
  <c r="AJ250" i="18"/>
  <c r="AK250" i="18"/>
  <c r="AL250" i="18"/>
  <c r="AM250" i="18"/>
  <c r="AN250" i="18"/>
  <c r="AO250" i="18"/>
  <c r="AQ250" i="18"/>
  <c r="AR250" i="18"/>
  <c r="AS250" i="18"/>
  <c r="AT250" i="18"/>
  <c r="AU250" i="18"/>
  <c r="AV250" i="18"/>
  <c r="AX250" i="18"/>
  <c r="BB250" i="18"/>
  <c r="BC250" i="18"/>
  <c r="BD250" i="18"/>
  <c r="BE250" i="18"/>
  <c r="BF250" i="18"/>
  <c r="BG250" i="18"/>
  <c r="BH250" i="18"/>
  <c r="BJ250" i="18"/>
  <c r="BK250" i="18"/>
  <c r="BM250" i="18"/>
  <c r="A251" i="18"/>
  <c r="E251" i="18"/>
  <c r="F251" i="18"/>
  <c r="G251" i="18"/>
  <c r="K251" i="18"/>
  <c r="N251" i="18"/>
  <c r="O251" i="18"/>
  <c r="Q251" i="18"/>
  <c r="R251" i="18"/>
  <c r="S251" i="18"/>
  <c r="V251" i="18"/>
  <c r="X251" i="18"/>
  <c r="AA251" i="18"/>
  <c r="AB251" i="18"/>
  <c r="AD251" i="18"/>
  <c r="AH251" i="18"/>
  <c r="AI251" i="18"/>
  <c r="AJ251" i="18"/>
  <c r="AK251" i="18"/>
  <c r="AL251" i="18"/>
  <c r="AM251" i="18"/>
  <c r="AN251" i="18"/>
  <c r="AO251" i="18"/>
  <c r="AQ251" i="18"/>
  <c r="AR251" i="18"/>
  <c r="AS251" i="18"/>
  <c r="AT251" i="18"/>
  <c r="AU251" i="18"/>
  <c r="AV251" i="18"/>
  <c r="AX251" i="18"/>
  <c r="BB251" i="18"/>
  <c r="BC251" i="18"/>
  <c r="BD251" i="18"/>
  <c r="BE251" i="18"/>
  <c r="BF251" i="18"/>
  <c r="BG251" i="18"/>
  <c r="BH251" i="18"/>
  <c r="BJ251" i="18"/>
  <c r="BK251" i="18"/>
  <c r="BM251" i="18"/>
  <c r="A252" i="18"/>
  <c r="E252" i="18"/>
  <c r="F252" i="18"/>
  <c r="G252" i="18"/>
  <c r="K252" i="18"/>
  <c r="N252" i="18"/>
  <c r="O252" i="18"/>
  <c r="Q252" i="18"/>
  <c r="R252" i="18"/>
  <c r="S252" i="18"/>
  <c r="V252" i="18"/>
  <c r="X252" i="18"/>
  <c r="AA252" i="18"/>
  <c r="AB252" i="18"/>
  <c r="AD252" i="18"/>
  <c r="AH252" i="18"/>
  <c r="AI252" i="18"/>
  <c r="AJ252" i="18"/>
  <c r="AK252" i="18"/>
  <c r="AL252" i="18"/>
  <c r="AM252" i="18"/>
  <c r="AN252" i="18"/>
  <c r="AO252" i="18"/>
  <c r="AQ252" i="18"/>
  <c r="AR252" i="18"/>
  <c r="AS252" i="18"/>
  <c r="AT252" i="18"/>
  <c r="AU252" i="18"/>
  <c r="AV252" i="18"/>
  <c r="AX252" i="18"/>
  <c r="BB252" i="18"/>
  <c r="BC252" i="18"/>
  <c r="BD252" i="18"/>
  <c r="BE252" i="18"/>
  <c r="BF252" i="18"/>
  <c r="BG252" i="18"/>
  <c r="BH252" i="18"/>
  <c r="BJ252" i="18"/>
  <c r="BK252" i="18"/>
  <c r="BM252" i="18"/>
  <c r="A253" i="18"/>
  <c r="E253" i="18"/>
  <c r="F253" i="18"/>
  <c r="G253" i="18"/>
  <c r="K253" i="18"/>
  <c r="N253" i="18"/>
  <c r="O253" i="18"/>
  <c r="Q253" i="18"/>
  <c r="R253" i="18"/>
  <c r="S253" i="18"/>
  <c r="V253" i="18"/>
  <c r="X253" i="18"/>
  <c r="AA253" i="18"/>
  <c r="AB253" i="18"/>
  <c r="AD253" i="18"/>
  <c r="AH253" i="18"/>
  <c r="AI253" i="18"/>
  <c r="AJ253" i="18"/>
  <c r="AK253" i="18"/>
  <c r="AL253" i="18"/>
  <c r="AM253" i="18"/>
  <c r="AN253" i="18"/>
  <c r="AO253" i="18"/>
  <c r="AQ253" i="18"/>
  <c r="AR253" i="18"/>
  <c r="AS253" i="18"/>
  <c r="AT253" i="18"/>
  <c r="AU253" i="18"/>
  <c r="AV253" i="18"/>
  <c r="AX253" i="18"/>
  <c r="BB253" i="18"/>
  <c r="BC253" i="18"/>
  <c r="BD253" i="18"/>
  <c r="BE253" i="18"/>
  <c r="BF253" i="18"/>
  <c r="BG253" i="18"/>
  <c r="BH253" i="18"/>
  <c r="BJ253" i="18"/>
  <c r="BK253" i="18"/>
  <c r="BM253" i="18"/>
  <c r="A254" i="18"/>
  <c r="E254" i="18"/>
  <c r="F254" i="18"/>
  <c r="G254" i="18"/>
  <c r="K254" i="18"/>
  <c r="N254" i="18"/>
  <c r="O254" i="18"/>
  <c r="Q254" i="18"/>
  <c r="R254" i="18"/>
  <c r="S254" i="18"/>
  <c r="V254" i="18"/>
  <c r="X254" i="18"/>
  <c r="AA254" i="18"/>
  <c r="AB254" i="18"/>
  <c r="AD254" i="18"/>
  <c r="AH254" i="18"/>
  <c r="AI254" i="18"/>
  <c r="AJ254" i="18"/>
  <c r="AK254" i="18"/>
  <c r="AL254" i="18"/>
  <c r="AM254" i="18"/>
  <c r="AN254" i="18"/>
  <c r="AO254" i="18"/>
  <c r="AQ254" i="18"/>
  <c r="AR254" i="18"/>
  <c r="AS254" i="18"/>
  <c r="AT254" i="18"/>
  <c r="AU254" i="18"/>
  <c r="AV254" i="18"/>
  <c r="AX254" i="18"/>
  <c r="BB254" i="18"/>
  <c r="BC254" i="18"/>
  <c r="BD254" i="18"/>
  <c r="BE254" i="18"/>
  <c r="BF254" i="18"/>
  <c r="BG254" i="18"/>
  <c r="BH254" i="18"/>
  <c r="BJ254" i="18"/>
  <c r="BK254" i="18"/>
  <c r="BM254" i="18"/>
  <c r="A255" i="18"/>
  <c r="E255" i="18"/>
  <c r="F255" i="18"/>
  <c r="G255" i="18"/>
  <c r="K255" i="18"/>
  <c r="N255" i="18"/>
  <c r="O255" i="18"/>
  <c r="Q255" i="18"/>
  <c r="R255" i="18"/>
  <c r="S255" i="18"/>
  <c r="V255" i="18"/>
  <c r="X255" i="18"/>
  <c r="AA255" i="18"/>
  <c r="AB255" i="18"/>
  <c r="AD255" i="18"/>
  <c r="AH255" i="18"/>
  <c r="AI255" i="18"/>
  <c r="AJ255" i="18"/>
  <c r="AK255" i="18"/>
  <c r="AL255" i="18"/>
  <c r="AM255" i="18"/>
  <c r="AN255" i="18"/>
  <c r="AO255" i="18"/>
  <c r="AQ255" i="18"/>
  <c r="AR255" i="18"/>
  <c r="AS255" i="18"/>
  <c r="AT255" i="18"/>
  <c r="AU255" i="18"/>
  <c r="AV255" i="18"/>
  <c r="AX255" i="18"/>
  <c r="BB255" i="18"/>
  <c r="BC255" i="18"/>
  <c r="BD255" i="18"/>
  <c r="BE255" i="18"/>
  <c r="BF255" i="18"/>
  <c r="BG255" i="18"/>
  <c r="BH255" i="18"/>
  <c r="BJ255" i="18"/>
  <c r="BK255" i="18"/>
  <c r="BM255" i="18"/>
  <c r="A256" i="18"/>
  <c r="E256" i="18"/>
  <c r="F256" i="18"/>
  <c r="G256" i="18"/>
  <c r="K256" i="18"/>
  <c r="N256" i="18"/>
  <c r="O256" i="18"/>
  <c r="Q256" i="18"/>
  <c r="R256" i="18"/>
  <c r="S256" i="18"/>
  <c r="V256" i="18"/>
  <c r="X256" i="18"/>
  <c r="AA256" i="18"/>
  <c r="AB256" i="18"/>
  <c r="AD256" i="18"/>
  <c r="AH256" i="18"/>
  <c r="AI256" i="18"/>
  <c r="AJ256" i="18"/>
  <c r="AK256" i="18"/>
  <c r="AL256" i="18"/>
  <c r="AM256" i="18"/>
  <c r="AN256" i="18"/>
  <c r="AO256" i="18"/>
  <c r="AQ256" i="18"/>
  <c r="AR256" i="18"/>
  <c r="AS256" i="18"/>
  <c r="AT256" i="18"/>
  <c r="AU256" i="18"/>
  <c r="AV256" i="18"/>
  <c r="AX256" i="18"/>
  <c r="BB256" i="18"/>
  <c r="BC256" i="18"/>
  <c r="BD256" i="18"/>
  <c r="BE256" i="18"/>
  <c r="BF256" i="18"/>
  <c r="BG256" i="18"/>
  <c r="BH256" i="18"/>
  <c r="BJ256" i="18"/>
  <c r="BK256" i="18"/>
  <c r="BM256" i="18"/>
  <c r="A257" i="18"/>
  <c r="E257" i="18"/>
  <c r="F257" i="18"/>
  <c r="G257" i="18"/>
  <c r="K257" i="18"/>
  <c r="N257" i="18"/>
  <c r="O257" i="18"/>
  <c r="Q257" i="18"/>
  <c r="R257" i="18"/>
  <c r="S257" i="18"/>
  <c r="V257" i="18"/>
  <c r="X257" i="18"/>
  <c r="AA257" i="18"/>
  <c r="AB257" i="18"/>
  <c r="AD257" i="18"/>
  <c r="AH257" i="18"/>
  <c r="AI257" i="18"/>
  <c r="AJ257" i="18"/>
  <c r="AK257" i="18"/>
  <c r="AL257" i="18"/>
  <c r="AM257" i="18"/>
  <c r="AN257" i="18"/>
  <c r="AO257" i="18"/>
  <c r="AQ257" i="18"/>
  <c r="AR257" i="18"/>
  <c r="AS257" i="18"/>
  <c r="AT257" i="18"/>
  <c r="AU257" i="18"/>
  <c r="AV257" i="18"/>
  <c r="AX257" i="18"/>
  <c r="BB257" i="18"/>
  <c r="BC257" i="18"/>
  <c r="BD257" i="18"/>
  <c r="BE257" i="18"/>
  <c r="BF257" i="18"/>
  <c r="BG257" i="18"/>
  <c r="BH257" i="18"/>
  <c r="BJ257" i="18"/>
  <c r="BK257" i="18"/>
  <c r="BM257" i="18"/>
  <c r="A258" i="18"/>
  <c r="E258" i="18"/>
  <c r="F258" i="18"/>
  <c r="G258" i="18"/>
  <c r="H258" i="18"/>
  <c r="K258" i="18"/>
  <c r="N258" i="18"/>
  <c r="O258" i="18"/>
  <c r="Q258" i="18"/>
  <c r="R258" i="18"/>
  <c r="S258" i="18"/>
  <c r="V258" i="18"/>
  <c r="X258" i="18"/>
  <c r="AA258" i="18"/>
  <c r="AB258" i="18"/>
  <c r="AD258" i="18"/>
  <c r="AH258" i="18"/>
  <c r="AI258" i="18"/>
  <c r="AJ258" i="18"/>
  <c r="AK258" i="18"/>
  <c r="AL258" i="18"/>
  <c r="AM258" i="18"/>
  <c r="AN258" i="18"/>
  <c r="AO258" i="18"/>
  <c r="AQ258" i="18"/>
  <c r="AR258" i="18"/>
  <c r="AS258" i="18"/>
  <c r="AT258" i="18"/>
  <c r="AU258" i="18"/>
  <c r="AV258" i="18"/>
  <c r="AX258" i="18"/>
  <c r="AY258" i="18"/>
  <c r="AZ258" i="18"/>
  <c r="BB258" i="18"/>
  <c r="BC258" i="18"/>
  <c r="BD258" i="18"/>
  <c r="BE258" i="18"/>
  <c r="BF258" i="18"/>
  <c r="BG258" i="18"/>
  <c r="BH258" i="18"/>
  <c r="BJ258" i="18"/>
  <c r="BK258" i="18"/>
  <c r="BM258" i="18"/>
  <c r="A259" i="18"/>
  <c r="E259" i="18"/>
  <c r="F259" i="18"/>
  <c r="G259" i="18"/>
  <c r="K259" i="18"/>
  <c r="N259" i="18"/>
  <c r="AY259" i="18"/>
  <c r="AZ259" i="18"/>
  <c r="BH259" i="18"/>
  <c r="BJ259" i="18"/>
  <c r="BK259" i="18"/>
  <c r="BM259" i="18"/>
  <c r="A260" i="18"/>
  <c r="E260" i="18"/>
  <c r="F260" i="18"/>
  <c r="G260" i="18"/>
  <c r="K260" i="18"/>
  <c r="N260" i="18"/>
  <c r="A261" i="18"/>
  <c r="E261" i="18"/>
  <c r="F261" i="18"/>
  <c r="G261" i="18"/>
  <c r="K261" i="18"/>
  <c r="N261" i="18"/>
  <c r="A262" i="18"/>
  <c r="E262" i="18"/>
  <c r="F262" i="18"/>
  <c r="G262" i="18"/>
  <c r="K262" i="18"/>
  <c r="N262" i="18"/>
  <c r="A263" i="18"/>
  <c r="E263" i="18"/>
  <c r="F263" i="18"/>
  <c r="G263" i="18"/>
  <c r="K263" i="18"/>
  <c r="N263" i="18"/>
  <c r="BJ263" i="18"/>
  <c r="A264" i="18"/>
  <c r="E264" i="18"/>
  <c r="F264" i="18"/>
  <c r="G264" i="18"/>
  <c r="K264" i="18"/>
  <c r="N264" i="18"/>
  <c r="A265" i="18"/>
  <c r="E265" i="18"/>
  <c r="F265" i="18"/>
  <c r="G265" i="18"/>
  <c r="K265" i="18"/>
  <c r="N265" i="18"/>
  <c r="A266" i="18"/>
  <c r="E266" i="18"/>
  <c r="F266" i="18"/>
  <c r="G266" i="18"/>
  <c r="K266" i="18"/>
  <c r="N266" i="18"/>
  <c r="A267" i="18"/>
  <c r="E267" i="18"/>
  <c r="F267" i="18"/>
  <c r="G267" i="18"/>
  <c r="K267" i="18"/>
  <c r="N267" i="18"/>
  <c r="A268" i="18"/>
  <c r="E268" i="18"/>
  <c r="F268" i="18"/>
  <c r="G268" i="18"/>
  <c r="K268" i="18"/>
  <c r="N268" i="18"/>
  <c r="A269" i="18"/>
  <c r="E269" i="18"/>
  <c r="F269" i="18"/>
  <c r="G269" i="18"/>
  <c r="K269" i="18"/>
  <c r="N269" i="18"/>
  <c r="A270" i="18"/>
  <c r="E270" i="18"/>
  <c r="F270" i="18"/>
  <c r="G270" i="18"/>
  <c r="H270" i="18"/>
  <c r="K270" i="18"/>
  <c r="N270" i="18"/>
  <c r="AZ270" i="18"/>
  <c r="A271" i="18"/>
  <c r="E271" i="18"/>
  <c r="F271" i="18"/>
  <c r="G271" i="18"/>
  <c r="K271" i="18"/>
  <c r="N271" i="18"/>
  <c r="A272" i="18"/>
  <c r="E272" i="18"/>
  <c r="F272" i="18"/>
  <c r="G272" i="18"/>
  <c r="K272" i="18"/>
  <c r="N272" i="18"/>
  <c r="A273" i="18"/>
  <c r="E273" i="18"/>
  <c r="F273" i="18"/>
  <c r="G273" i="18"/>
  <c r="K273" i="18"/>
  <c r="N273" i="18"/>
  <c r="A274" i="18"/>
  <c r="E274" i="18"/>
  <c r="F274" i="18"/>
  <c r="G274" i="18"/>
  <c r="K274" i="18"/>
  <c r="N274" i="18"/>
  <c r="A275" i="18"/>
  <c r="E275" i="18"/>
  <c r="F275" i="18"/>
  <c r="G275" i="18"/>
  <c r="K275" i="18"/>
  <c r="N275" i="18"/>
  <c r="A276" i="18"/>
  <c r="E276" i="18"/>
  <c r="F276" i="18"/>
  <c r="G276" i="18"/>
  <c r="K276" i="18"/>
  <c r="N276" i="18"/>
  <c r="A277" i="18"/>
  <c r="E277" i="18"/>
  <c r="F277" i="18"/>
  <c r="G277" i="18"/>
  <c r="K277" i="18"/>
  <c r="N277" i="18"/>
  <c r="A278" i="18"/>
  <c r="E278" i="18"/>
  <c r="F278" i="18"/>
  <c r="G278" i="18"/>
  <c r="K278" i="18"/>
  <c r="N278" i="18"/>
  <c r="A279" i="18"/>
  <c r="E279" i="18"/>
  <c r="F279" i="18"/>
  <c r="G279" i="18"/>
  <c r="K279" i="18"/>
  <c r="N279" i="18"/>
  <c r="A280" i="18"/>
  <c r="E280" i="18"/>
  <c r="F280" i="18"/>
  <c r="G280" i="18"/>
  <c r="K280" i="18"/>
  <c r="N280" i="18"/>
  <c r="A281" i="18"/>
  <c r="E281" i="18"/>
  <c r="F281" i="18"/>
  <c r="G281" i="18"/>
  <c r="K281" i="18"/>
  <c r="N281" i="18"/>
  <c r="A282" i="18"/>
  <c r="E282" i="18"/>
  <c r="F282" i="18"/>
  <c r="G282" i="18"/>
  <c r="H282" i="18"/>
  <c r="K282" i="18"/>
  <c r="N282" i="18"/>
  <c r="AZ282" i="18"/>
  <c r="A283" i="18"/>
  <c r="E283" i="18"/>
  <c r="F283" i="18"/>
  <c r="G283" i="18"/>
  <c r="K283" i="18"/>
  <c r="N283" i="18"/>
  <c r="A284" i="18"/>
  <c r="E284" i="18"/>
  <c r="F284" i="18"/>
  <c r="G284" i="18"/>
  <c r="K284" i="18"/>
  <c r="N284" i="18"/>
  <c r="A285" i="18"/>
  <c r="E285" i="18"/>
  <c r="F285" i="18"/>
  <c r="G285" i="18"/>
  <c r="K285" i="18"/>
  <c r="N285" i="18"/>
  <c r="A286" i="18"/>
  <c r="E286" i="18"/>
  <c r="F286" i="18"/>
  <c r="G286" i="18"/>
  <c r="K286" i="18"/>
  <c r="N286" i="18"/>
  <c r="A287" i="18"/>
  <c r="E287" i="18"/>
  <c r="F287" i="18"/>
  <c r="G287" i="18"/>
  <c r="K287" i="18"/>
  <c r="N287" i="18"/>
  <c r="A288" i="18"/>
  <c r="E288" i="18"/>
  <c r="F288" i="18"/>
  <c r="G288" i="18"/>
  <c r="K288" i="18"/>
  <c r="N288" i="18"/>
  <c r="A289" i="18"/>
  <c r="E289" i="18"/>
  <c r="F289" i="18"/>
  <c r="G289" i="18"/>
  <c r="K289" i="18"/>
  <c r="N289" i="18"/>
  <c r="A290" i="18"/>
  <c r="E290" i="18"/>
  <c r="F290" i="18"/>
  <c r="G290" i="18"/>
  <c r="K290" i="18"/>
  <c r="N290" i="18"/>
  <c r="A291" i="18"/>
  <c r="E291" i="18"/>
  <c r="F291" i="18"/>
  <c r="G291" i="18"/>
  <c r="K291" i="18"/>
  <c r="N291" i="18"/>
  <c r="A292" i="18"/>
  <c r="E292" i="18"/>
  <c r="F292" i="18"/>
  <c r="G292" i="18"/>
  <c r="K292" i="18"/>
  <c r="N292" i="18"/>
  <c r="A293" i="18"/>
  <c r="E293" i="18"/>
  <c r="F293" i="18"/>
  <c r="G293" i="18"/>
  <c r="K293" i="18"/>
  <c r="N293" i="18"/>
  <c r="A294" i="18"/>
  <c r="E294" i="18"/>
  <c r="F294" i="18"/>
  <c r="G294" i="18"/>
  <c r="H294" i="18"/>
  <c r="K294" i="18"/>
  <c r="N294" i="18"/>
  <c r="AZ294" i="18"/>
  <c r="A295" i="18"/>
  <c r="E295" i="18"/>
  <c r="F295" i="18"/>
  <c r="G295" i="18"/>
  <c r="K295" i="18"/>
  <c r="N295" i="18"/>
  <c r="A296" i="18"/>
  <c r="E296" i="18"/>
  <c r="F296" i="18"/>
  <c r="G296" i="18"/>
  <c r="K296" i="18"/>
  <c r="N296" i="18"/>
  <c r="A297" i="18"/>
  <c r="E297" i="18"/>
  <c r="F297" i="18"/>
  <c r="G297" i="18"/>
  <c r="K297" i="18"/>
  <c r="N297" i="18"/>
  <c r="A298" i="18"/>
  <c r="E298" i="18"/>
  <c r="F298" i="18"/>
  <c r="G298" i="18"/>
  <c r="K298" i="18"/>
  <c r="N298" i="18"/>
  <c r="A299" i="18"/>
  <c r="E299" i="18"/>
  <c r="F299" i="18"/>
  <c r="G299" i="18"/>
  <c r="K299" i="18"/>
  <c r="N299" i="18"/>
  <c r="A300" i="18"/>
  <c r="E300" i="18"/>
  <c r="F300" i="18"/>
  <c r="G300" i="18"/>
  <c r="K300" i="18"/>
  <c r="N300" i="18"/>
  <c r="A301" i="18"/>
  <c r="E301" i="18"/>
  <c r="F301" i="18"/>
  <c r="G301" i="18"/>
  <c r="K301" i="18"/>
  <c r="N301" i="18"/>
  <c r="A302" i="18"/>
  <c r="E302" i="18"/>
  <c r="F302" i="18"/>
  <c r="G302" i="18"/>
  <c r="K302" i="18"/>
  <c r="N302" i="18"/>
  <c r="A303" i="18"/>
  <c r="E303" i="18"/>
  <c r="F303" i="18"/>
  <c r="G303" i="18"/>
  <c r="K303" i="18"/>
  <c r="N303" i="18"/>
  <c r="A304" i="18"/>
  <c r="E304" i="18"/>
  <c r="F304" i="18"/>
  <c r="G304" i="18"/>
  <c r="K304" i="18"/>
  <c r="N304" i="18"/>
  <c r="A305" i="18"/>
  <c r="E305" i="18"/>
  <c r="F305" i="18"/>
  <c r="G305" i="18"/>
  <c r="K305" i="18"/>
  <c r="N305" i="18"/>
  <c r="A306" i="18"/>
  <c r="E306" i="18"/>
  <c r="F306" i="18"/>
  <c r="G306" i="18"/>
  <c r="H306" i="18"/>
  <c r="K306" i="18"/>
  <c r="N306" i="18"/>
  <c r="AZ306" i="18"/>
  <c r="A307" i="18"/>
  <c r="E307" i="18"/>
  <c r="F307" i="18"/>
  <c r="G307" i="18"/>
  <c r="K307" i="18"/>
  <c r="N307" i="18"/>
  <c r="A308" i="18"/>
  <c r="E308" i="18"/>
  <c r="F308" i="18"/>
  <c r="G308" i="18"/>
  <c r="K308" i="18"/>
  <c r="N308" i="18"/>
  <c r="A309" i="18"/>
  <c r="E309" i="18"/>
  <c r="F309" i="18"/>
  <c r="G309" i="18"/>
  <c r="K309" i="18"/>
  <c r="N309" i="18"/>
  <c r="A310" i="18"/>
  <c r="E310" i="18"/>
  <c r="F310" i="18"/>
  <c r="G310" i="18"/>
  <c r="K310" i="18"/>
  <c r="N310" i="18"/>
  <c r="A311" i="18"/>
  <c r="E311" i="18"/>
  <c r="F311" i="18"/>
  <c r="G311" i="18"/>
  <c r="K311" i="18"/>
  <c r="N311" i="18"/>
  <c r="A312" i="18"/>
  <c r="E312" i="18"/>
  <c r="F312" i="18"/>
  <c r="G312" i="18"/>
  <c r="K312" i="18"/>
  <c r="N312" i="18"/>
  <c r="A313" i="18"/>
  <c r="E313" i="18"/>
  <c r="F313" i="18"/>
  <c r="G313" i="18"/>
  <c r="K313" i="18"/>
  <c r="N313" i="18"/>
  <c r="A314" i="18"/>
  <c r="E314" i="18"/>
  <c r="F314" i="18"/>
  <c r="G314" i="18"/>
  <c r="K314" i="18"/>
  <c r="N314" i="18"/>
  <c r="A315" i="18"/>
  <c r="E315" i="18"/>
  <c r="F315" i="18"/>
  <c r="G315" i="18"/>
  <c r="K315" i="18"/>
  <c r="N315" i="18"/>
  <c r="A316" i="18"/>
  <c r="E316" i="18"/>
  <c r="F316" i="18"/>
  <c r="G316" i="18"/>
  <c r="K316" i="18"/>
  <c r="N316" i="18"/>
  <c r="A317" i="18"/>
  <c r="E317" i="18"/>
  <c r="F317" i="18"/>
  <c r="G317" i="18"/>
  <c r="K317" i="18"/>
  <c r="N317" i="18"/>
  <c r="A318" i="18"/>
  <c r="E318" i="18"/>
  <c r="F318" i="18"/>
  <c r="G318" i="18"/>
  <c r="H318" i="18"/>
  <c r="K318" i="18"/>
  <c r="N318" i="18"/>
  <c r="AZ318" i="18"/>
  <c r="A319" i="18"/>
  <c r="E319" i="18"/>
  <c r="F319" i="18"/>
  <c r="G319" i="18"/>
  <c r="K319" i="18"/>
  <c r="N319" i="18"/>
  <c r="A320" i="18"/>
  <c r="E320" i="18"/>
  <c r="F320" i="18"/>
  <c r="G320" i="18"/>
  <c r="K320" i="18"/>
  <c r="N320" i="18"/>
  <c r="A321" i="18"/>
  <c r="E321" i="18"/>
  <c r="F321" i="18"/>
  <c r="G321" i="18"/>
  <c r="K321" i="18"/>
  <c r="N321" i="18"/>
  <c r="A322" i="18"/>
  <c r="E322" i="18"/>
  <c r="F322" i="18"/>
  <c r="G322" i="18"/>
  <c r="K322" i="18"/>
  <c r="N322" i="18"/>
  <c r="A323" i="18"/>
  <c r="E323" i="18"/>
  <c r="F323" i="18"/>
  <c r="G323" i="18"/>
  <c r="K323" i="18"/>
  <c r="N323" i="18"/>
  <c r="A324" i="18"/>
  <c r="E324" i="18"/>
  <c r="F324" i="18"/>
  <c r="G324" i="18"/>
  <c r="K324" i="18"/>
  <c r="N324" i="18"/>
  <c r="A325" i="18"/>
  <c r="E325" i="18"/>
  <c r="F325" i="18"/>
  <c r="G325" i="18"/>
  <c r="K325" i="18"/>
  <c r="N325" i="18"/>
  <c r="A326" i="18"/>
  <c r="E326" i="18"/>
  <c r="F326" i="18"/>
  <c r="G326" i="18"/>
  <c r="K326" i="18"/>
  <c r="N326" i="18"/>
  <c r="A327" i="18"/>
  <c r="E327" i="18"/>
  <c r="F327" i="18"/>
  <c r="G327" i="18"/>
  <c r="K327" i="18"/>
  <c r="N327" i="18"/>
  <c r="A328" i="18"/>
  <c r="E328" i="18"/>
  <c r="F328" i="18"/>
  <c r="G328" i="18"/>
  <c r="K328" i="18"/>
  <c r="N328" i="18"/>
  <c r="A329" i="18"/>
  <c r="E329" i="18"/>
  <c r="F329" i="18"/>
  <c r="G329" i="18"/>
  <c r="K329" i="18"/>
  <c r="N329" i="18"/>
  <c r="A330" i="18"/>
  <c r="E330" i="18"/>
  <c r="F330" i="18"/>
  <c r="G330" i="18"/>
  <c r="H330" i="18"/>
  <c r="K330" i="18"/>
  <c r="N330" i="18"/>
  <c r="AZ330" i="18"/>
  <c r="A331" i="18"/>
  <c r="E331" i="18"/>
  <c r="F331" i="18"/>
  <c r="G331" i="18"/>
  <c r="K331" i="18"/>
  <c r="N331" i="18"/>
  <c r="A332" i="18"/>
  <c r="E332" i="18"/>
  <c r="F332" i="18"/>
  <c r="G332" i="18"/>
  <c r="K332" i="18"/>
  <c r="N332" i="18"/>
  <c r="A333" i="18"/>
  <c r="E333" i="18"/>
  <c r="F333" i="18"/>
  <c r="G333" i="18"/>
  <c r="K333" i="18"/>
  <c r="N333" i="18"/>
  <c r="A334" i="18"/>
  <c r="E334" i="18"/>
  <c r="F334" i="18"/>
  <c r="G334" i="18"/>
  <c r="K334" i="18"/>
  <c r="N334" i="18"/>
  <c r="A335" i="18"/>
  <c r="E335" i="18"/>
  <c r="F335" i="18"/>
  <c r="G335" i="18"/>
  <c r="K335" i="18"/>
  <c r="N335" i="18"/>
  <c r="A336" i="18"/>
  <c r="E336" i="18"/>
  <c r="F336" i="18"/>
  <c r="G336" i="18"/>
  <c r="K336" i="18"/>
  <c r="N336" i="18"/>
  <c r="A337" i="18"/>
  <c r="E337" i="18"/>
  <c r="F337" i="18"/>
  <c r="G337" i="18"/>
  <c r="K337" i="18"/>
  <c r="N337" i="18"/>
  <c r="A338" i="18"/>
  <c r="E338" i="18"/>
  <c r="F338" i="18"/>
  <c r="G338" i="18"/>
  <c r="K338" i="18"/>
  <c r="N338" i="18"/>
  <c r="A339" i="18"/>
  <c r="E339" i="18"/>
  <c r="F339" i="18"/>
  <c r="G339" i="18"/>
  <c r="K339" i="18"/>
  <c r="N339" i="18"/>
  <c r="A340" i="18"/>
  <c r="E340" i="18"/>
  <c r="F340" i="18"/>
  <c r="G340" i="18"/>
  <c r="K340" i="18"/>
  <c r="N340" i="18"/>
  <c r="A341" i="18"/>
  <c r="E341" i="18"/>
  <c r="F341" i="18"/>
  <c r="G341" i="18"/>
  <c r="K341" i="18"/>
  <c r="N341" i="18"/>
  <c r="A342" i="18"/>
  <c r="E342" i="18"/>
  <c r="F342" i="18"/>
  <c r="G342" i="18"/>
  <c r="H342" i="18"/>
  <c r="K342" i="18"/>
  <c r="N342" i="18"/>
  <c r="AZ342" i="18"/>
  <c r="A343" i="18"/>
  <c r="E343" i="18"/>
  <c r="F343" i="18"/>
  <c r="G343" i="18"/>
  <c r="K343" i="18"/>
  <c r="N343" i="18"/>
  <c r="A344" i="18"/>
  <c r="E344" i="18"/>
  <c r="F344" i="18"/>
  <c r="G344" i="18"/>
  <c r="K344" i="18"/>
  <c r="N344" i="18"/>
  <c r="A345" i="18"/>
  <c r="E345" i="18"/>
  <c r="F345" i="18"/>
  <c r="G345" i="18"/>
  <c r="K345" i="18"/>
  <c r="N345" i="18"/>
  <c r="A346" i="18"/>
  <c r="E346" i="18"/>
  <c r="F346" i="18"/>
  <c r="G346" i="18"/>
  <c r="K346" i="18"/>
  <c r="N346" i="18"/>
  <c r="A347" i="18"/>
  <c r="E347" i="18"/>
  <c r="F347" i="18"/>
  <c r="G347" i="18"/>
  <c r="K347" i="18"/>
  <c r="N347" i="18"/>
  <c r="A348" i="18"/>
  <c r="E348" i="18"/>
  <c r="F348" i="18"/>
  <c r="G348" i="18"/>
  <c r="K348" i="18"/>
  <c r="N348" i="18"/>
  <c r="A349" i="18"/>
  <c r="E349" i="18"/>
  <c r="F349" i="18"/>
  <c r="G349" i="18"/>
  <c r="K349" i="18"/>
  <c r="N349" i="18"/>
  <c r="A350" i="18"/>
  <c r="E350" i="18"/>
  <c r="F350" i="18"/>
  <c r="G350" i="18"/>
  <c r="K350" i="18"/>
  <c r="N350" i="18"/>
  <c r="A351" i="18"/>
  <c r="E351" i="18"/>
  <c r="F351" i="18"/>
  <c r="G351" i="18"/>
  <c r="K351" i="18"/>
  <c r="N351" i="18"/>
  <c r="A352" i="18"/>
  <c r="E352" i="18"/>
  <c r="F352" i="18"/>
  <c r="G352" i="18"/>
  <c r="K352" i="18"/>
  <c r="N352" i="18"/>
  <c r="A353" i="18"/>
  <c r="E353" i="18"/>
  <c r="F353" i="18"/>
  <c r="G353" i="18"/>
  <c r="K353" i="18"/>
  <c r="N353" i="18"/>
  <c r="A354" i="18"/>
  <c r="E354" i="18"/>
  <c r="F354" i="18"/>
  <c r="G354" i="18"/>
  <c r="H354" i="18"/>
  <c r="K354" i="18"/>
  <c r="N354" i="18"/>
  <c r="AZ354" i="18"/>
  <c r="A355" i="18"/>
  <c r="E355" i="18"/>
  <c r="F355" i="18"/>
  <c r="G355" i="18"/>
  <c r="K355" i="18"/>
  <c r="N355" i="18"/>
  <c r="A356" i="18"/>
  <c r="E356" i="18"/>
  <c r="F356" i="18"/>
  <c r="G356" i="18"/>
  <c r="K356" i="18"/>
  <c r="N356" i="18"/>
  <c r="A357" i="18"/>
  <c r="E357" i="18"/>
  <c r="F357" i="18"/>
  <c r="G357" i="18"/>
  <c r="K357" i="18"/>
  <c r="N357" i="18"/>
  <c r="A358" i="18"/>
  <c r="E358" i="18"/>
  <c r="F358" i="18"/>
  <c r="G358" i="18"/>
  <c r="K358" i="18"/>
  <c r="N358" i="18"/>
  <c r="A359" i="18"/>
  <c r="E359" i="18"/>
  <c r="F359" i="18"/>
  <c r="G359" i="18"/>
  <c r="K359" i="18"/>
  <c r="N359" i="18"/>
  <c r="A360" i="18"/>
  <c r="E360" i="18"/>
  <c r="F360" i="18"/>
  <c r="G360" i="18"/>
  <c r="K360" i="18"/>
  <c r="N360" i="18"/>
  <c r="A361" i="18"/>
  <c r="E361" i="18"/>
  <c r="F361" i="18"/>
  <c r="G361" i="18"/>
  <c r="K361" i="18"/>
  <c r="N361" i="18"/>
  <c r="A362" i="18"/>
  <c r="E362" i="18"/>
  <c r="F362" i="18"/>
  <c r="G362" i="18"/>
  <c r="K362" i="18"/>
  <c r="N362" i="18"/>
  <c r="A363" i="18"/>
  <c r="E363" i="18"/>
  <c r="F363" i="18"/>
  <c r="G363" i="18"/>
  <c r="K363" i="18"/>
  <c r="A364" i="18"/>
  <c r="E364" i="18"/>
  <c r="F364" i="18"/>
  <c r="G364" i="18"/>
  <c r="K364" i="18"/>
  <c r="A365" i="18"/>
  <c r="E365" i="18"/>
  <c r="F365" i="18"/>
  <c r="G365" i="18"/>
  <c r="K365" i="18"/>
  <c r="A366" i="18"/>
  <c r="E366" i="18"/>
  <c r="F366" i="18"/>
  <c r="G366" i="18"/>
  <c r="H366" i="18"/>
  <c r="K366" i="18"/>
  <c r="AZ366" i="18"/>
  <c r="A367" i="18"/>
  <c r="E367" i="18"/>
  <c r="F367" i="18"/>
  <c r="G367" i="18"/>
  <c r="K367" i="18"/>
  <c r="A368" i="18"/>
  <c r="E368" i="18"/>
  <c r="F368" i="18"/>
  <c r="G368" i="18"/>
  <c r="K368" i="18"/>
  <c r="A369" i="18"/>
  <c r="E369" i="18"/>
  <c r="F369" i="18"/>
  <c r="G369" i="18"/>
  <c r="K369" i="18"/>
  <c r="A370" i="18"/>
  <c r="E370" i="18"/>
  <c r="F370" i="18"/>
  <c r="G370" i="18"/>
  <c r="A371" i="18"/>
  <c r="E371" i="18"/>
  <c r="F371" i="18"/>
  <c r="G371" i="18"/>
  <c r="A372" i="18"/>
  <c r="E372" i="18"/>
  <c r="F372" i="18"/>
  <c r="G372" i="18"/>
  <c r="A373" i="18"/>
  <c r="E373" i="18"/>
  <c r="F373" i="18"/>
  <c r="G373" i="18"/>
  <c r="A374" i="18"/>
  <c r="E374" i="18"/>
  <c r="F374" i="18"/>
  <c r="G374" i="18"/>
  <c r="A375" i="18"/>
  <c r="E375" i="18"/>
  <c r="F375" i="18"/>
  <c r="G375" i="18"/>
  <c r="A376" i="18"/>
  <c r="E376" i="18"/>
  <c r="F376" i="18"/>
  <c r="G376" i="18"/>
  <c r="A377" i="18"/>
  <c r="E377" i="18"/>
  <c r="F377" i="18"/>
  <c r="G377" i="18"/>
  <c r="A378" i="18"/>
  <c r="E378" i="18"/>
  <c r="F378" i="18"/>
  <c r="G378" i="18"/>
  <c r="H378" i="18"/>
  <c r="AZ378" i="18"/>
  <c r="A379" i="18"/>
  <c r="E379" i="18"/>
  <c r="F379" i="18"/>
  <c r="G379" i="18"/>
  <c r="A380" i="18"/>
  <c r="E380" i="18"/>
  <c r="F380" i="18"/>
  <c r="G380" i="18"/>
  <c r="A381" i="18"/>
  <c r="E381" i="18"/>
  <c r="F381" i="18"/>
  <c r="G381" i="18"/>
  <c r="A382" i="18"/>
  <c r="E382" i="18"/>
  <c r="F382" i="18"/>
  <c r="G382" i="18"/>
  <c r="A383" i="18"/>
  <c r="E383" i="18"/>
  <c r="F383" i="18"/>
  <c r="G383" i="18"/>
  <c r="A384" i="18"/>
  <c r="E384" i="18"/>
  <c r="F384" i="18"/>
  <c r="G384" i="18"/>
  <c r="A385" i="18"/>
  <c r="E385" i="18"/>
  <c r="F385" i="18"/>
  <c r="G385" i="18"/>
  <c r="A386" i="18"/>
  <c r="E386" i="18"/>
  <c r="F386" i="18"/>
  <c r="G386" i="18"/>
  <c r="A387" i="18"/>
  <c r="E387" i="18"/>
  <c r="F387" i="18"/>
  <c r="G387" i="18"/>
  <c r="A388" i="18"/>
  <c r="E388" i="18"/>
  <c r="F388" i="18"/>
  <c r="G388" i="18"/>
  <c r="A389" i="18"/>
  <c r="E389" i="18"/>
  <c r="F389" i="18"/>
  <c r="G389" i="18"/>
  <c r="A390" i="18"/>
  <c r="E390" i="18"/>
  <c r="F390" i="18"/>
  <c r="G390" i="18"/>
  <c r="H390" i="18"/>
  <c r="AZ390" i="18"/>
  <c r="A391" i="18"/>
  <c r="E391" i="18"/>
  <c r="F391" i="18"/>
  <c r="G391" i="18"/>
  <c r="A392" i="18"/>
  <c r="E392" i="18"/>
  <c r="F392" i="18"/>
  <c r="G392" i="18"/>
  <c r="A393" i="18"/>
  <c r="E393" i="18"/>
  <c r="F393" i="18"/>
  <c r="G393" i="18"/>
  <c r="A394" i="18"/>
  <c r="E394" i="18"/>
  <c r="F394" i="18"/>
  <c r="G394" i="18"/>
  <c r="A395" i="18"/>
  <c r="E395" i="18"/>
  <c r="F395" i="18"/>
  <c r="G395" i="18"/>
  <c r="A396" i="18"/>
  <c r="E396" i="18"/>
  <c r="F396" i="18"/>
  <c r="G396" i="18"/>
  <c r="A397" i="18"/>
  <c r="E397" i="18"/>
  <c r="F397" i="18"/>
  <c r="G397" i="18"/>
  <c r="A398" i="18"/>
  <c r="E398" i="18"/>
  <c r="F398" i="18"/>
  <c r="G398" i="18"/>
  <c r="A399" i="18"/>
  <c r="E399" i="18"/>
  <c r="F399" i="18"/>
  <c r="G399" i="18"/>
  <c r="A400" i="18"/>
  <c r="E400" i="18"/>
  <c r="F400" i="18"/>
  <c r="G400" i="18"/>
  <c r="A401" i="18"/>
  <c r="E401" i="18"/>
  <c r="F401" i="18"/>
  <c r="G401" i="18"/>
  <c r="A402" i="18"/>
  <c r="E402" i="18"/>
  <c r="F402" i="18"/>
  <c r="G402" i="18"/>
  <c r="H402" i="18"/>
  <c r="A403" i="18"/>
  <c r="E403" i="18"/>
  <c r="F403" i="18"/>
  <c r="G403" i="18"/>
  <c r="A404" i="18"/>
  <c r="E404" i="18"/>
  <c r="F404" i="18"/>
  <c r="G404" i="18"/>
  <c r="A405" i="18"/>
  <c r="E405" i="18"/>
  <c r="F405" i="18"/>
  <c r="G405" i="18"/>
  <c r="A406" i="18"/>
  <c r="E406" i="18"/>
  <c r="F406" i="18"/>
  <c r="G406" i="18"/>
  <c r="A407" i="18"/>
  <c r="E407" i="18"/>
  <c r="F407" i="18"/>
  <c r="G407" i="18"/>
  <c r="A408" i="18"/>
  <c r="E408" i="18"/>
  <c r="F408" i="18"/>
  <c r="G408" i="18"/>
  <c r="A409" i="18"/>
  <c r="E409" i="18"/>
  <c r="F409" i="18"/>
  <c r="G409" i="18"/>
  <c r="A410" i="18"/>
  <c r="E410" i="18"/>
  <c r="F410" i="18"/>
  <c r="G410" i="18"/>
  <c r="A411" i="18"/>
  <c r="E411" i="18"/>
  <c r="F411" i="18"/>
  <c r="G411" i="18"/>
  <c r="A412" i="18"/>
  <c r="E412" i="18"/>
  <c r="F412" i="18"/>
  <c r="G412" i="18"/>
  <c r="A413" i="18"/>
  <c r="E413" i="18"/>
  <c r="F413" i="18"/>
  <c r="G413" i="18"/>
  <c r="A414" i="18"/>
  <c r="E414" i="18"/>
  <c r="F414" i="18"/>
  <c r="G414" i="18"/>
  <c r="H414" i="18"/>
  <c r="A415" i="18"/>
  <c r="E415" i="18"/>
  <c r="F415" i="18"/>
  <c r="G415" i="18"/>
  <c r="A416" i="18"/>
  <c r="E416" i="18"/>
  <c r="F416" i="18"/>
  <c r="G416" i="18"/>
  <c r="A417" i="18"/>
  <c r="E417" i="18"/>
  <c r="F417" i="18"/>
  <c r="G417" i="18"/>
  <c r="A418" i="18"/>
  <c r="E418" i="18"/>
  <c r="F418" i="18"/>
  <c r="G418" i="18"/>
  <c r="A419" i="18"/>
  <c r="E419" i="18"/>
  <c r="F419" i="18"/>
  <c r="G419" i="18"/>
  <c r="A420" i="18"/>
  <c r="E420" i="18"/>
  <c r="F420" i="18"/>
  <c r="G420" i="18"/>
  <c r="A421" i="18"/>
  <c r="E421" i="18"/>
  <c r="F421" i="18"/>
  <c r="G421" i="18"/>
  <c r="A422" i="18"/>
  <c r="E422" i="18"/>
  <c r="F422" i="18"/>
  <c r="G422" i="18"/>
  <c r="A423" i="18"/>
  <c r="E423" i="18"/>
  <c r="F423" i="18"/>
  <c r="G423" i="18"/>
  <c r="A424" i="18"/>
  <c r="E424" i="18"/>
  <c r="F424" i="18"/>
  <c r="G424" i="18"/>
  <c r="A425" i="18"/>
  <c r="E425" i="18"/>
  <c r="F425" i="18"/>
  <c r="G425" i="18"/>
  <c r="A426" i="18"/>
  <c r="E426" i="18"/>
  <c r="F426" i="18"/>
  <c r="G426" i="18"/>
  <c r="H426" i="18"/>
  <c r="A427" i="18"/>
  <c r="E427" i="18"/>
  <c r="F427" i="18"/>
  <c r="G427" i="18"/>
  <c r="A428" i="18"/>
  <c r="E428" i="18"/>
  <c r="F428" i="18"/>
  <c r="G428" i="18"/>
  <c r="A429" i="18"/>
  <c r="E429" i="18"/>
  <c r="F429" i="18"/>
  <c r="G429" i="18"/>
  <c r="A430" i="18"/>
  <c r="E430" i="18"/>
  <c r="F430" i="18"/>
  <c r="G430" i="18"/>
  <c r="A431" i="18"/>
  <c r="E431" i="18"/>
  <c r="F431" i="18"/>
  <c r="G431" i="18"/>
  <c r="A432" i="18"/>
  <c r="E432" i="18"/>
  <c r="F432" i="18"/>
  <c r="G432" i="18"/>
  <c r="A433" i="18"/>
  <c r="E433" i="18"/>
  <c r="F433" i="18"/>
  <c r="G433" i="18"/>
  <c r="A434" i="18"/>
  <c r="E434" i="18"/>
  <c r="F434" i="18"/>
  <c r="G434" i="18"/>
  <c r="A435" i="18"/>
  <c r="E435" i="18"/>
  <c r="F435" i="18"/>
  <c r="G435" i="18"/>
  <c r="A436" i="18"/>
  <c r="E436" i="18"/>
  <c r="F436" i="18"/>
  <c r="G436" i="18"/>
  <c r="A437" i="18"/>
  <c r="E437" i="18"/>
  <c r="F437" i="18"/>
  <c r="G437" i="18"/>
  <c r="A438" i="18"/>
  <c r="E438" i="18"/>
  <c r="F438" i="18"/>
  <c r="G438" i="18"/>
  <c r="H438" i="18"/>
  <c r="A439" i="18"/>
  <c r="E439" i="18"/>
  <c r="F439" i="18"/>
  <c r="G439" i="18"/>
  <c r="A440" i="18"/>
  <c r="E440" i="18"/>
  <c r="F440" i="18"/>
  <c r="G440" i="18"/>
  <c r="A441" i="18"/>
  <c r="E441" i="18"/>
  <c r="F441" i="18"/>
  <c r="G441" i="18"/>
  <c r="A442" i="18"/>
  <c r="E442" i="18"/>
  <c r="F442" i="18"/>
  <c r="G442" i="18"/>
  <c r="A443" i="18"/>
  <c r="E443" i="18"/>
  <c r="F443" i="18"/>
  <c r="G443" i="18"/>
  <c r="A444" i="18"/>
  <c r="E444" i="18"/>
  <c r="F444" i="18"/>
  <c r="G444" i="18"/>
  <c r="A445" i="18"/>
  <c r="E445" i="18"/>
  <c r="F445" i="18"/>
  <c r="G445" i="18"/>
  <c r="A446" i="18"/>
  <c r="E446" i="18"/>
  <c r="F446" i="18"/>
  <c r="G446" i="18"/>
  <c r="A447" i="18"/>
  <c r="E447" i="18"/>
  <c r="F447" i="18"/>
  <c r="G447" i="18"/>
  <c r="A448" i="18"/>
  <c r="E448" i="18"/>
  <c r="F448" i="18"/>
  <c r="G448" i="18"/>
  <c r="A449" i="18"/>
  <c r="E449" i="18"/>
  <c r="F449" i="18"/>
  <c r="G449" i="18"/>
  <c r="A450" i="18"/>
  <c r="E450" i="18"/>
  <c r="F450" i="18"/>
  <c r="G450" i="18"/>
  <c r="H450" i="18"/>
  <c r="A451" i="18"/>
  <c r="E451" i="18"/>
  <c r="F451" i="18"/>
  <c r="G451" i="18"/>
  <c r="A452" i="18"/>
  <c r="E452" i="18"/>
  <c r="F452" i="18"/>
  <c r="G452" i="18"/>
  <c r="A453" i="18"/>
  <c r="E453" i="18"/>
  <c r="F453" i="18"/>
  <c r="G453" i="18"/>
  <c r="A454" i="18"/>
  <c r="E454" i="18"/>
  <c r="F454" i="18"/>
  <c r="G454" i="18"/>
  <c r="A455" i="18"/>
  <c r="E455" i="18"/>
  <c r="F455" i="18"/>
  <c r="G455" i="18"/>
  <c r="A456" i="18"/>
  <c r="E456" i="18"/>
  <c r="F456" i="18"/>
  <c r="G456" i="18"/>
  <c r="A457" i="18"/>
  <c r="E457" i="18"/>
  <c r="F457" i="18"/>
  <c r="G457" i="18"/>
  <c r="A458" i="18"/>
  <c r="E458" i="18"/>
  <c r="F458" i="18"/>
  <c r="G458" i="18"/>
  <c r="A459" i="18"/>
  <c r="E459" i="18"/>
  <c r="F459" i="18"/>
  <c r="G459" i="18"/>
  <c r="A460" i="18"/>
  <c r="E460" i="18"/>
  <c r="F460" i="18"/>
  <c r="G460" i="18"/>
  <c r="A461" i="18"/>
  <c r="E461" i="18"/>
  <c r="F461" i="18"/>
  <c r="G461" i="18"/>
  <c r="A462" i="18"/>
  <c r="E462" i="18"/>
  <c r="F462" i="18"/>
  <c r="G462" i="18"/>
  <c r="H462" i="18"/>
  <c r="A463" i="18"/>
  <c r="E463" i="18"/>
  <c r="F463" i="18"/>
  <c r="G463" i="18"/>
  <c r="A464" i="18"/>
  <c r="E464" i="18"/>
  <c r="F464" i="18"/>
  <c r="G464" i="18"/>
  <c r="A465" i="18"/>
  <c r="E465" i="18"/>
  <c r="F465" i="18"/>
  <c r="G465" i="18"/>
  <c r="A466" i="18"/>
  <c r="E466" i="18"/>
  <c r="F466" i="18"/>
  <c r="G466" i="18"/>
  <c r="A467" i="18"/>
  <c r="E467" i="18"/>
  <c r="F467" i="18"/>
  <c r="G467" i="18"/>
  <c r="A468" i="18"/>
  <c r="E468" i="18"/>
  <c r="F468" i="18"/>
  <c r="G468" i="18"/>
  <c r="A469" i="18"/>
  <c r="E469" i="18"/>
  <c r="F469" i="18"/>
  <c r="G469" i="18"/>
  <c r="A470" i="18"/>
  <c r="E470" i="18"/>
  <c r="F470" i="18"/>
  <c r="G470" i="18"/>
  <c r="A471" i="18"/>
  <c r="E471" i="18"/>
  <c r="F471" i="18"/>
  <c r="G471" i="18"/>
  <c r="A472" i="18"/>
  <c r="E472" i="18"/>
  <c r="F472" i="18"/>
  <c r="G472" i="18"/>
  <c r="A473" i="18"/>
  <c r="E473" i="18"/>
  <c r="F473" i="18"/>
  <c r="G473" i="18"/>
  <c r="A474" i="18"/>
  <c r="E474" i="18"/>
  <c r="F474" i="18"/>
  <c r="G474" i="18"/>
  <c r="H474" i="18"/>
  <c r="A475" i="18"/>
  <c r="E475" i="18"/>
  <c r="F475" i="18"/>
  <c r="G475" i="18"/>
  <c r="A476" i="18"/>
  <c r="E476" i="18"/>
  <c r="F476" i="18"/>
  <c r="G476" i="18"/>
  <c r="A477" i="18"/>
  <c r="E477" i="18"/>
  <c r="F477" i="18"/>
  <c r="G477" i="18"/>
  <c r="A478" i="18"/>
  <c r="E478" i="18"/>
  <c r="F478" i="18"/>
  <c r="G478" i="18"/>
  <c r="A479" i="18"/>
  <c r="E479" i="18"/>
  <c r="F479" i="18"/>
  <c r="G479" i="18"/>
  <c r="A480" i="18"/>
  <c r="E480" i="18"/>
  <c r="F480" i="18"/>
  <c r="G480" i="18"/>
  <c r="A481" i="18"/>
  <c r="E481" i="18"/>
  <c r="F481" i="18"/>
  <c r="G481" i="18"/>
  <c r="A482" i="18"/>
  <c r="E482" i="18"/>
  <c r="F482" i="18"/>
  <c r="G482" i="18"/>
  <c r="A483" i="18"/>
  <c r="E483" i="18"/>
  <c r="F483" i="18"/>
  <c r="G483" i="18"/>
  <c r="A484" i="18"/>
  <c r="E484" i="18"/>
  <c r="F484" i="18"/>
  <c r="G484" i="18"/>
  <c r="A485" i="18"/>
  <c r="E485" i="18"/>
  <c r="F485" i="18"/>
  <c r="G485" i="18"/>
  <c r="A486" i="18"/>
  <c r="E486" i="18"/>
  <c r="F486" i="18"/>
  <c r="G486" i="18"/>
  <c r="H486" i="18"/>
  <c r="A487" i="18"/>
  <c r="E487" i="18"/>
  <c r="F487" i="18"/>
  <c r="G487" i="18"/>
  <c r="A488" i="18"/>
  <c r="E488" i="18"/>
  <c r="F488" i="18"/>
  <c r="G488" i="18"/>
  <c r="A489" i="18"/>
  <c r="E489" i="18"/>
  <c r="F489" i="18"/>
  <c r="G489" i="18"/>
  <c r="A490" i="18"/>
  <c r="E490" i="18"/>
  <c r="F490" i="18"/>
  <c r="G490" i="18"/>
  <c r="A491" i="18"/>
  <c r="E491" i="18"/>
  <c r="F491" i="18"/>
  <c r="G491" i="18"/>
  <c r="A492" i="18"/>
  <c r="E492" i="18"/>
  <c r="F492" i="18"/>
  <c r="G492" i="18"/>
  <c r="A493" i="18"/>
  <c r="E493" i="18"/>
  <c r="F493" i="18"/>
  <c r="G493" i="18"/>
  <c r="A494" i="18"/>
  <c r="E494" i="18"/>
  <c r="F494" i="18"/>
  <c r="G494" i="18"/>
  <c r="A495" i="18"/>
  <c r="E495" i="18"/>
  <c r="F495" i="18"/>
  <c r="G495" i="18"/>
  <c r="A496" i="18"/>
  <c r="E496" i="18"/>
  <c r="F496" i="18"/>
  <c r="G496" i="18"/>
  <c r="A497" i="18"/>
  <c r="E497" i="18"/>
  <c r="F497" i="18"/>
  <c r="G497" i="18"/>
  <c r="A498" i="18"/>
  <c r="E498" i="18"/>
  <c r="F498" i="18"/>
  <c r="G498" i="18"/>
  <c r="H498" i="18"/>
  <c r="A499" i="18"/>
  <c r="E499" i="18"/>
  <c r="F499" i="18"/>
  <c r="G499" i="18"/>
  <c r="A500" i="18"/>
  <c r="E500" i="18"/>
  <c r="F500" i="18"/>
  <c r="G500" i="18"/>
  <c r="A501" i="18"/>
  <c r="E501" i="18"/>
  <c r="F501" i="18"/>
  <c r="G501" i="18"/>
  <c r="A502" i="18"/>
  <c r="E502" i="18"/>
  <c r="F502" i="18"/>
  <c r="G502" i="18"/>
  <c r="A503" i="18"/>
  <c r="E503" i="18"/>
  <c r="F503" i="18"/>
  <c r="G503" i="18"/>
  <c r="A504" i="18"/>
  <c r="E504" i="18"/>
  <c r="F504" i="18"/>
  <c r="G504" i="18"/>
  <c r="A505" i="18"/>
  <c r="E505" i="18"/>
  <c r="F505" i="18"/>
  <c r="G505" i="18"/>
  <c r="A506" i="18"/>
  <c r="E506" i="18"/>
  <c r="F506" i="18"/>
  <c r="G506" i="18"/>
  <c r="A507" i="18"/>
  <c r="E507" i="18"/>
  <c r="F507" i="18"/>
  <c r="G507" i="18"/>
  <c r="A508" i="18"/>
  <c r="E508" i="18"/>
  <c r="F508" i="18"/>
  <c r="G508" i="18"/>
  <c r="A509" i="18"/>
  <c r="E509" i="18"/>
  <c r="F509" i="18"/>
  <c r="G509" i="18"/>
  <c r="A510" i="18"/>
  <c r="E510" i="18"/>
  <c r="F510" i="18"/>
  <c r="G510" i="18"/>
  <c r="H510" i="18"/>
  <c r="A511" i="18"/>
  <c r="E511" i="18"/>
  <c r="F511" i="18"/>
  <c r="G511" i="18"/>
  <c r="A512" i="18"/>
  <c r="E512" i="18"/>
  <c r="F512" i="18"/>
  <c r="G512" i="18"/>
  <c r="A513" i="18"/>
  <c r="E513" i="18"/>
  <c r="F513" i="18"/>
  <c r="G513" i="18"/>
  <c r="A514" i="18"/>
  <c r="E514" i="18"/>
  <c r="F514" i="18"/>
  <c r="G514" i="18"/>
  <c r="A515" i="18"/>
  <c r="E515" i="18"/>
  <c r="F515" i="18"/>
  <c r="G515" i="18"/>
  <c r="A516" i="18"/>
  <c r="E516" i="18"/>
  <c r="F516" i="18"/>
  <c r="G516" i="18"/>
  <c r="A517" i="18"/>
  <c r="E517" i="18"/>
  <c r="F517" i="18"/>
  <c r="G517" i="18"/>
  <c r="A518" i="18"/>
  <c r="E518" i="18"/>
  <c r="F518" i="18"/>
  <c r="G518" i="18"/>
  <c r="A519" i="18"/>
  <c r="E519" i="18"/>
  <c r="F519" i="18"/>
  <c r="G519" i="18"/>
  <c r="A520" i="18"/>
  <c r="E520" i="18"/>
  <c r="F520" i="18"/>
  <c r="G520" i="18"/>
  <c r="A521" i="18"/>
  <c r="E521" i="18"/>
  <c r="F521" i="18"/>
  <c r="G521" i="18"/>
  <c r="A522" i="18"/>
  <c r="E522" i="18"/>
  <c r="F522" i="18"/>
  <c r="G522" i="18"/>
  <c r="H522" i="18"/>
  <c r="A523" i="18"/>
  <c r="E523" i="18"/>
  <c r="F523" i="18"/>
  <c r="G523" i="18"/>
  <c r="A524" i="18"/>
  <c r="E524" i="18"/>
  <c r="F524" i="18"/>
  <c r="G524" i="18"/>
  <c r="A525" i="18"/>
  <c r="E525" i="18"/>
  <c r="F525" i="18"/>
  <c r="G525" i="18"/>
  <c r="A526" i="18"/>
  <c r="E526" i="18"/>
  <c r="F526" i="18"/>
  <c r="G526" i="18"/>
  <c r="A527" i="18"/>
  <c r="E527" i="18"/>
  <c r="F527" i="18"/>
  <c r="G527" i="18"/>
  <c r="A528" i="18"/>
  <c r="E528" i="18"/>
  <c r="F528" i="18"/>
  <c r="G528" i="18"/>
  <c r="A529" i="18"/>
  <c r="E529" i="18"/>
  <c r="F529" i="18"/>
  <c r="G529" i="18"/>
  <c r="A530" i="18"/>
  <c r="E530" i="18"/>
  <c r="F530" i="18"/>
  <c r="G530" i="18"/>
  <c r="A531" i="18"/>
  <c r="E531" i="18"/>
  <c r="F531" i="18"/>
  <c r="G531" i="18"/>
  <c r="A532" i="18"/>
  <c r="E532" i="18"/>
  <c r="F532" i="18"/>
  <c r="G532" i="18"/>
  <c r="A533" i="18"/>
  <c r="E533" i="18"/>
  <c r="F533" i="18"/>
  <c r="G533" i="18"/>
  <c r="A534" i="18"/>
  <c r="E534" i="18"/>
  <c r="F534" i="18"/>
  <c r="G534" i="18"/>
  <c r="H534" i="18"/>
  <c r="A535" i="18"/>
  <c r="E535" i="18"/>
  <c r="F535" i="18"/>
  <c r="G535" i="18"/>
  <c r="A536" i="18"/>
  <c r="E536" i="18"/>
  <c r="F536" i="18"/>
  <c r="G536" i="18"/>
  <c r="A537" i="18"/>
  <c r="E537" i="18"/>
  <c r="F537" i="18"/>
  <c r="G537" i="18"/>
  <c r="A538" i="18"/>
  <c r="E538" i="18"/>
  <c r="F538" i="18"/>
  <c r="G538" i="18"/>
  <c r="A539" i="18"/>
  <c r="E539" i="18"/>
  <c r="F539" i="18"/>
  <c r="G539" i="18"/>
  <c r="A540" i="18"/>
  <c r="E540" i="18"/>
  <c r="F540" i="18"/>
  <c r="G540" i="18"/>
  <c r="A541" i="18"/>
  <c r="E541" i="18"/>
  <c r="F541" i="18"/>
  <c r="G541" i="18"/>
  <c r="A542" i="18"/>
  <c r="E542" i="18"/>
  <c r="F542" i="18"/>
  <c r="G542" i="18"/>
  <c r="A543" i="18"/>
  <c r="E543" i="18"/>
  <c r="F543" i="18"/>
  <c r="G543" i="18"/>
  <c r="A544" i="18"/>
  <c r="E544" i="18"/>
  <c r="F544" i="18"/>
  <c r="G544" i="18"/>
  <c r="A545" i="18"/>
  <c r="E545" i="18"/>
  <c r="F545" i="18"/>
  <c r="G545" i="18"/>
  <c r="A546" i="18"/>
  <c r="E546" i="18"/>
  <c r="F546" i="18"/>
  <c r="G546" i="18"/>
  <c r="H546" i="18"/>
  <c r="A547" i="18"/>
  <c r="E547" i="18"/>
  <c r="F547" i="18"/>
  <c r="G547" i="18"/>
  <c r="A548" i="18"/>
  <c r="E548" i="18"/>
  <c r="F548" i="18"/>
  <c r="G548" i="18"/>
  <c r="A549" i="18"/>
  <c r="E549" i="18"/>
  <c r="F549" i="18"/>
  <c r="G549" i="18"/>
  <c r="A550" i="18"/>
  <c r="E550" i="18"/>
  <c r="F550" i="18"/>
  <c r="G550" i="18"/>
  <c r="A551" i="18"/>
  <c r="E551" i="18"/>
  <c r="F551" i="18"/>
  <c r="G551" i="18"/>
  <c r="A552" i="18"/>
  <c r="E552" i="18"/>
  <c r="F552" i="18"/>
  <c r="G552" i="18"/>
  <c r="A553" i="18"/>
  <c r="E553" i="18"/>
  <c r="F553" i="18"/>
  <c r="G553" i="18"/>
  <c r="A554" i="18"/>
  <c r="E554" i="18"/>
  <c r="F554" i="18"/>
  <c r="G554" i="18"/>
  <c r="A555" i="18"/>
  <c r="E555" i="18"/>
  <c r="F555" i="18"/>
  <c r="G555" i="18"/>
  <c r="A556" i="18"/>
  <c r="E556" i="18"/>
  <c r="F556" i="18"/>
  <c r="G556" i="18"/>
  <c r="A557" i="18"/>
  <c r="E557" i="18"/>
  <c r="F557" i="18"/>
  <c r="G557" i="18"/>
  <c r="A558" i="18"/>
  <c r="E558" i="18"/>
  <c r="F558" i="18"/>
  <c r="G558" i="18"/>
  <c r="H558" i="18"/>
  <c r="A559" i="18"/>
  <c r="E559" i="18"/>
  <c r="F559" i="18"/>
  <c r="G559" i="18"/>
  <c r="A560" i="18"/>
  <c r="E560" i="18"/>
  <c r="F560" i="18"/>
  <c r="G560" i="18"/>
  <c r="A561" i="18"/>
  <c r="E561" i="18"/>
  <c r="F561" i="18"/>
  <c r="G561" i="18"/>
  <c r="A562" i="18"/>
  <c r="E562" i="18"/>
  <c r="F562" i="18"/>
  <c r="G562" i="18"/>
  <c r="A563" i="18"/>
  <c r="E563" i="18"/>
  <c r="F563" i="18"/>
  <c r="G563" i="18"/>
  <c r="A564" i="18"/>
  <c r="E564" i="18"/>
  <c r="F564" i="18"/>
  <c r="G564" i="18"/>
  <c r="A565" i="18"/>
  <c r="E565" i="18"/>
  <c r="F565" i="18"/>
  <c r="G565" i="18"/>
  <c r="A566" i="18"/>
  <c r="E566" i="18"/>
  <c r="F566" i="18"/>
  <c r="G566" i="18"/>
  <c r="A567" i="18"/>
  <c r="E567" i="18"/>
  <c r="F567" i="18"/>
  <c r="G567" i="18"/>
  <c r="A568" i="18"/>
  <c r="E568" i="18"/>
  <c r="F568" i="18"/>
  <c r="G568" i="18"/>
  <c r="A569" i="18"/>
  <c r="E569" i="18"/>
  <c r="F569" i="18"/>
  <c r="G569" i="18"/>
  <c r="A570" i="18"/>
  <c r="E570" i="18"/>
  <c r="F570" i="18"/>
  <c r="G570" i="18"/>
  <c r="H570" i="18"/>
  <c r="A571" i="18"/>
  <c r="E571" i="18"/>
  <c r="F571" i="18"/>
  <c r="G571" i="18"/>
  <c r="A572" i="18"/>
  <c r="E572" i="18"/>
  <c r="F572" i="18"/>
  <c r="G572" i="18"/>
  <c r="A573" i="18"/>
  <c r="E573" i="18"/>
  <c r="F573" i="18"/>
  <c r="G573" i="18"/>
  <c r="A574" i="18"/>
  <c r="E574" i="18"/>
  <c r="F574" i="18"/>
  <c r="G574" i="18"/>
  <c r="A575" i="18"/>
  <c r="E575" i="18"/>
  <c r="F575" i="18"/>
  <c r="G575" i="18"/>
  <c r="A576" i="18"/>
  <c r="E576" i="18"/>
  <c r="F576" i="18"/>
  <c r="G576" i="18"/>
  <c r="A577" i="18"/>
  <c r="E577" i="18"/>
  <c r="F577" i="18"/>
  <c r="G577" i="18"/>
  <c r="A578" i="18"/>
  <c r="E578" i="18"/>
  <c r="F578" i="18"/>
  <c r="G578" i="18"/>
  <c r="A579" i="18"/>
  <c r="E579" i="18"/>
  <c r="F579" i="18"/>
  <c r="G579" i="18"/>
  <c r="A580" i="18"/>
  <c r="E580" i="18"/>
  <c r="F580" i="18"/>
  <c r="G580" i="18"/>
  <c r="A581" i="18"/>
  <c r="E581" i="18"/>
  <c r="F581" i="18"/>
  <c r="G581" i="18"/>
  <c r="A582" i="18"/>
  <c r="E582" i="18"/>
  <c r="F582" i="18"/>
  <c r="G582" i="18"/>
  <c r="H582" i="18"/>
  <c r="A583" i="18"/>
  <c r="E583" i="18"/>
  <c r="F583" i="18"/>
  <c r="G583" i="18"/>
  <c r="A584" i="18"/>
  <c r="E584" i="18"/>
  <c r="F584" i="18"/>
  <c r="G584" i="18"/>
  <c r="A585" i="18"/>
  <c r="E585" i="18"/>
  <c r="F585" i="18"/>
  <c r="G585" i="18"/>
  <c r="A586" i="18"/>
  <c r="E586" i="18"/>
  <c r="F586" i="18"/>
  <c r="G586" i="18"/>
  <c r="A587" i="18"/>
  <c r="E587" i="18"/>
  <c r="F587" i="18"/>
  <c r="G587" i="18"/>
  <c r="A588" i="18"/>
  <c r="E588" i="18"/>
  <c r="F588" i="18"/>
  <c r="G588" i="18"/>
  <c r="A589" i="18"/>
  <c r="E589" i="18"/>
  <c r="F589" i="18"/>
  <c r="G589" i="18"/>
  <c r="A590" i="18"/>
  <c r="E590" i="18"/>
  <c r="F590" i="18"/>
  <c r="G590" i="18"/>
  <c r="A591" i="18"/>
  <c r="E591" i="18"/>
  <c r="F591" i="18"/>
  <c r="G591" i="18"/>
  <c r="A592" i="18"/>
  <c r="E592" i="18"/>
  <c r="F592" i="18"/>
  <c r="G592" i="18"/>
  <c r="A593" i="18"/>
  <c r="E593" i="18"/>
  <c r="F593" i="18"/>
  <c r="G593" i="18"/>
  <c r="A594" i="18"/>
  <c r="E594" i="18"/>
  <c r="F594" i="18"/>
  <c r="G594" i="18"/>
  <c r="H594" i="18"/>
  <c r="A595" i="18"/>
  <c r="E595" i="18"/>
  <c r="F595" i="18"/>
  <c r="G595" i="18"/>
  <c r="A596" i="18"/>
  <c r="E596" i="18"/>
  <c r="F596" i="18"/>
  <c r="G596" i="18"/>
  <c r="A597" i="18"/>
  <c r="E597" i="18"/>
  <c r="F597" i="18"/>
  <c r="G597" i="18"/>
  <c r="A598" i="18"/>
  <c r="E598" i="18"/>
  <c r="F598" i="18"/>
  <c r="G598" i="18"/>
  <c r="A599" i="18"/>
  <c r="E599" i="18"/>
  <c r="F599" i="18"/>
  <c r="G599" i="18"/>
  <c r="A600" i="18"/>
  <c r="E600" i="18"/>
  <c r="F600" i="18"/>
  <c r="G600" i="18"/>
  <c r="A601" i="18"/>
  <c r="E601" i="18"/>
  <c r="F601" i="18"/>
  <c r="G601" i="18"/>
  <c r="A602" i="18"/>
  <c r="E602" i="18"/>
  <c r="F602" i="18"/>
  <c r="G602" i="18"/>
  <c r="A603" i="18"/>
  <c r="E603" i="18"/>
  <c r="F603" i="18"/>
  <c r="G603" i="18"/>
  <c r="A604" i="18"/>
  <c r="E604" i="18"/>
  <c r="F604" i="18"/>
  <c r="G604" i="18"/>
  <c r="A605" i="18"/>
  <c r="E605" i="18"/>
  <c r="F605" i="18"/>
  <c r="G605" i="18"/>
  <c r="A606" i="18"/>
  <c r="E606" i="18"/>
  <c r="F606" i="18"/>
  <c r="G606" i="18"/>
  <c r="H606" i="18"/>
  <c r="A607" i="18"/>
  <c r="E607" i="18"/>
  <c r="F607" i="18"/>
  <c r="G607" i="18"/>
  <c r="A608" i="18"/>
  <c r="E608" i="18"/>
  <c r="F608" i="18"/>
  <c r="G608" i="18"/>
  <c r="A609" i="18"/>
  <c r="E609" i="18"/>
  <c r="F609" i="18"/>
  <c r="G609" i="18"/>
  <c r="A610" i="18"/>
  <c r="E610" i="18"/>
  <c r="F610" i="18"/>
  <c r="G610" i="18"/>
  <c r="A611" i="18"/>
  <c r="E611" i="18"/>
  <c r="F611" i="18"/>
  <c r="G611" i="18"/>
  <c r="A612" i="18"/>
  <c r="E612" i="18"/>
  <c r="F612" i="18"/>
  <c r="G612" i="18"/>
  <c r="A613" i="18"/>
  <c r="E613" i="18"/>
  <c r="F613" i="18"/>
  <c r="G613" i="18"/>
  <c r="A614" i="18"/>
  <c r="E614" i="18"/>
  <c r="F614" i="18"/>
  <c r="G614" i="18"/>
  <c r="A615" i="18"/>
  <c r="E615" i="18"/>
  <c r="F615" i="18"/>
  <c r="G615" i="18"/>
  <c r="A616" i="18"/>
  <c r="E616" i="18"/>
  <c r="F616" i="18"/>
  <c r="G616" i="18"/>
  <c r="A617" i="18"/>
  <c r="E617" i="18"/>
  <c r="F617" i="18"/>
  <c r="G617" i="18"/>
  <c r="A618" i="18"/>
  <c r="E618" i="18"/>
  <c r="F618" i="18"/>
  <c r="G618" i="18"/>
  <c r="H618" i="18"/>
  <c r="A619" i="18"/>
  <c r="E619" i="18"/>
  <c r="F619" i="18"/>
  <c r="G619" i="18"/>
  <c r="A620" i="18"/>
  <c r="E620" i="18"/>
  <c r="F620" i="18"/>
  <c r="G620" i="18"/>
  <c r="A621" i="18"/>
  <c r="E621" i="18"/>
  <c r="F621" i="18"/>
  <c r="G621" i="18"/>
  <c r="A622" i="18"/>
  <c r="E622" i="18"/>
  <c r="F622" i="18"/>
  <c r="G622" i="18"/>
  <c r="A623" i="18"/>
  <c r="E623" i="18"/>
  <c r="F623" i="18"/>
  <c r="G623" i="18"/>
  <c r="A624" i="18"/>
  <c r="E624" i="18"/>
  <c r="F624" i="18"/>
  <c r="G624" i="18"/>
  <c r="A625" i="18"/>
  <c r="E625" i="18"/>
  <c r="F625" i="18"/>
  <c r="G625" i="18"/>
  <c r="A626" i="18"/>
  <c r="E626" i="18"/>
  <c r="F626" i="18"/>
  <c r="G626" i="18"/>
  <c r="A627" i="18"/>
  <c r="E627" i="18"/>
  <c r="F627" i="18"/>
  <c r="G627" i="18"/>
  <c r="A628" i="18"/>
  <c r="E628" i="18"/>
  <c r="F628" i="18"/>
  <c r="G628" i="18"/>
  <c r="A629" i="18"/>
  <c r="E629" i="18"/>
  <c r="F629" i="18"/>
  <c r="G629" i="18"/>
  <c r="A630" i="18"/>
  <c r="E630" i="18"/>
  <c r="F630" i="18"/>
  <c r="G630" i="18"/>
  <c r="H630" i="18"/>
  <c r="A631" i="18"/>
  <c r="E631" i="18"/>
  <c r="F631" i="18"/>
  <c r="G631" i="18"/>
  <c r="A632" i="18"/>
  <c r="E632" i="18"/>
  <c r="F632" i="18"/>
  <c r="G632" i="18"/>
  <c r="A633" i="18"/>
  <c r="E633" i="18"/>
  <c r="F633" i="18"/>
  <c r="G633" i="18"/>
  <c r="A634" i="18"/>
  <c r="E634" i="18"/>
  <c r="F634" i="18"/>
  <c r="G634" i="18"/>
  <c r="A635" i="18"/>
  <c r="E635" i="18"/>
  <c r="F635" i="18"/>
  <c r="G635" i="18"/>
  <c r="A636" i="18"/>
  <c r="E636" i="18"/>
  <c r="F636" i="18"/>
  <c r="G636" i="18"/>
  <c r="A637" i="18"/>
  <c r="E637" i="18"/>
  <c r="F637" i="18"/>
  <c r="G637" i="18"/>
  <c r="A638" i="18"/>
  <c r="E638" i="18"/>
  <c r="F638" i="18"/>
  <c r="G638" i="18"/>
  <c r="A639" i="18"/>
  <c r="E639" i="18"/>
  <c r="F639" i="18"/>
  <c r="G639" i="18"/>
  <c r="A640" i="18"/>
  <c r="E640" i="18"/>
  <c r="F640" i="18"/>
  <c r="G640" i="18"/>
  <c r="A641" i="18"/>
  <c r="E641" i="18"/>
  <c r="F641" i="18"/>
  <c r="G641" i="18"/>
  <c r="A642" i="18"/>
  <c r="E642" i="18"/>
  <c r="F642" i="18"/>
  <c r="G642" i="18"/>
  <c r="H642" i="18"/>
  <c r="A643" i="18"/>
  <c r="E643" i="18"/>
  <c r="F643" i="18"/>
  <c r="G643" i="18"/>
  <c r="A644" i="18"/>
  <c r="E644" i="18"/>
  <c r="F644" i="18"/>
  <c r="G644" i="18"/>
  <c r="A645" i="18"/>
  <c r="E645" i="18"/>
  <c r="F645" i="18"/>
  <c r="G645" i="18"/>
  <c r="A646" i="18"/>
  <c r="E646" i="18"/>
  <c r="F646" i="18"/>
  <c r="G646" i="18"/>
  <c r="A647" i="18"/>
  <c r="E647" i="18"/>
  <c r="F647" i="18"/>
  <c r="G647" i="18"/>
  <c r="A648" i="18"/>
  <c r="E648" i="18"/>
  <c r="F648" i="18"/>
  <c r="G648" i="18"/>
  <c r="A649" i="18"/>
  <c r="E649" i="18"/>
  <c r="F649" i="18"/>
  <c r="G649" i="18"/>
  <c r="A650" i="18"/>
  <c r="E650" i="18"/>
  <c r="F650" i="18"/>
  <c r="G650" i="18"/>
  <c r="A651" i="18"/>
  <c r="E651" i="18"/>
  <c r="F651" i="18"/>
  <c r="G651" i="18"/>
  <c r="A652" i="18"/>
  <c r="E652" i="18"/>
  <c r="F652" i="18"/>
  <c r="G652" i="18"/>
  <c r="A653" i="18"/>
  <c r="E653" i="18"/>
  <c r="F653" i="18"/>
  <c r="G653" i="18"/>
  <c r="A654" i="18"/>
  <c r="E654" i="18"/>
  <c r="F654" i="18"/>
  <c r="G654" i="18"/>
  <c r="H654" i="18"/>
  <c r="A655" i="18"/>
  <c r="E655" i="18"/>
  <c r="F655" i="18"/>
  <c r="G655" i="18"/>
  <c r="A656" i="18"/>
  <c r="E656" i="18"/>
  <c r="F656" i="18"/>
  <c r="G656" i="18"/>
  <c r="A657" i="18"/>
  <c r="E657" i="18"/>
  <c r="F657" i="18"/>
  <c r="G657" i="18"/>
  <c r="A658" i="18"/>
  <c r="E658" i="18"/>
  <c r="F658" i="18"/>
  <c r="G658" i="18"/>
  <c r="A659" i="18"/>
  <c r="E659" i="18"/>
  <c r="F659" i="18"/>
  <c r="G659" i="18"/>
  <c r="A660" i="18"/>
  <c r="E660" i="18"/>
  <c r="F660" i="18"/>
  <c r="G660" i="18"/>
  <c r="A661" i="18"/>
  <c r="E661" i="18"/>
  <c r="F661" i="18"/>
  <c r="G661" i="18"/>
  <c r="A662" i="18"/>
  <c r="E662" i="18"/>
  <c r="F662" i="18"/>
  <c r="G662" i="18"/>
  <c r="A663" i="18"/>
  <c r="E663" i="18"/>
  <c r="F663" i="18"/>
  <c r="G663" i="18"/>
  <c r="A664" i="18"/>
  <c r="E664" i="18"/>
  <c r="F664" i="18"/>
  <c r="G664" i="18"/>
  <c r="A665" i="18"/>
  <c r="E665" i="18"/>
  <c r="F665" i="18"/>
  <c r="G665" i="18"/>
  <c r="A666" i="18"/>
  <c r="E666" i="18"/>
  <c r="F666" i="18"/>
  <c r="G666" i="18"/>
  <c r="H666" i="18"/>
  <c r="A667" i="18"/>
  <c r="E667" i="18"/>
  <c r="F667" i="18"/>
  <c r="G667" i="18"/>
  <c r="A668" i="18"/>
  <c r="E668" i="18"/>
  <c r="F668" i="18"/>
  <c r="G668" i="18"/>
  <c r="A669" i="18"/>
  <c r="E669" i="18"/>
  <c r="F669" i="18"/>
  <c r="G669" i="18"/>
  <c r="A670" i="18"/>
  <c r="E670" i="18"/>
  <c r="F670" i="18"/>
  <c r="G670" i="18"/>
  <c r="A671" i="18"/>
  <c r="E671" i="18"/>
  <c r="F671" i="18"/>
  <c r="G671" i="18"/>
  <c r="A672" i="18"/>
  <c r="E672" i="18"/>
  <c r="F672" i="18"/>
  <c r="G672" i="18"/>
  <c r="A673" i="18"/>
  <c r="E673" i="18"/>
  <c r="F673" i="18"/>
  <c r="G673" i="18"/>
  <c r="A674" i="18"/>
  <c r="E674" i="18"/>
  <c r="F674" i="18"/>
  <c r="G674" i="18"/>
  <c r="A675" i="18"/>
  <c r="E675" i="18"/>
  <c r="F675" i="18"/>
  <c r="G675" i="18"/>
  <c r="A676" i="18"/>
  <c r="E676" i="18"/>
  <c r="F676" i="18"/>
  <c r="G676" i="18"/>
  <c r="A677" i="18"/>
  <c r="E677" i="18"/>
  <c r="F677" i="18"/>
  <c r="G677" i="18"/>
  <c r="A678" i="18"/>
  <c r="E678" i="18"/>
  <c r="F678" i="18"/>
  <c r="G678" i="18"/>
  <c r="H678" i="18"/>
  <c r="A679" i="18"/>
  <c r="E679" i="18"/>
  <c r="F679" i="18"/>
  <c r="G679" i="18"/>
  <c r="A680" i="18"/>
  <c r="E680" i="18"/>
  <c r="F680" i="18"/>
  <c r="G680" i="18"/>
  <c r="A681" i="18"/>
  <c r="E681" i="18"/>
  <c r="F681" i="18"/>
  <c r="G681" i="18"/>
  <c r="A682" i="18"/>
  <c r="E682" i="18"/>
  <c r="F682" i="18"/>
  <c r="G682" i="18"/>
  <c r="A683" i="18"/>
  <c r="E683" i="18"/>
  <c r="F683" i="18"/>
  <c r="G683" i="18"/>
  <c r="A684" i="18"/>
  <c r="E684" i="18"/>
  <c r="F684" i="18"/>
  <c r="G684" i="18"/>
  <c r="A685" i="18"/>
  <c r="E685" i="18"/>
  <c r="F685" i="18"/>
  <c r="G685" i="18"/>
  <c r="A686" i="18"/>
  <c r="E686" i="18"/>
  <c r="F686" i="18"/>
  <c r="G686" i="18"/>
  <c r="A687" i="18"/>
  <c r="E687" i="18"/>
  <c r="F687" i="18"/>
  <c r="G687" i="18"/>
  <c r="A688" i="18"/>
  <c r="E688" i="18"/>
  <c r="F688" i="18"/>
  <c r="G688" i="18"/>
  <c r="A689" i="18"/>
  <c r="E689" i="18"/>
  <c r="F689" i="18"/>
  <c r="G689" i="18"/>
  <c r="A690" i="18"/>
  <c r="E690" i="18"/>
  <c r="F690" i="18"/>
  <c r="G690" i="18"/>
  <c r="H690" i="18"/>
  <c r="A691" i="18"/>
  <c r="E691" i="18"/>
  <c r="F691" i="18"/>
  <c r="G691" i="18"/>
  <c r="A692" i="18"/>
  <c r="E692" i="18"/>
  <c r="F692" i="18"/>
  <c r="G692" i="18"/>
  <c r="A693" i="18"/>
  <c r="E693" i="18"/>
  <c r="F693" i="18"/>
  <c r="G693" i="18"/>
  <c r="A694" i="18"/>
  <c r="E694" i="18"/>
  <c r="F694" i="18"/>
  <c r="G694" i="18"/>
  <c r="A695" i="18"/>
  <c r="E695" i="18"/>
  <c r="F695" i="18"/>
  <c r="G695" i="18"/>
  <c r="A696" i="18"/>
  <c r="E696" i="18"/>
  <c r="F696" i="18"/>
  <c r="G696" i="18"/>
  <c r="A697" i="18"/>
  <c r="E697" i="18"/>
  <c r="F697" i="18"/>
  <c r="G697" i="18"/>
  <c r="A698" i="18"/>
  <c r="E698" i="18"/>
  <c r="F698" i="18"/>
  <c r="G698" i="18"/>
  <c r="A699" i="18"/>
  <c r="E699" i="18"/>
  <c r="F699" i="18"/>
  <c r="G699" i="18"/>
  <c r="A700" i="18"/>
  <c r="E700" i="18"/>
  <c r="F700" i="18"/>
  <c r="G700" i="18"/>
  <c r="A701" i="18"/>
  <c r="E701" i="18"/>
  <c r="F701" i="18"/>
  <c r="G701" i="18"/>
  <c r="A702" i="18"/>
  <c r="E702" i="18"/>
  <c r="F702" i="18"/>
  <c r="G702" i="18"/>
  <c r="H702" i="18"/>
  <c r="A703" i="18"/>
  <c r="E703" i="18"/>
  <c r="F703" i="18"/>
  <c r="G703" i="18"/>
  <c r="A704" i="18"/>
  <c r="E704" i="18"/>
  <c r="F704" i="18"/>
  <c r="G704" i="18"/>
  <c r="A705" i="18"/>
  <c r="E705" i="18"/>
  <c r="F705" i="18"/>
  <c r="G705" i="18"/>
  <c r="A706" i="18"/>
  <c r="E706" i="18"/>
  <c r="F706" i="18"/>
  <c r="G706" i="18"/>
  <c r="A707" i="18"/>
  <c r="E707" i="18"/>
  <c r="F707" i="18"/>
  <c r="G707" i="18"/>
  <c r="A708" i="18"/>
  <c r="E708" i="18"/>
  <c r="F708" i="18"/>
  <c r="G708" i="18"/>
  <c r="A709" i="18"/>
  <c r="E709" i="18"/>
  <c r="F709" i="18"/>
  <c r="G709" i="18"/>
  <c r="A710" i="18"/>
  <c r="E710" i="18"/>
  <c r="F710" i="18"/>
  <c r="G710" i="18"/>
  <c r="A711" i="18"/>
  <c r="E711" i="18"/>
  <c r="F711" i="18"/>
  <c r="G711" i="18"/>
  <c r="A712" i="18"/>
  <c r="E712" i="18"/>
  <c r="F712" i="18"/>
  <c r="G712" i="18"/>
  <c r="A713" i="18"/>
  <c r="E713" i="18"/>
  <c r="F713" i="18"/>
  <c r="G713" i="18"/>
  <c r="A714" i="18"/>
  <c r="E714" i="18"/>
  <c r="F714" i="18"/>
  <c r="G714" i="18"/>
  <c r="H714" i="18"/>
  <c r="A715" i="18"/>
  <c r="E715" i="18"/>
  <c r="F715" i="18"/>
  <c r="G715" i="18"/>
  <c r="A716" i="18"/>
  <c r="E716" i="18"/>
  <c r="F716" i="18"/>
  <c r="G716" i="18"/>
  <c r="A717" i="18"/>
  <c r="E717" i="18"/>
  <c r="F717" i="18"/>
  <c r="G717" i="18"/>
  <c r="A718" i="18"/>
  <c r="E718" i="18"/>
  <c r="F718" i="18"/>
  <c r="G718" i="18"/>
  <c r="A719" i="18"/>
  <c r="E719" i="18"/>
  <c r="F719" i="18"/>
  <c r="G719" i="18"/>
  <c r="A720" i="18"/>
  <c r="E720" i="18"/>
  <c r="F720" i="18"/>
  <c r="G720" i="18"/>
  <c r="A721" i="18"/>
  <c r="E721" i="18"/>
  <c r="F721" i="18"/>
  <c r="G721" i="18"/>
  <c r="A722" i="18"/>
  <c r="E722" i="18"/>
  <c r="F722" i="18"/>
  <c r="G722" i="18"/>
  <c r="A723" i="18"/>
  <c r="E723" i="18"/>
  <c r="F723" i="18"/>
  <c r="G723" i="18"/>
  <c r="A724" i="18"/>
  <c r="E724" i="18"/>
  <c r="F724" i="18"/>
  <c r="G724" i="18"/>
  <c r="A725" i="18"/>
  <c r="E725" i="18"/>
  <c r="F725" i="18"/>
  <c r="G725" i="18"/>
  <c r="A726" i="18"/>
  <c r="E726" i="18"/>
  <c r="F726" i="18"/>
  <c r="G726" i="18"/>
  <c r="H726" i="18"/>
  <c r="A727" i="18"/>
  <c r="E727" i="18"/>
  <c r="F727" i="18"/>
  <c r="G727" i="18"/>
  <c r="A728" i="18"/>
  <c r="E728" i="18"/>
  <c r="F728" i="18"/>
  <c r="G728" i="18"/>
  <c r="A729" i="18"/>
  <c r="E729" i="18"/>
  <c r="F729" i="18"/>
  <c r="G729" i="18"/>
  <c r="A730" i="18"/>
  <c r="E730" i="18"/>
  <c r="F730" i="18"/>
  <c r="G730" i="18"/>
  <c r="A731" i="18"/>
  <c r="E731" i="18"/>
  <c r="F731" i="18"/>
  <c r="G731" i="18"/>
  <c r="A732" i="18"/>
  <c r="E732" i="18"/>
  <c r="F732" i="18"/>
  <c r="G732" i="18"/>
  <c r="A733" i="18"/>
  <c r="E733" i="18"/>
  <c r="F733" i="18"/>
  <c r="G733" i="18"/>
  <c r="A734" i="18"/>
  <c r="E734" i="18"/>
  <c r="F734" i="18"/>
  <c r="G734" i="18"/>
  <c r="A735" i="18"/>
  <c r="E735" i="18"/>
  <c r="F735" i="18"/>
  <c r="G735" i="18"/>
  <c r="A736" i="18"/>
  <c r="E736" i="18"/>
  <c r="F736" i="18"/>
  <c r="G736" i="18"/>
  <c r="A737" i="18"/>
  <c r="E737" i="18"/>
  <c r="F737" i="18"/>
  <c r="G737" i="18"/>
  <c r="A738" i="18"/>
  <c r="E738" i="18"/>
  <c r="F738" i="18"/>
  <c r="G738" i="18"/>
  <c r="H738" i="18"/>
  <c r="A739" i="18"/>
  <c r="E739" i="18"/>
  <c r="F739" i="18"/>
  <c r="G739" i="18"/>
  <c r="A740" i="18"/>
  <c r="E740" i="18"/>
  <c r="F740" i="18"/>
  <c r="G740" i="18"/>
  <c r="A741" i="18"/>
  <c r="E741" i="18"/>
  <c r="F741" i="18"/>
  <c r="G741" i="18"/>
  <c r="A742" i="18"/>
  <c r="E742" i="18"/>
  <c r="F742" i="18"/>
  <c r="G742" i="18"/>
  <c r="A743" i="18"/>
  <c r="E743" i="18"/>
  <c r="F743" i="18"/>
  <c r="G743" i="18"/>
  <c r="A744" i="18"/>
  <c r="E744" i="18"/>
  <c r="F744" i="18"/>
  <c r="G744" i="18"/>
  <c r="A745" i="18"/>
  <c r="E745" i="18"/>
  <c r="F745" i="18"/>
  <c r="G745" i="18"/>
  <c r="A746" i="18"/>
  <c r="E746" i="18"/>
  <c r="F746" i="18"/>
  <c r="G746" i="18"/>
  <c r="A747" i="18"/>
  <c r="E747" i="18"/>
  <c r="F747" i="18"/>
  <c r="G747" i="18"/>
  <c r="A748" i="18"/>
  <c r="E748" i="18"/>
  <c r="F748" i="18"/>
  <c r="G748" i="18"/>
  <c r="A749" i="18"/>
  <c r="E749" i="18"/>
  <c r="F749" i="18"/>
  <c r="G749" i="18"/>
  <c r="A750" i="18"/>
  <c r="E750" i="18"/>
  <c r="F750" i="18"/>
  <c r="G750" i="18"/>
  <c r="H750" i="18"/>
  <c r="A751" i="18"/>
  <c r="E751" i="18"/>
  <c r="F751" i="18"/>
  <c r="G751" i="18"/>
  <c r="A752" i="18"/>
  <c r="E752" i="18"/>
  <c r="F752" i="18"/>
  <c r="G752" i="18"/>
  <c r="A753" i="18"/>
  <c r="E753" i="18"/>
  <c r="F753" i="18"/>
  <c r="G753" i="18"/>
  <c r="A754" i="18"/>
  <c r="E754" i="18"/>
  <c r="F754" i="18"/>
  <c r="G754" i="18"/>
  <c r="A755" i="18"/>
  <c r="E755" i="18"/>
  <c r="F755" i="18"/>
  <c r="G755" i="18"/>
  <c r="A756" i="18"/>
  <c r="E756" i="18"/>
  <c r="F756" i="18"/>
  <c r="G756" i="18"/>
  <c r="A757" i="18"/>
  <c r="E757" i="18"/>
  <c r="F757" i="18"/>
  <c r="G757" i="18"/>
  <c r="A758" i="18"/>
  <c r="E758" i="18"/>
  <c r="F758" i="18"/>
  <c r="G758" i="18"/>
  <c r="A759" i="18"/>
  <c r="E759" i="18"/>
  <c r="F759" i="18"/>
  <c r="G759" i="18"/>
  <c r="A760" i="18"/>
  <c r="E760" i="18"/>
  <c r="F760" i="18"/>
  <c r="G760" i="18"/>
  <c r="A761" i="18"/>
  <c r="E761" i="18"/>
  <c r="F761" i="18"/>
  <c r="G761" i="18"/>
  <c r="A762" i="18"/>
  <c r="E762" i="18"/>
  <c r="F762" i="18"/>
  <c r="G762" i="18"/>
  <c r="H762" i="18"/>
  <c r="A763" i="18"/>
  <c r="E763" i="18"/>
  <c r="F763" i="18"/>
  <c r="G763" i="18"/>
  <c r="A764" i="18"/>
  <c r="E764" i="18"/>
  <c r="F764" i="18"/>
  <c r="G764" i="18"/>
  <c r="A765" i="18"/>
  <c r="E765" i="18"/>
  <c r="F765" i="18"/>
  <c r="G765" i="18"/>
  <c r="A766" i="18"/>
  <c r="E766" i="18"/>
  <c r="F766" i="18"/>
  <c r="G766" i="18"/>
  <c r="A767" i="18"/>
  <c r="E767" i="18"/>
  <c r="F767" i="18"/>
  <c r="G767" i="18"/>
  <c r="A768" i="18"/>
  <c r="E768" i="18"/>
  <c r="F768" i="18"/>
  <c r="G768" i="18"/>
  <c r="A769" i="18"/>
  <c r="E769" i="18"/>
  <c r="F769" i="18"/>
  <c r="G769" i="18"/>
  <c r="A770" i="18"/>
  <c r="E770" i="18"/>
  <c r="F770" i="18"/>
  <c r="G770" i="18"/>
  <c r="A771" i="18"/>
  <c r="E771" i="18"/>
  <c r="F771" i="18"/>
  <c r="G771" i="18"/>
  <c r="A772" i="18"/>
  <c r="E772" i="18"/>
  <c r="F772" i="18"/>
  <c r="G772" i="18"/>
  <c r="A773" i="18"/>
  <c r="E773" i="18"/>
  <c r="F773" i="18"/>
  <c r="G773" i="18"/>
  <c r="A774" i="18"/>
  <c r="E774" i="18"/>
  <c r="F774" i="18"/>
  <c r="G774" i="18"/>
  <c r="H774" i="18"/>
  <c r="E2" i="11403"/>
  <c r="F2" i="11403"/>
  <c r="G2" i="11403"/>
  <c r="H2" i="11403"/>
  <c r="I2" i="11403"/>
  <c r="J2" i="11403"/>
  <c r="K2" i="11403"/>
  <c r="L2" i="11403"/>
  <c r="M2" i="11403"/>
  <c r="N2" i="11403"/>
  <c r="O2" i="11403"/>
  <c r="P2" i="11403"/>
  <c r="Q2" i="11403"/>
  <c r="R2" i="11403"/>
  <c r="S2" i="11403"/>
  <c r="T2" i="11403"/>
  <c r="U2" i="11403"/>
  <c r="V2" i="11403"/>
  <c r="W2" i="11403"/>
  <c r="X2" i="11403"/>
  <c r="Y2" i="11403"/>
  <c r="Z2" i="11403"/>
  <c r="AA2" i="11403"/>
  <c r="L6" i="11403"/>
  <c r="M6" i="11403"/>
  <c r="V6" i="11403"/>
  <c r="W6" i="11403"/>
  <c r="AB6" i="11403"/>
  <c r="BA6" i="11403"/>
  <c r="BB6" i="11403"/>
  <c r="BC6" i="11403"/>
  <c r="BD6" i="11403"/>
  <c r="BE6" i="11403"/>
  <c r="BF6" i="11403"/>
  <c r="BG6" i="11403"/>
  <c r="BH6" i="11403"/>
  <c r="BI6" i="11403"/>
  <c r="BJ6" i="11403"/>
  <c r="BK6" i="11403"/>
  <c r="BL6" i="11403"/>
  <c r="BM6" i="11403"/>
  <c r="L7" i="11403"/>
  <c r="M7" i="11403"/>
  <c r="V7" i="11403"/>
  <c r="W7" i="11403"/>
  <c r="AB7" i="11403"/>
  <c r="BA7" i="11403"/>
  <c r="BB7" i="11403"/>
  <c r="BC7" i="11403"/>
  <c r="BD7" i="11403"/>
  <c r="BE7" i="11403"/>
  <c r="BF7" i="11403"/>
  <c r="BG7" i="11403"/>
  <c r="BH7" i="11403"/>
  <c r="BI7" i="11403"/>
  <c r="BJ7" i="11403"/>
  <c r="BK7" i="11403"/>
  <c r="BL7" i="11403"/>
  <c r="BM7" i="11403"/>
  <c r="L8" i="11403"/>
  <c r="M8" i="11403"/>
  <c r="V8" i="11403"/>
  <c r="W8" i="11403"/>
  <c r="AB8" i="11403"/>
  <c r="BA8" i="11403"/>
  <c r="BB8" i="11403"/>
  <c r="BC8" i="11403"/>
  <c r="BD8" i="11403"/>
  <c r="BE8" i="11403"/>
  <c r="BF8" i="11403"/>
  <c r="BG8" i="11403"/>
  <c r="BH8" i="11403"/>
  <c r="BI8" i="11403"/>
  <c r="BJ8" i="11403"/>
  <c r="BK8" i="11403"/>
  <c r="BL8" i="11403"/>
  <c r="BM8" i="11403"/>
  <c r="K9" i="11403"/>
  <c r="L9" i="11403"/>
  <c r="O9" i="11403"/>
  <c r="X9" i="11403"/>
  <c r="AB9" i="11403"/>
  <c r="BA9" i="11403"/>
  <c r="BB9" i="11403"/>
  <c r="BC9" i="11403"/>
  <c r="BD9" i="11403"/>
  <c r="BE9" i="11403"/>
  <c r="BF9" i="11403"/>
  <c r="BG9" i="11403"/>
  <c r="BH9" i="11403"/>
  <c r="BI9" i="11403"/>
  <c r="BJ9" i="11403"/>
  <c r="BK9" i="11403"/>
  <c r="BL9" i="11403"/>
  <c r="BM9" i="11403"/>
  <c r="M10" i="11403"/>
  <c r="N10" i="11403"/>
  <c r="O10" i="11403"/>
  <c r="X10" i="11403"/>
  <c r="AB10" i="11403"/>
  <c r="BA10" i="11403"/>
  <c r="BB10" i="11403"/>
  <c r="BC10" i="11403"/>
  <c r="BD10" i="11403"/>
  <c r="BE10" i="11403"/>
  <c r="BF10" i="11403"/>
  <c r="BG10" i="11403"/>
  <c r="BH10" i="11403"/>
  <c r="BI10" i="11403"/>
  <c r="BJ10" i="11403"/>
  <c r="BK10" i="11403"/>
  <c r="BL10" i="11403"/>
  <c r="BM10" i="11403"/>
  <c r="Q11" i="11403"/>
  <c r="R11" i="11403"/>
  <c r="S11" i="11403"/>
  <c r="T11" i="11403"/>
  <c r="AB11" i="11403"/>
  <c r="BA11" i="11403"/>
  <c r="BB11" i="11403"/>
  <c r="BC11" i="11403"/>
  <c r="BD11" i="11403"/>
  <c r="BE11" i="11403"/>
  <c r="BF11" i="11403"/>
  <c r="BG11" i="11403"/>
  <c r="BH11" i="11403"/>
  <c r="BI11" i="11403"/>
  <c r="BJ11" i="11403"/>
  <c r="BK11" i="11403"/>
  <c r="BL11" i="11403"/>
  <c r="BM11" i="11403"/>
  <c r="R12" i="11403"/>
  <c r="S12" i="11403"/>
  <c r="T12" i="11403"/>
  <c r="U12" i="11403"/>
  <c r="AB12" i="11403"/>
  <c r="BA12" i="11403"/>
  <c r="BB12" i="11403"/>
  <c r="BC12" i="11403"/>
  <c r="BD12" i="11403"/>
  <c r="BE12" i="11403"/>
  <c r="BF12" i="11403"/>
  <c r="BG12" i="11403"/>
  <c r="BH12" i="11403"/>
  <c r="BI12" i="11403"/>
  <c r="BJ12" i="11403"/>
  <c r="BK12" i="11403"/>
  <c r="BL12" i="11403"/>
  <c r="BM12" i="11403"/>
  <c r="Q13" i="11403"/>
  <c r="R13" i="11403"/>
  <c r="S13" i="11403"/>
  <c r="T13" i="11403"/>
  <c r="AB13" i="11403"/>
  <c r="BA13" i="11403"/>
  <c r="BB13" i="11403"/>
  <c r="BC13" i="11403"/>
  <c r="BD13" i="11403"/>
  <c r="BE13" i="11403"/>
  <c r="BF13" i="11403"/>
  <c r="BG13" i="11403"/>
  <c r="BH13" i="11403"/>
  <c r="BI13" i="11403"/>
  <c r="BJ13" i="11403"/>
  <c r="BK13" i="11403"/>
  <c r="BL13" i="11403"/>
  <c r="BM13" i="11403"/>
  <c r="T14" i="11403"/>
  <c r="U14" i="11403"/>
  <c r="W14" i="11403"/>
  <c r="X14" i="11403"/>
  <c r="AB14" i="11403"/>
  <c r="BA14" i="11403"/>
  <c r="BB14" i="11403"/>
  <c r="BC14" i="11403"/>
  <c r="BD14" i="11403"/>
  <c r="BE14" i="11403"/>
  <c r="BF14" i="11403"/>
  <c r="BG14" i="11403"/>
  <c r="BH14" i="11403"/>
  <c r="BI14" i="11403"/>
  <c r="BJ14" i="11403"/>
  <c r="BK14" i="11403"/>
  <c r="BL14" i="11403"/>
  <c r="BM14" i="11403"/>
  <c r="L15" i="11403"/>
  <c r="U15" i="11403"/>
  <c r="V15" i="11403"/>
  <c r="W15" i="11403"/>
  <c r="AB15" i="11403"/>
  <c r="BA15" i="11403"/>
  <c r="BB15" i="11403"/>
  <c r="BC15" i="11403"/>
  <c r="BD15" i="11403"/>
  <c r="BE15" i="11403"/>
  <c r="BF15" i="11403"/>
  <c r="BG15" i="11403"/>
  <c r="BH15" i="11403"/>
  <c r="BI15" i="11403"/>
  <c r="BJ15" i="11403"/>
  <c r="BK15" i="11403"/>
  <c r="BL15" i="11403"/>
  <c r="BM15" i="11403"/>
  <c r="L16" i="11403"/>
  <c r="U16" i="11403"/>
  <c r="V16" i="11403"/>
  <c r="W16" i="11403"/>
  <c r="AB16" i="11403"/>
  <c r="BA16" i="11403"/>
  <c r="BB16" i="11403"/>
  <c r="BC16" i="11403"/>
  <c r="BD16" i="11403"/>
  <c r="BE16" i="11403"/>
  <c r="BF16" i="11403"/>
  <c r="BG16" i="11403"/>
  <c r="BH16" i="11403"/>
  <c r="BI16" i="11403"/>
  <c r="BJ16" i="11403"/>
  <c r="BK16" i="11403"/>
  <c r="BL16" i="11403"/>
  <c r="BM16" i="11403"/>
  <c r="L17" i="11403"/>
  <c r="U17" i="11403"/>
  <c r="V17" i="11403"/>
  <c r="W17" i="11403"/>
  <c r="AB17" i="11403"/>
  <c r="BA17" i="11403"/>
  <c r="BB17" i="11403"/>
  <c r="BC17" i="11403"/>
  <c r="BD17" i="11403"/>
  <c r="BE17" i="11403"/>
  <c r="BF17" i="11403"/>
  <c r="BG17" i="11403"/>
  <c r="BH17" i="11403"/>
  <c r="BI17" i="11403"/>
  <c r="BJ17" i="11403"/>
  <c r="BK17" i="11403"/>
  <c r="BL17" i="11403"/>
  <c r="BM17" i="11403"/>
  <c r="BA18" i="11403"/>
  <c r="BB18" i="11403"/>
  <c r="BC18" i="11403"/>
  <c r="BD18" i="11403"/>
  <c r="BE18" i="11403"/>
  <c r="BF18" i="11403"/>
  <c r="BG18" i="11403"/>
  <c r="BH18" i="11403"/>
  <c r="BI18" i="11403"/>
  <c r="BJ18" i="11403"/>
  <c r="BK18" i="11403"/>
  <c r="BL18" i="11403"/>
  <c r="BM18" i="11403"/>
  <c r="BA19" i="11403"/>
  <c r="BB19" i="11403"/>
  <c r="BC19" i="11403"/>
  <c r="BD19" i="11403"/>
  <c r="BE19" i="11403"/>
  <c r="BF19" i="11403"/>
  <c r="BG19" i="11403"/>
  <c r="BH19" i="11403"/>
  <c r="BI19" i="11403"/>
  <c r="BJ19" i="11403"/>
  <c r="BK19" i="11403"/>
  <c r="BL19" i="11403"/>
  <c r="BM19" i="11403"/>
  <c r="BA20" i="11403"/>
  <c r="BB20" i="11403"/>
  <c r="BC20" i="11403"/>
  <c r="BD20" i="11403"/>
  <c r="BE20" i="11403"/>
  <c r="BF20" i="11403"/>
  <c r="BG20" i="11403"/>
  <c r="BH20" i="11403"/>
  <c r="BI20" i="11403"/>
  <c r="BJ20" i="11403"/>
  <c r="BK20" i="11403"/>
  <c r="BL20" i="11403"/>
  <c r="BM20" i="11403"/>
  <c r="BA21" i="11403"/>
  <c r="BB21" i="11403"/>
  <c r="BC21" i="11403"/>
  <c r="BD21" i="11403"/>
  <c r="BE21" i="11403"/>
  <c r="BF21" i="11403"/>
  <c r="BG21" i="11403"/>
  <c r="BH21" i="11403"/>
  <c r="BI21" i="11403"/>
  <c r="BJ21" i="11403"/>
  <c r="BK21" i="11403"/>
  <c r="BL21" i="11403"/>
  <c r="BM21" i="11403"/>
  <c r="F22" i="11403"/>
  <c r="G22" i="11403"/>
  <c r="H22" i="11403"/>
  <c r="I22" i="11403"/>
  <c r="J22" i="11403"/>
  <c r="K22" i="11403"/>
  <c r="L22" i="11403"/>
  <c r="M22" i="11403"/>
  <c r="N22" i="11403"/>
  <c r="O22" i="11403"/>
  <c r="P22" i="11403"/>
  <c r="Q22" i="11403"/>
  <c r="R22" i="11403"/>
  <c r="S22" i="11403"/>
  <c r="T22" i="11403"/>
  <c r="BA22" i="11403"/>
  <c r="BB22" i="11403"/>
  <c r="BC22" i="11403"/>
  <c r="BD22" i="11403"/>
  <c r="BE22" i="11403"/>
  <c r="BF22" i="11403"/>
  <c r="BG22" i="11403"/>
  <c r="BH22" i="11403"/>
  <c r="BI22" i="11403"/>
  <c r="BJ22" i="11403"/>
  <c r="BK22" i="11403"/>
  <c r="BL22" i="11403"/>
  <c r="BM22" i="11403"/>
  <c r="B23" i="11403"/>
  <c r="C23" i="11403"/>
  <c r="D23" i="11403"/>
  <c r="E23" i="11403"/>
  <c r="F23" i="11403"/>
  <c r="G23" i="11403"/>
  <c r="H23" i="11403"/>
  <c r="I23" i="11403"/>
  <c r="J23" i="11403"/>
  <c r="K23" i="11403"/>
  <c r="L23" i="11403"/>
  <c r="M23" i="11403"/>
  <c r="N23" i="11403"/>
  <c r="O23" i="11403"/>
  <c r="P23" i="11403"/>
  <c r="Q23" i="11403"/>
  <c r="R23" i="11403"/>
  <c r="S23" i="11403"/>
  <c r="T23" i="11403"/>
  <c r="U23" i="11403"/>
  <c r="W23" i="11403"/>
  <c r="X23" i="11403"/>
  <c r="Y23" i="11403"/>
  <c r="Z23" i="11403"/>
  <c r="AA23" i="11403"/>
  <c r="AB23" i="11403"/>
  <c r="AC23" i="11403"/>
  <c r="AD23" i="11403"/>
  <c r="AE23" i="11403"/>
  <c r="AF23" i="11403"/>
  <c r="AG23" i="11403"/>
  <c r="AH23" i="11403"/>
  <c r="AI23" i="11403"/>
  <c r="AJ23" i="11403"/>
  <c r="AK23" i="11403"/>
  <c r="AL23" i="11403"/>
  <c r="AN23" i="11403"/>
  <c r="AO23" i="11403"/>
  <c r="BA23" i="11403"/>
  <c r="BB23" i="11403"/>
  <c r="BC23" i="11403"/>
  <c r="BD23" i="11403"/>
  <c r="BE23" i="11403"/>
  <c r="BF23" i="11403"/>
  <c r="BG23" i="11403"/>
  <c r="BH23" i="11403"/>
  <c r="BI23" i="11403"/>
  <c r="BJ23" i="11403"/>
  <c r="BK23" i="11403"/>
  <c r="BL23" i="11403"/>
  <c r="BM23" i="11403"/>
  <c r="B24" i="11403"/>
  <c r="C24" i="11403"/>
  <c r="D24" i="11403"/>
  <c r="E24" i="11403"/>
  <c r="F24" i="11403"/>
  <c r="G24" i="11403"/>
  <c r="H24" i="11403"/>
  <c r="I24" i="11403"/>
  <c r="J24" i="11403"/>
  <c r="K24" i="11403"/>
  <c r="L24" i="11403"/>
  <c r="M24" i="11403"/>
  <c r="N24" i="11403"/>
  <c r="O24" i="11403"/>
  <c r="P24" i="11403"/>
  <c r="Q24" i="11403"/>
  <c r="R24" i="11403"/>
  <c r="S24" i="11403"/>
  <c r="T24" i="11403"/>
  <c r="U24" i="11403"/>
  <c r="W24" i="11403"/>
  <c r="X24" i="11403"/>
  <c r="Y24" i="11403"/>
  <c r="Z24" i="11403"/>
  <c r="AA24" i="11403"/>
  <c r="AB24" i="11403"/>
  <c r="AC24" i="11403"/>
  <c r="AD24" i="11403"/>
  <c r="AE24" i="11403"/>
  <c r="AF24" i="11403"/>
  <c r="AG24" i="11403"/>
  <c r="AH24" i="11403"/>
  <c r="AI24" i="11403"/>
  <c r="AJ24" i="11403"/>
  <c r="AK24" i="11403"/>
  <c r="AL24" i="11403"/>
  <c r="AN24" i="11403"/>
  <c r="AO24" i="11403"/>
  <c r="BA24" i="11403"/>
  <c r="BB24" i="11403"/>
  <c r="BC24" i="11403"/>
  <c r="BD24" i="11403"/>
  <c r="BE24" i="11403"/>
  <c r="BF24" i="11403"/>
  <c r="BG24" i="11403"/>
  <c r="BH24" i="11403"/>
  <c r="BI24" i="11403"/>
  <c r="BJ24" i="11403"/>
  <c r="BK24" i="11403"/>
  <c r="BL24" i="11403"/>
  <c r="BM24" i="11403"/>
  <c r="B25" i="11403"/>
  <c r="C25" i="11403"/>
  <c r="D25" i="11403"/>
  <c r="E25" i="11403"/>
  <c r="F25" i="11403"/>
  <c r="G25" i="11403"/>
  <c r="H25" i="11403"/>
  <c r="I25" i="11403"/>
  <c r="J25" i="11403"/>
  <c r="K25" i="11403"/>
  <c r="L25" i="11403"/>
  <c r="M25" i="11403"/>
  <c r="N25" i="11403"/>
  <c r="O25" i="11403"/>
  <c r="P25" i="11403"/>
  <c r="Q25" i="11403"/>
  <c r="R25" i="11403"/>
  <c r="S25" i="11403"/>
  <c r="T25" i="11403"/>
  <c r="U25" i="11403"/>
  <c r="W25" i="11403"/>
  <c r="X25" i="11403"/>
  <c r="Y25" i="11403"/>
  <c r="Z25" i="11403"/>
  <c r="AA25" i="11403"/>
  <c r="AB25" i="11403"/>
  <c r="AC25" i="11403"/>
  <c r="AD25" i="11403"/>
  <c r="AE25" i="11403"/>
  <c r="AF25" i="11403"/>
  <c r="AG25" i="11403"/>
  <c r="AH25" i="11403"/>
  <c r="AI25" i="11403"/>
  <c r="AJ25" i="11403"/>
  <c r="AK25" i="11403"/>
  <c r="AL25" i="11403"/>
  <c r="AN25" i="11403"/>
  <c r="AO25" i="11403"/>
  <c r="BA25" i="11403"/>
  <c r="BB25" i="11403"/>
  <c r="BC25" i="11403"/>
  <c r="BD25" i="11403"/>
  <c r="BE25" i="11403"/>
  <c r="BF25" i="11403"/>
  <c r="BG25" i="11403"/>
  <c r="BH25" i="11403"/>
  <c r="BI25" i="11403"/>
  <c r="BJ25" i="11403"/>
  <c r="BK25" i="11403"/>
  <c r="BL25" i="11403"/>
  <c r="BM25" i="11403"/>
  <c r="B26" i="11403"/>
  <c r="C26" i="11403"/>
  <c r="D26" i="11403"/>
  <c r="E26" i="11403"/>
  <c r="F26" i="11403"/>
  <c r="G26" i="11403"/>
  <c r="H26" i="11403"/>
  <c r="I26" i="11403"/>
  <c r="J26" i="11403"/>
  <c r="K26" i="11403"/>
  <c r="L26" i="11403"/>
  <c r="M26" i="11403"/>
  <c r="N26" i="11403"/>
  <c r="O26" i="11403"/>
  <c r="P26" i="11403"/>
  <c r="Q26" i="11403"/>
  <c r="R26" i="11403"/>
  <c r="S26" i="11403"/>
  <c r="T26" i="11403"/>
  <c r="U26" i="11403"/>
  <c r="W26" i="11403"/>
  <c r="X26" i="11403"/>
  <c r="Y26" i="11403"/>
  <c r="Z26" i="11403"/>
  <c r="AA26" i="11403"/>
  <c r="AB26" i="11403"/>
  <c r="AC26" i="11403"/>
  <c r="AD26" i="11403"/>
  <c r="AE26" i="11403"/>
  <c r="AF26" i="11403"/>
  <c r="AG26" i="11403"/>
  <c r="AH26" i="11403"/>
  <c r="AI26" i="11403"/>
  <c r="AJ26" i="11403"/>
  <c r="AK26" i="11403"/>
  <c r="AL26" i="11403"/>
  <c r="AN26" i="11403"/>
  <c r="AO26" i="11403"/>
  <c r="BA26" i="11403"/>
  <c r="BB26" i="11403"/>
  <c r="BC26" i="11403"/>
  <c r="BD26" i="11403"/>
  <c r="BE26" i="11403"/>
  <c r="BF26" i="11403"/>
  <c r="BG26" i="11403"/>
  <c r="BH26" i="11403"/>
  <c r="BI26" i="11403"/>
  <c r="BJ26" i="11403"/>
  <c r="BK26" i="11403"/>
  <c r="BL26" i="11403"/>
  <c r="BM26" i="11403"/>
  <c r="B27" i="11403"/>
  <c r="C27" i="11403"/>
  <c r="D27" i="11403"/>
  <c r="E27" i="11403"/>
  <c r="F27" i="11403"/>
  <c r="G27" i="11403"/>
  <c r="H27" i="11403"/>
  <c r="I27" i="11403"/>
  <c r="J27" i="11403"/>
  <c r="K27" i="11403"/>
  <c r="L27" i="11403"/>
  <c r="M27" i="11403"/>
  <c r="N27" i="11403"/>
  <c r="O27" i="11403"/>
  <c r="P27" i="11403"/>
  <c r="Q27" i="11403"/>
  <c r="R27" i="11403"/>
  <c r="S27" i="11403"/>
  <c r="T27" i="11403"/>
  <c r="U27" i="11403"/>
  <c r="W27" i="11403"/>
  <c r="X27" i="11403"/>
  <c r="Y27" i="11403"/>
  <c r="Z27" i="11403"/>
  <c r="AA27" i="11403"/>
  <c r="AB27" i="11403"/>
  <c r="AC27" i="11403"/>
  <c r="AD27" i="11403"/>
  <c r="AE27" i="11403"/>
  <c r="AF27" i="11403"/>
  <c r="AG27" i="11403"/>
  <c r="AH27" i="11403"/>
  <c r="AI27" i="11403"/>
  <c r="AJ27" i="11403"/>
  <c r="AK27" i="11403"/>
  <c r="AL27" i="11403"/>
  <c r="AN27" i="11403"/>
  <c r="AO27" i="11403"/>
  <c r="BA27" i="11403"/>
  <c r="BB27" i="11403"/>
  <c r="BC27" i="11403"/>
  <c r="BD27" i="11403"/>
  <c r="BE27" i="11403"/>
  <c r="BF27" i="11403"/>
  <c r="BG27" i="11403"/>
  <c r="BH27" i="11403"/>
  <c r="BI27" i="11403"/>
  <c r="BJ27" i="11403"/>
  <c r="BK27" i="11403"/>
  <c r="BL27" i="11403"/>
  <c r="BM27" i="11403"/>
  <c r="B28" i="11403"/>
  <c r="C28" i="11403"/>
  <c r="D28" i="11403"/>
  <c r="E28" i="11403"/>
  <c r="F28" i="11403"/>
  <c r="G28" i="11403"/>
  <c r="H28" i="11403"/>
  <c r="I28" i="11403"/>
  <c r="J28" i="11403"/>
  <c r="K28" i="11403"/>
  <c r="L28" i="11403"/>
  <c r="M28" i="11403"/>
  <c r="N28" i="11403"/>
  <c r="O28" i="11403"/>
  <c r="P28" i="11403"/>
  <c r="Q28" i="11403"/>
  <c r="R28" i="11403"/>
  <c r="S28" i="11403"/>
  <c r="T28" i="11403"/>
  <c r="U28" i="11403"/>
  <c r="W28" i="11403"/>
  <c r="X28" i="11403"/>
  <c r="Y28" i="11403"/>
  <c r="Z28" i="11403"/>
  <c r="AA28" i="11403"/>
  <c r="AB28" i="11403"/>
  <c r="AC28" i="11403"/>
  <c r="AD28" i="11403"/>
  <c r="AE28" i="11403"/>
  <c r="AF28" i="11403"/>
  <c r="AG28" i="11403"/>
  <c r="AH28" i="11403"/>
  <c r="AI28" i="11403"/>
  <c r="AJ28" i="11403"/>
  <c r="AK28" i="11403"/>
  <c r="AL28" i="11403"/>
  <c r="AN28" i="11403"/>
  <c r="AO28" i="11403"/>
  <c r="BA28" i="11403"/>
  <c r="BB28" i="11403"/>
  <c r="BC28" i="11403"/>
  <c r="BD28" i="11403"/>
  <c r="BE28" i="11403"/>
  <c r="BF28" i="11403"/>
  <c r="BG28" i="11403"/>
  <c r="BH28" i="11403"/>
  <c r="BI28" i="11403"/>
  <c r="BJ28" i="11403"/>
  <c r="BK28" i="11403"/>
  <c r="BL28" i="11403"/>
  <c r="BM28" i="11403"/>
  <c r="B29" i="11403"/>
  <c r="C29" i="11403"/>
  <c r="D29" i="11403"/>
  <c r="E29" i="11403"/>
  <c r="F29" i="11403"/>
  <c r="G29" i="11403"/>
  <c r="H29" i="11403"/>
  <c r="I29" i="11403"/>
  <c r="J29" i="11403"/>
  <c r="K29" i="11403"/>
  <c r="L29" i="11403"/>
  <c r="M29" i="11403"/>
  <c r="N29" i="11403"/>
  <c r="O29" i="11403"/>
  <c r="P29" i="11403"/>
  <c r="Q29" i="11403"/>
  <c r="R29" i="11403"/>
  <c r="S29" i="11403"/>
  <c r="T29" i="11403"/>
  <c r="U29" i="11403"/>
  <c r="W29" i="11403"/>
  <c r="X29" i="11403"/>
  <c r="Y29" i="11403"/>
  <c r="Z29" i="11403"/>
  <c r="AA29" i="11403"/>
  <c r="AB29" i="11403"/>
  <c r="AC29" i="11403"/>
  <c r="AD29" i="11403"/>
  <c r="AE29" i="11403"/>
  <c r="AF29" i="11403"/>
  <c r="AG29" i="11403"/>
  <c r="AH29" i="11403"/>
  <c r="AI29" i="11403"/>
  <c r="AJ29" i="11403"/>
  <c r="AK29" i="11403"/>
  <c r="AL29" i="11403"/>
  <c r="AN29" i="11403"/>
  <c r="AO29" i="11403"/>
  <c r="BA29" i="11403"/>
  <c r="BB29" i="11403"/>
  <c r="BC29" i="11403"/>
  <c r="BD29" i="11403"/>
  <c r="BE29" i="11403"/>
  <c r="BF29" i="11403"/>
  <c r="BG29" i="11403"/>
  <c r="BH29" i="11403"/>
  <c r="BI29" i="11403"/>
  <c r="BJ29" i="11403"/>
  <c r="BK29" i="11403"/>
  <c r="BL29" i="11403"/>
  <c r="BM29" i="11403"/>
  <c r="B30" i="11403"/>
  <c r="C30" i="11403"/>
  <c r="D30" i="11403"/>
  <c r="E30" i="11403"/>
  <c r="F30" i="11403"/>
  <c r="G30" i="11403"/>
  <c r="H30" i="11403"/>
  <c r="I30" i="11403"/>
  <c r="J30" i="11403"/>
  <c r="K30" i="11403"/>
  <c r="L30" i="11403"/>
  <c r="M30" i="11403"/>
  <c r="N30" i="11403"/>
  <c r="O30" i="11403"/>
  <c r="P30" i="11403"/>
  <c r="Q30" i="11403"/>
  <c r="R30" i="11403"/>
  <c r="S30" i="11403"/>
  <c r="T30" i="11403"/>
  <c r="U30" i="11403"/>
  <c r="W30" i="11403"/>
  <c r="X30" i="11403"/>
  <c r="Y30" i="11403"/>
  <c r="Z30" i="11403"/>
  <c r="AA30" i="11403"/>
  <c r="AB30" i="11403"/>
  <c r="AC30" i="11403"/>
  <c r="AD30" i="11403"/>
  <c r="AE30" i="11403"/>
  <c r="AF30" i="11403"/>
  <c r="AG30" i="11403"/>
  <c r="AH30" i="11403"/>
  <c r="AI30" i="11403"/>
  <c r="AJ30" i="11403"/>
  <c r="AK30" i="11403"/>
  <c r="AL30" i="11403"/>
  <c r="AN30" i="11403"/>
  <c r="AO30" i="11403"/>
  <c r="B31" i="11403"/>
  <c r="C31" i="11403"/>
  <c r="D31" i="11403"/>
  <c r="E31" i="11403"/>
  <c r="F31" i="11403"/>
  <c r="G31" i="11403"/>
  <c r="H31" i="11403"/>
  <c r="I31" i="11403"/>
  <c r="J31" i="11403"/>
  <c r="K31" i="11403"/>
  <c r="L31" i="11403"/>
  <c r="M31" i="11403"/>
  <c r="N31" i="11403"/>
  <c r="O31" i="11403"/>
  <c r="P31" i="11403"/>
  <c r="Q31" i="11403"/>
  <c r="R31" i="11403"/>
  <c r="S31" i="11403"/>
  <c r="T31" i="11403"/>
  <c r="U31" i="11403"/>
  <c r="W31" i="11403"/>
  <c r="X31" i="11403"/>
  <c r="Y31" i="11403"/>
  <c r="Z31" i="11403"/>
  <c r="AA31" i="11403"/>
  <c r="AB31" i="11403"/>
  <c r="AC31" i="11403"/>
  <c r="AD31" i="11403"/>
  <c r="AE31" i="11403"/>
  <c r="AF31" i="11403"/>
  <c r="AG31" i="11403"/>
  <c r="AH31" i="11403"/>
  <c r="AI31" i="11403"/>
  <c r="AJ31" i="11403"/>
  <c r="AK31" i="11403"/>
  <c r="AL31" i="11403"/>
  <c r="AN31" i="11403"/>
  <c r="AO31" i="11403"/>
  <c r="B32" i="11403"/>
  <c r="C32" i="11403"/>
  <c r="D32" i="11403"/>
  <c r="E32" i="11403"/>
  <c r="F32" i="11403"/>
  <c r="G32" i="11403"/>
  <c r="H32" i="11403"/>
  <c r="I32" i="11403"/>
  <c r="J32" i="11403"/>
  <c r="K32" i="11403"/>
  <c r="L32" i="11403"/>
  <c r="M32" i="11403"/>
  <c r="N32" i="11403"/>
  <c r="O32" i="11403"/>
  <c r="P32" i="11403"/>
  <c r="Q32" i="11403"/>
  <c r="R32" i="11403"/>
  <c r="S32" i="11403"/>
  <c r="T32" i="11403"/>
  <c r="U32" i="11403"/>
  <c r="W32" i="11403"/>
  <c r="X32" i="11403"/>
  <c r="Y32" i="11403"/>
  <c r="Z32" i="11403"/>
  <c r="AA32" i="11403"/>
  <c r="AB32" i="11403"/>
  <c r="AC32" i="11403"/>
  <c r="AD32" i="11403"/>
  <c r="AE32" i="11403"/>
  <c r="AF32" i="11403"/>
  <c r="AG32" i="11403"/>
  <c r="AH32" i="11403"/>
  <c r="AI32" i="11403"/>
  <c r="AJ32" i="11403"/>
  <c r="AK32" i="11403"/>
  <c r="AL32" i="11403"/>
  <c r="AN32" i="11403"/>
  <c r="AO32" i="11403"/>
  <c r="B33" i="11403"/>
  <c r="C33" i="11403"/>
  <c r="D33" i="11403"/>
  <c r="E33" i="11403"/>
  <c r="F33" i="11403"/>
  <c r="G33" i="11403"/>
  <c r="H33" i="11403"/>
  <c r="I33" i="11403"/>
  <c r="J33" i="11403"/>
  <c r="K33" i="11403"/>
  <c r="L33" i="11403"/>
  <c r="M33" i="11403"/>
  <c r="N33" i="11403"/>
  <c r="O33" i="11403"/>
  <c r="P33" i="11403"/>
  <c r="Q33" i="11403"/>
  <c r="R33" i="11403"/>
  <c r="S33" i="11403"/>
  <c r="T33" i="11403"/>
  <c r="U33" i="11403"/>
  <c r="W33" i="11403"/>
  <c r="X33" i="11403"/>
  <c r="Y33" i="11403"/>
  <c r="Z33" i="11403"/>
  <c r="AA33" i="11403"/>
  <c r="AB33" i="11403"/>
  <c r="AC33" i="11403"/>
  <c r="AD33" i="11403"/>
  <c r="AE33" i="11403"/>
  <c r="AF33" i="11403"/>
  <c r="AG33" i="11403"/>
  <c r="AH33" i="11403"/>
  <c r="AI33" i="11403"/>
  <c r="AJ33" i="11403"/>
  <c r="AK33" i="11403"/>
  <c r="AL33" i="11403"/>
  <c r="AN33" i="11403"/>
  <c r="AO33" i="11403"/>
  <c r="B34" i="11403"/>
  <c r="C34" i="11403"/>
  <c r="D34" i="11403"/>
  <c r="E34" i="11403"/>
  <c r="F34" i="11403"/>
  <c r="G34" i="11403"/>
  <c r="H34" i="11403"/>
  <c r="I34" i="11403"/>
  <c r="J34" i="11403"/>
  <c r="K34" i="11403"/>
  <c r="L34" i="11403"/>
  <c r="M34" i="11403"/>
  <c r="N34" i="11403"/>
  <c r="O34" i="11403"/>
  <c r="P34" i="11403"/>
  <c r="Q34" i="11403"/>
  <c r="R34" i="11403"/>
  <c r="S34" i="11403"/>
  <c r="T34" i="11403"/>
  <c r="U34" i="11403"/>
  <c r="W34" i="11403"/>
  <c r="X34" i="11403"/>
  <c r="Y34" i="11403"/>
  <c r="Z34" i="11403"/>
  <c r="AA34" i="11403"/>
  <c r="AB34" i="11403"/>
  <c r="AC34" i="11403"/>
  <c r="AD34" i="11403"/>
  <c r="AE34" i="11403"/>
  <c r="AF34" i="11403"/>
  <c r="AG34" i="11403"/>
  <c r="AH34" i="11403"/>
  <c r="AI34" i="11403"/>
  <c r="AJ34" i="11403"/>
  <c r="AK34" i="11403"/>
  <c r="AL34" i="11403"/>
  <c r="AN34" i="11403"/>
  <c r="AO34" i="11403"/>
  <c r="B35" i="11403"/>
  <c r="C35" i="11403"/>
  <c r="D35" i="11403"/>
  <c r="E35" i="11403"/>
  <c r="F35" i="11403"/>
  <c r="G35" i="11403"/>
  <c r="H35" i="11403"/>
  <c r="I35" i="11403"/>
  <c r="J35" i="11403"/>
  <c r="K35" i="11403"/>
  <c r="L35" i="11403"/>
  <c r="M35" i="11403"/>
  <c r="N35" i="11403"/>
  <c r="O35" i="11403"/>
  <c r="P35" i="11403"/>
  <c r="Q35" i="11403"/>
  <c r="R35" i="11403"/>
  <c r="S35" i="11403"/>
  <c r="T35" i="11403"/>
  <c r="U35" i="11403"/>
  <c r="W35" i="11403"/>
  <c r="X35" i="11403"/>
  <c r="Y35" i="11403"/>
  <c r="Z35" i="11403"/>
  <c r="AA35" i="11403"/>
  <c r="AB35" i="11403"/>
  <c r="AC35" i="11403"/>
  <c r="AD35" i="11403"/>
  <c r="AE35" i="11403"/>
  <c r="AF35" i="11403"/>
  <c r="AG35" i="11403"/>
  <c r="AH35" i="11403"/>
  <c r="AI35" i="11403"/>
  <c r="AJ35" i="11403"/>
  <c r="AK35" i="11403"/>
  <c r="AL35" i="11403"/>
  <c r="AN35" i="11403"/>
  <c r="AO35" i="11403"/>
  <c r="B36" i="11403"/>
  <c r="C36" i="11403"/>
  <c r="D36" i="11403"/>
  <c r="E36" i="11403"/>
  <c r="F36" i="11403"/>
  <c r="G36" i="11403"/>
  <c r="H36" i="11403"/>
  <c r="I36" i="11403"/>
  <c r="J36" i="11403"/>
  <c r="K36" i="11403"/>
  <c r="L36" i="11403"/>
  <c r="M36" i="11403"/>
  <c r="N36" i="11403"/>
  <c r="O36" i="11403"/>
  <c r="P36" i="11403"/>
  <c r="Q36" i="11403"/>
  <c r="R36" i="11403"/>
  <c r="S36" i="11403"/>
  <c r="T36" i="11403"/>
  <c r="U36" i="11403"/>
  <c r="W36" i="11403"/>
  <c r="X36" i="11403"/>
  <c r="Y36" i="11403"/>
  <c r="Z36" i="11403"/>
  <c r="AA36" i="11403"/>
  <c r="AB36" i="11403"/>
  <c r="AC36" i="11403"/>
  <c r="AD36" i="11403"/>
  <c r="AE36" i="11403"/>
  <c r="AF36" i="11403"/>
  <c r="AG36" i="11403"/>
  <c r="AH36" i="11403"/>
  <c r="AI36" i="11403"/>
  <c r="AJ36" i="11403"/>
  <c r="AK36" i="11403"/>
  <c r="AL36" i="11403"/>
  <c r="AN36" i="11403"/>
  <c r="AO36" i="11403"/>
  <c r="B37" i="11403"/>
  <c r="C37" i="11403"/>
  <c r="D37" i="11403"/>
  <c r="E37" i="11403"/>
  <c r="F37" i="11403"/>
  <c r="G37" i="11403"/>
  <c r="H37" i="11403"/>
  <c r="I37" i="11403"/>
  <c r="J37" i="11403"/>
  <c r="K37" i="11403"/>
  <c r="L37" i="11403"/>
  <c r="M37" i="11403"/>
  <c r="N37" i="11403"/>
  <c r="O37" i="11403"/>
  <c r="P37" i="11403"/>
  <c r="Q37" i="11403"/>
  <c r="R37" i="11403"/>
  <c r="S37" i="11403"/>
  <c r="T37" i="11403"/>
  <c r="U37" i="11403"/>
  <c r="W37" i="11403"/>
  <c r="X37" i="11403"/>
  <c r="Y37" i="11403"/>
  <c r="Z37" i="11403"/>
  <c r="AA37" i="11403"/>
  <c r="AB37" i="11403"/>
  <c r="AC37" i="11403"/>
  <c r="AD37" i="11403"/>
  <c r="AE37" i="11403"/>
  <c r="AF37" i="11403"/>
  <c r="AG37" i="11403"/>
  <c r="AH37" i="11403"/>
  <c r="AI37" i="11403"/>
  <c r="AJ37" i="11403"/>
  <c r="AK37" i="11403"/>
  <c r="AL37" i="11403"/>
  <c r="AN37" i="11403"/>
  <c r="AO37" i="11403"/>
  <c r="B38" i="11403"/>
  <c r="C38" i="11403"/>
  <c r="D38" i="11403"/>
  <c r="E38" i="11403"/>
  <c r="F38" i="11403"/>
  <c r="G38" i="11403"/>
  <c r="H38" i="11403"/>
  <c r="I38" i="11403"/>
  <c r="J38" i="11403"/>
  <c r="K38" i="11403"/>
  <c r="L38" i="11403"/>
  <c r="M38" i="11403"/>
  <c r="N38" i="11403"/>
  <c r="O38" i="11403"/>
  <c r="P38" i="11403"/>
  <c r="Q38" i="11403"/>
  <c r="R38" i="11403"/>
  <c r="S38" i="11403"/>
  <c r="T38" i="11403"/>
  <c r="U38" i="11403"/>
  <c r="W38" i="11403"/>
  <c r="X38" i="11403"/>
  <c r="Y38" i="11403"/>
  <c r="Z38" i="11403"/>
  <c r="AA38" i="11403"/>
  <c r="AB38" i="11403"/>
  <c r="AC38" i="11403"/>
  <c r="AD38" i="11403"/>
  <c r="AE38" i="11403"/>
  <c r="AF38" i="11403"/>
  <c r="AG38" i="11403"/>
  <c r="AH38" i="11403"/>
  <c r="AI38" i="11403"/>
  <c r="AJ38" i="11403"/>
  <c r="AK38" i="11403"/>
  <c r="AL38" i="11403"/>
  <c r="AN38" i="11403"/>
  <c r="AO38" i="11403"/>
  <c r="B39" i="11403"/>
  <c r="C39" i="11403"/>
  <c r="D39" i="11403"/>
  <c r="E39" i="11403"/>
  <c r="F39" i="11403"/>
  <c r="G39" i="11403"/>
  <c r="H39" i="11403"/>
  <c r="I39" i="11403"/>
  <c r="J39" i="11403"/>
  <c r="K39" i="11403"/>
  <c r="L39" i="11403"/>
  <c r="M39" i="11403"/>
  <c r="N39" i="11403"/>
  <c r="O39" i="11403"/>
  <c r="P39" i="11403"/>
  <c r="Q39" i="11403"/>
  <c r="R39" i="11403"/>
  <c r="S39" i="11403"/>
  <c r="T39" i="11403"/>
  <c r="U39" i="11403"/>
  <c r="W39" i="11403"/>
  <c r="X39" i="11403"/>
  <c r="Y39" i="11403"/>
  <c r="Z39" i="11403"/>
  <c r="AA39" i="11403"/>
  <c r="AB39" i="11403"/>
  <c r="AC39" i="11403"/>
  <c r="AD39" i="11403"/>
  <c r="AE39" i="11403"/>
  <c r="AF39" i="11403"/>
  <c r="AG39" i="11403"/>
  <c r="AH39" i="11403"/>
  <c r="AI39" i="11403"/>
  <c r="AJ39" i="11403"/>
  <c r="AK39" i="11403"/>
  <c r="AL39" i="11403"/>
  <c r="AN39" i="11403"/>
  <c r="AO39" i="11403"/>
  <c r="B40" i="11403"/>
  <c r="C40" i="11403"/>
  <c r="D40" i="11403"/>
  <c r="E40" i="11403"/>
  <c r="F40" i="11403"/>
  <c r="G40" i="11403"/>
  <c r="H40" i="11403"/>
  <c r="I40" i="11403"/>
  <c r="J40" i="11403"/>
  <c r="K40" i="11403"/>
  <c r="L40" i="11403"/>
  <c r="M40" i="11403"/>
  <c r="N40" i="11403"/>
  <c r="O40" i="11403"/>
  <c r="P40" i="11403"/>
  <c r="Q40" i="11403"/>
  <c r="R40" i="11403"/>
  <c r="S40" i="11403"/>
  <c r="T40" i="11403"/>
  <c r="U40" i="11403"/>
  <c r="W40" i="11403"/>
  <c r="X40" i="11403"/>
  <c r="Y40" i="11403"/>
  <c r="Z40" i="11403"/>
  <c r="AA40" i="11403"/>
  <c r="AB40" i="11403"/>
  <c r="AC40" i="11403"/>
  <c r="AD40" i="11403"/>
  <c r="AE40" i="11403"/>
  <c r="AF40" i="11403"/>
  <c r="AG40" i="11403"/>
  <c r="AH40" i="11403"/>
  <c r="AI40" i="11403"/>
  <c r="AJ40" i="11403"/>
  <c r="AK40" i="11403"/>
  <c r="AL40" i="11403"/>
  <c r="AN40" i="11403"/>
  <c r="AO40" i="11403"/>
  <c r="B41" i="11403"/>
  <c r="C41" i="11403"/>
  <c r="D41" i="11403"/>
  <c r="E41" i="11403"/>
  <c r="F41" i="11403"/>
  <c r="G41" i="11403"/>
  <c r="H41" i="11403"/>
  <c r="I41" i="11403"/>
  <c r="J41" i="11403"/>
  <c r="K41" i="11403"/>
  <c r="L41" i="11403"/>
  <c r="M41" i="11403"/>
  <c r="N41" i="11403"/>
  <c r="O41" i="11403"/>
  <c r="P41" i="11403"/>
  <c r="Q41" i="11403"/>
  <c r="R41" i="11403"/>
  <c r="S41" i="11403"/>
  <c r="T41" i="11403"/>
  <c r="U41" i="11403"/>
  <c r="W41" i="11403"/>
  <c r="X41" i="11403"/>
  <c r="Y41" i="11403"/>
  <c r="Z41" i="11403"/>
  <c r="AA41" i="11403"/>
  <c r="AB41" i="11403"/>
  <c r="AC41" i="11403"/>
  <c r="AD41" i="11403"/>
  <c r="AE41" i="11403"/>
  <c r="AF41" i="11403"/>
  <c r="AG41" i="11403"/>
  <c r="AH41" i="11403"/>
  <c r="AI41" i="11403"/>
  <c r="AJ41" i="11403"/>
  <c r="AK41" i="11403"/>
  <c r="AL41" i="11403"/>
  <c r="AN41" i="11403"/>
  <c r="AO41" i="11403"/>
  <c r="B42" i="11403"/>
  <c r="C42" i="11403"/>
  <c r="D42" i="11403"/>
  <c r="E42" i="11403"/>
  <c r="F42" i="11403"/>
  <c r="G42" i="11403"/>
  <c r="H42" i="11403"/>
  <c r="I42" i="11403"/>
  <c r="J42" i="11403"/>
  <c r="K42" i="11403"/>
  <c r="L42" i="11403"/>
  <c r="M42" i="11403"/>
  <c r="N42" i="11403"/>
  <c r="O42" i="11403"/>
  <c r="P42" i="11403"/>
  <c r="Q42" i="11403"/>
  <c r="R42" i="11403"/>
  <c r="S42" i="11403"/>
  <c r="T42" i="11403"/>
  <c r="U42" i="11403"/>
  <c r="W42" i="11403"/>
  <c r="X42" i="11403"/>
  <c r="Y42" i="11403"/>
  <c r="Z42" i="11403"/>
  <c r="AA42" i="11403"/>
  <c r="AB42" i="11403"/>
  <c r="AC42" i="11403"/>
  <c r="AD42" i="11403"/>
  <c r="AE42" i="11403"/>
  <c r="AF42" i="11403"/>
  <c r="AG42" i="11403"/>
  <c r="AH42" i="11403"/>
  <c r="AI42" i="11403"/>
  <c r="AJ42" i="11403"/>
  <c r="AK42" i="11403"/>
  <c r="AL42" i="11403"/>
  <c r="AN42" i="11403"/>
  <c r="AO42" i="11403"/>
  <c r="B43" i="11403"/>
  <c r="C43" i="11403"/>
  <c r="D43" i="11403"/>
  <c r="E43" i="11403"/>
  <c r="F43" i="11403"/>
  <c r="G43" i="11403"/>
  <c r="H43" i="11403"/>
  <c r="I43" i="11403"/>
  <c r="J43" i="11403"/>
  <c r="K43" i="11403"/>
  <c r="L43" i="11403"/>
  <c r="M43" i="11403"/>
  <c r="N43" i="11403"/>
  <c r="O43" i="11403"/>
  <c r="P43" i="11403"/>
  <c r="Q43" i="11403"/>
  <c r="R43" i="11403"/>
  <c r="S43" i="11403"/>
  <c r="T43" i="11403"/>
  <c r="U43" i="11403"/>
  <c r="W43" i="11403"/>
  <c r="X43" i="11403"/>
  <c r="Y43" i="11403"/>
  <c r="Z43" i="11403"/>
  <c r="AA43" i="11403"/>
  <c r="AB43" i="11403"/>
  <c r="AC43" i="11403"/>
  <c r="AD43" i="11403"/>
  <c r="AE43" i="11403"/>
  <c r="AF43" i="11403"/>
  <c r="AG43" i="11403"/>
  <c r="AH43" i="11403"/>
  <c r="AI43" i="11403"/>
  <c r="AJ43" i="11403"/>
  <c r="AK43" i="11403"/>
  <c r="AL43" i="11403"/>
  <c r="AN43" i="11403"/>
  <c r="AO43" i="11403"/>
  <c r="B44" i="11403"/>
  <c r="C44" i="11403"/>
  <c r="D44" i="11403"/>
  <c r="E44" i="11403"/>
  <c r="F44" i="11403"/>
  <c r="G44" i="11403"/>
  <c r="H44" i="11403"/>
  <c r="I44" i="11403"/>
  <c r="J44" i="11403"/>
  <c r="K44" i="11403"/>
  <c r="L44" i="11403"/>
  <c r="M44" i="11403"/>
  <c r="N44" i="11403"/>
  <c r="O44" i="11403"/>
  <c r="P44" i="11403"/>
  <c r="Q44" i="11403"/>
  <c r="R44" i="11403"/>
  <c r="S44" i="11403"/>
  <c r="T44" i="11403"/>
  <c r="U44" i="11403"/>
  <c r="W44" i="11403"/>
  <c r="X44" i="11403"/>
  <c r="Y44" i="11403"/>
  <c r="Z44" i="11403"/>
  <c r="AA44" i="11403"/>
  <c r="AB44" i="11403"/>
  <c r="AC44" i="11403"/>
  <c r="AD44" i="11403"/>
  <c r="AE44" i="11403"/>
  <c r="AF44" i="11403"/>
  <c r="AG44" i="11403"/>
  <c r="AH44" i="11403"/>
  <c r="AI44" i="11403"/>
  <c r="AJ44" i="11403"/>
  <c r="AK44" i="11403"/>
  <c r="AL44" i="11403"/>
  <c r="AN44" i="11403"/>
  <c r="AO44" i="11403"/>
  <c r="B45" i="11403"/>
  <c r="C45" i="11403"/>
  <c r="D45" i="11403"/>
  <c r="E45" i="11403"/>
  <c r="F45" i="11403"/>
  <c r="G45" i="11403"/>
  <c r="H45" i="11403"/>
  <c r="I45" i="11403"/>
  <c r="J45" i="11403"/>
  <c r="K45" i="11403"/>
  <c r="L45" i="11403"/>
  <c r="M45" i="11403"/>
  <c r="N45" i="11403"/>
  <c r="O45" i="11403"/>
  <c r="P45" i="11403"/>
  <c r="Q45" i="11403"/>
  <c r="R45" i="11403"/>
  <c r="S45" i="11403"/>
  <c r="T45" i="11403"/>
  <c r="U45" i="11403"/>
  <c r="W45" i="11403"/>
  <c r="X45" i="11403"/>
  <c r="Y45" i="11403"/>
  <c r="Z45" i="11403"/>
  <c r="AA45" i="11403"/>
  <c r="AB45" i="11403"/>
  <c r="AC45" i="11403"/>
  <c r="AD45" i="11403"/>
  <c r="AE45" i="11403"/>
  <c r="AF45" i="11403"/>
  <c r="AG45" i="11403"/>
  <c r="AH45" i="11403"/>
  <c r="AI45" i="11403"/>
  <c r="AJ45" i="11403"/>
  <c r="AK45" i="11403"/>
  <c r="AL45" i="11403"/>
  <c r="AN45" i="11403"/>
  <c r="AO45" i="11403"/>
  <c r="B46" i="11403"/>
  <c r="C46" i="11403"/>
  <c r="D46" i="11403"/>
  <c r="E46" i="11403"/>
  <c r="F46" i="11403"/>
  <c r="G46" i="11403"/>
  <c r="H46" i="11403"/>
  <c r="I46" i="11403"/>
  <c r="J46" i="11403"/>
  <c r="K46" i="11403"/>
  <c r="L46" i="11403"/>
  <c r="M46" i="11403"/>
  <c r="N46" i="11403"/>
  <c r="O46" i="11403"/>
  <c r="P46" i="11403"/>
  <c r="Q46" i="11403"/>
  <c r="R46" i="11403"/>
  <c r="S46" i="11403"/>
  <c r="T46" i="11403"/>
  <c r="U46" i="11403"/>
  <c r="W46" i="11403"/>
  <c r="X46" i="11403"/>
  <c r="Y46" i="11403"/>
  <c r="Z46" i="11403"/>
  <c r="AA46" i="11403"/>
  <c r="AB46" i="11403"/>
  <c r="AC46" i="11403"/>
  <c r="AD46" i="11403"/>
  <c r="AE46" i="11403"/>
  <c r="AF46" i="11403"/>
  <c r="AG46" i="11403"/>
  <c r="AH46" i="11403"/>
  <c r="AI46" i="11403"/>
  <c r="AJ46" i="11403"/>
  <c r="AK46" i="11403"/>
  <c r="AL46" i="11403"/>
  <c r="AN46" i="11403"/>
  <c r="AO46" i="11403"/>
  <c r="B47" i="11403"/>
  <c r="C47" i="11403"/>
  <c r="D47" i="11403"/>
  <c r="E47" i="11403"/>
  <c r="F47" i="11403"/>
  <c r="G47" i="11403"/>
  <c r="H47" i="11403"/>
  <c r="I47" i="11403"/>
  <c r="J47" i="11403"/>
  <c r="K47" i="11403"/>
  <c r="L47" i="11403"/>
  <c r="M47" i="11403"/>
  <c r="N47" i="11403"/>
  <c r="O47" i="11403"/>
  <c r="P47" i="11403"/>
  <c r="Q47" i="11403"/>
  <c r="R47" i="11403"/>
  <c r="S47" i="11403"/>
  <c r="T47" i="11403"/>
  <c r="U47" i="11403"/>
  <c r="W47" i="11403"/>
  <c r="X47" i="11403"/>
  <c r="Y47" i="11403"/>
  <c r="Z47" i="11403"/>
  <c r="AA47" i="11403"/>
  <c r="AB47" i="11403"/>
  <c r="AC47" i="11403"/>
  <c r="AD47" i="11403"/>
  <c r="AE47" i="11403"/>
  <c r="AF47" i="11403"/>
  <c r="AG47" i="11403"/>
  <c r="AH47" i="11403"/>
  <c r="AI47" i="11403"/>
  <c r="AJ47" i="11403"/>
  <c r="AK47" i="11403"/>
  <c r="AL47" i="11403"/>
  <c r="AN47" i="11403"/>
  <c r="AO47" i="11403"/>
  <c r="B48" i="11403"/>
  <c r="C48" i="11403"/>
  <c r="D48" i="11403"/>
  <c r="E48" i="11403"/>
  <c r="F48" i="11403"/>
  <c r="G48" i="11403"/>
  <c r="H48" i="11403"/>
  <c r="I48" i="11403"/>
  <c r="J48" i="11403"/>
  <c r="K48" i="11403"/>
  <c r="L48" i="11403"/>
  <c r="M48" i="11403"/>
  <c r="N48" i="11403"/>
  <c r="O48" i="11403"/>
  <c r="P48" i="11403"/>
  <c r="Q48" i="11403"/>
  <c r="R48" i="11403"/>
  <c r="S48" i="11403"/>
  <c r="T48" i="11403"/>
  <c r="U48" i="11403"/>
  <c r="W48" i="11403"/>
  <c r="X48" i="11403"/>
  <c r="Y48" i="11403"/>
  <c r="Z48" i="11403"/>
  <c r="AA48" i="11403"/>
  <c r="AB48" i="11403"/>
  <c r="AC48" i="11403"/>
  <c r="AD48" i="11403"/>
  <c r="AE48" i="11403"/>
  <c r="AF48" i="11403"/>
  <c r="AG48" i="11403"/>
  <c r="AH48" i="11403"/>
  <c r="AI48" i="11403"/>
  <c r="AJ48" i="11403"/>
  <c r="AK48" i="11403"/>
  <c r="AL48" i="11403"/>
  <c r="AN48" i="11403"/>
  <c r="AO48" i="11403"/>
  <c r="B49" i="11403"/>
  <c r="C49" i="11403"/>
  <c r="D49" i="11403"/>
  <c r="E49" i="11403"/>
  <c r="F49" i="11403"/>
  <c r="G49" i="11403"/>
  <c r="H49" i="11403"/>
  <c r="I49" i="11403"/>
  <c r="J49" i="11403"/>
  <c r="K49" i="11403"/>
  <c r="L49" i="11403"/>
  <c r="M49" i="11403"/>
  <c r="N49" i="11403"/>
  <c r="O49" i="11403"/>
  <c r="P49" i="11403"/>
  <c r="Q49" i="11403"/>
  <c r="R49" i="11403"/>
  <c r="S49" i="11403"/>
  <c r="T49" i="11403"/>
  <c r="U49" i="11403"/>
  <c r="W49" i="11403"/>
  <c r="X49" i="11403"/>
  <c r="Y49" i="11403"/>
  <c r="Z49" i="11403"/>
  <c r="AA49" i="11403"/>
  <c r="AB49" i="11403"/>
  <c r="AC49" i="11403"/>
  <c r="AD49" i="11403"/>
  <c r="AE49" i="11403"/>
  <c r="AF49" i="11403"/>
  <c r="AG49" i="11403"/>
  <c r="AH49" i="11403"/>
  <c r="AI49" i="11403"/>
  <c r="AJ49" i="11403"/>
  <c r="AK49" i="11403"/>
  <c r="AL49" i="11403"/>
  <c r="AN49" i="11403"/>
  <c r="AO49" i="11403"/>
  <c r="B50" i="11403"/>
  <c r="C50" i="11403"/>
  <c r="D50" i="11403"/>
  <c r="E50" i="11403"/>
  <c r="F50" i="11403"/>
  <c r="G50" i="11403"/>
  <c r="H50" i="11403"/>
  <c r="I50" i="11403"/>
  <c r="J50" i="11403"/>
  <c r="K50" i="11403"/>
  <c r="L50" i="11403"/>
  <c r="M50" i="11403"/>
  <c r="N50" i="11403"/>
  <c r="O50" i="11403"/>
  <c r="P50" i="11403"/>
  <c r="Q50" i="11403"/>
  <c r="R50" i="11403"/>
  <c r="S50" i="11403"/>
  <c r="T50" i="11403"/>
  <c r="U50" i="11403"/>
  <c r="W50" i="11403"/>
  <c r="X50" i="11403"/>
  <c r="Y50" i="11403"/>
  <c r="Z50" i="11403"/>
  <c r="AA50" i="11403"/>
  <c r="AB50" i="11403"/>
  <c r="AC50" i="11403"/>
  <c r="AD50" i="11403"/>
  <c r="AE50" i="11403"/>
  <c r="AF50" i="11403"/>
  <c r="AG50" i="11403"/>
  <c r="AH50" i="11403"/>
  <c r="AI50" i="11403"/>
  <c r="AJ50" i="11403"/>
  <c r="AK50" i="11403"/>
  <c r="AL50" i="11403"/>
  <c r="AN50" i="11403"/>
  <c r="AO50" i="11403"/>
  <c r="B51" i="11403"/>
  <c r="C51" i="11403"/>
  <c r="D51" i="11403"/>
  <c r="E51" i="11403"/>
  <c r="F51" i="11403"/>
  <c r="G51" i="11403"/>
  <c r="H51" i="11403"/>
  <c r="I51" i="11403"/>
  <c r="J51" i="11403"/>
  <c r="K51" i="11403"/>
  <c r="L51" i="11403"/>
  <c r="M51" i="11403"/>
  <c r="N51" i="11403"/>
  <c r="O51" i="11403"/>
  <c r="P51" i="11403"/>
  <c r="Q51" i="11403"/>
  <c r="R51" i="11403"/>
  <c r="S51" i="11403"/>
  <c r="T51" i="11403"/>
  <c r="U51" i="11403"/>
  <c r="W51" i="11403"/>
  <c r="X51" i="11403"/>
  <c r="Y51" i="11403"/>
  <c r="Z51" i="11403"/>
  <c r="AA51" i="11403"/>
  <c r="AB51" i="11403"/>
  <c r="AC51" i="11403"/>
  <c r="AD51" i="11403"/>
  <c r="AE51" i="11403"/>
  <c r="AF51" i="11403"/>
  <c r="AG51" i="11403"/>
  <c r="AH51" i="11403"/>
  <c r="AI51" i="11403"/>
  <c r="AJ51" i="11403"/>
  <c r="AK51" i="11403"/>
  <c r="AL51" i="11403"/>
  <c r="AN51" i="11403"/>
  <c r="AO51" i="11403"/>
  <c r="B52" i="11403"/>
  <c r="C52" i="11403"/>
  <c r="D52" i="11403"/>
  <c r="E52" i="11403"/>
  <c r="F52" i="11403"/>
  <c r="G52" i="11403"/>
  <c r="H52" i="11403"/>
  <c r="I52" i="11403"/>
  <c r="J52" i="11403"/>
  <c r="K52" i="11403"/>
  <c r="L52" i="11403"/>
  <c r="M52" i="11403"/>
  <c r="N52" i="11403"/>
  <c r="O52" i="11403"/>
  <c r="P52" i="11403"/>
  <c r="Q52" i="11403"/>
  <c r="R52" i="11403"/>
  <c r="S52" i="11403"/>
  <c r="T52" i="11403"/>
  <c r="U52" i="11403"/>
  <c r="W52" i="11403"/>
  <c r="X52" i="11403"/>
  <c r="Y52" i="11403"/>
  <c r="Z52" i="11403"/>
  <c r="AA52" i="11403"/>
  <c r="AB52" i="11403"/>
  <c r="AC52" i="11403"/>
  <c r="AD52" i="11403"/>
  <c r="AE52" i="11403"/>
  <c r="AF52" i="11403"/>
  <c r="AG52" i="11403"/>
  <c r="AH52" i="11403"/>
  <c r="AI52" i="11403"/>
  <c r="AJ52" i="11403"/>
  <c r="AK52" i="11403"/>
  <c r="AL52" i="11403"/>
  <c r="AN52" i="11403"/>
  <c r="AO52" i="11403"/>
  <c r="B53" i="11403"/>
  <c r="C53" i="11403"/>
  <c r="D53" i="11403"/>
  <c r="E53" i="11403"/>
  <c r="F53" i="11403"/>
  <c r="G53" i="11403"/>
  <c r="H53" i="11403"/>
  <c r="I53" i="11403"/>
  <c r="J53" i="11403"/>
  <c r="K53" i="11403"/>
  <c r="L53" i="11403"/>
  <c r="M53" i="11403"/>
  <c r="N53" i="11403"/>
  <c r="O53" i="11403"/>
  <c r="P53" i="11403"/>
  <c r="Q53" i="11403"/>
  <c r="R53" i="11403"/>
  <c r="S53" i="11403"/>
  <c r="T53" i="11403"/>
  <c r="U53" i="11403"/>
  <c r="W53" i="11403"/>
  <c r="X53" i="11403"/>
  <c r="Y53" i="11403"/>
  <c r="Z53" i="11403"/>
  <c r="AA53" i="11403"/>
  <c r="AB53" i="11403"/>
  <c r="AC53" i="11403"/>
  <c r="AD53" i="11403"/>
  <c r="AE53" i="11403"/>
  <c r="AF53" i="11403"/>
  <c r="AG53" i="11403"/>
  <c r="AH53" i="11403"/>
  <c r="AI53" i="11403"/>
  <c r="AJ53" i="11403"/>
  <c r="AK53" i="11403"/>
  <c r="AL53" i="11403"/>
  <c r="AN53" i="11403"/>
  <c r="AO53" i="11403"/>
  <c r="B54" i="11403"/>
  <c r="C54" i="11403"/>
  <c r="D54" i="11403"/>
  <c r="E54" i="11403"/>
  <c r="F54" i="11403"/>
  <c r="G54" i="11403"/>
  <c r="H54" i="11403"/>
  <c r="I54" i="11403"/>
  <c r="J54" i="11403"/>
  <c r="K54" i="11403"/>
  <c r="L54" i="11403"/>
  <c r="M54" i="11403"/>
  <c r="N54" i="11403"/>
  <c r="O54" i="11403"/>
  <c r="P54" i="11403"/>
  <c r="Q54" i="11403"/>
  <c r="R54" i="11403"/>
  <c r="S54" i="11403"/>
  <c r="T54" i="11403"/>
  <c r="U54" i="11403"/>
  <c r="W54" i="11403"/>
  <c r="X54" i="11403"/>
  <c r="Y54" i="11403"/>
  <c r="Z54" i="11403"/>
  <c r="AA54" i="11403"/>
  <c r="AB54" i="11403"/>
  <c r="AC54" i="11403"/>
  <c r="AD54" i="11403"/>
  <c r="AE54" i="11403"/>
  <c r="AF54" i="11403"/>
  <c r="AG54" i="11403"/>
  <c r="AH54" i="11403"/>
  <c r="AI54" i="11403"/>
  <c r="AJ54" i="11403"/>
  <c r="AK54" i="11403"/>
  <c r="AL54" i="11403"/>
  <c r="AN54" i="11403"/>
  <c r="AO54" i="11403"/>
  <c r="B55" i="11403"/>
  <c r="C55" i="11403"/>
  <c r="D55" i="11403"/>
  <c r="E55" i="11403"/>
  <c r="F55" i="11403"/>
  <c r="G55" i="11403"/>
  <c r="H55" i="11403"/>
  <c r="I55" i="11403"/>
  <c r="J55" i="11403"/>
  <c r="K55" i="11403"/>
  <c r="L55" i="11403"/>
  <c r="M55" i="11403"/>
  <c r="N55" i="11403"/>
  <c r="O55" i="11403"/>
  <c r="P55" i="11403"/>
  <c r="Q55" i="11403"/>
  <c r="R55" i="11403"/>
  <c r="S55" i="11403"/>
  <c r="T55" i="11403"/>
  <c r="U55" i="11403"/>
  <c r="W55" i="11403"/>
  <c r="X55" i="11403"/>
  <c r="Y55" i="11403"/>
  <c r="Z55" i="11403"/>
  <c r="AA55" i="11403"/>
  <c r="AB55" i="11403"/>
  <c r="AC55" i="11403"/>
  <c r="AD55" i="11403"/>
  <c r="AE55" i="11403"/>
  <c r="AF55" i="11403"/>
  <c r="AG55" i="11403"/>
  <c r="AH55" i="11403"/>
  <c r="AI55" i="11403"/>
  <c r="AJ55" i="11403"/>
  <c r="AK55" i="11403"/>
  <c r="AL55" i="11403"/>
  <c r="AN55" i="11403"/>
  <c r="AO55" i="11403"/>
  <c r="B56" i="11403"/>
  <c r="C56" i="11403"/>
  <c r="D56" i="11403"/>
  <c r="E56" i="11403"/>
  <c r="F56" i="11403"/>
  <c r="G56" i="11403"/>
  <c r="H56" i="11403"/>
  <c r="I56" i="11403"/>
  <c r="J56" i="11403"/>
  <c r="K56" i="11403"/>
  <c r="L56" i="11403"/>
  <c r="M56" i="11403"/>
  <c r="N56" i="11403"/>
  <c r="O56" i="11403"/>
  <c r="P56" i="11403"/>
  <c r="Q56" i="11403"/>
  <c r="R56" i="11403"/>
  <c r="S56" i="11403"/>
  <c r="T56" i="11403"/>
  <c r="U56" i="11403"/>
  <c r="W56" i="11403"/>
  <c r="X56" i="11403"/>
  <c r="Y56" i="11403"/>
  <c r="Z56" i="11403"/>
  <c r="AA56" i="11403"/>
  <c r="AB56" i="11403"/>
  <c r="AC56" i="11403"/>
  <c r="AD56" i="11403"/>
  <c r="AE56" i="11403"/>
  <c r="AF56" i="11403"/>
  <c r="AG56" i="11403"/>
  <c r="AH56" i="11403"/>
  <c r="AI56" i="11403"/>
  <c r="AJ56" i="11403"/>
  <c r="AK56" i="11403"/>
  <c r="AL56" i="11403"/>
  <c r="AN56" i="11403"/>
  <c r="AO56" i="11403"/>
  <c r="B57" i="11403"/>
  <c r="C57" i="11403"/>
  <c r="D57" i="11403"/>
  <c r="E57" i="11403"/>
  <c r="F57" i="11403"/>
  <c r="G57" i="11403"/>
  <c r="H57" i="11403"/>
  <c r="I57" i="11403"/>
  <c r="J57" i="11403"/>
  <c r="K57" i="11403"/>
  <c r="L57" i="11403"/>
  <c r="M57" i="11403"/>
  <c r="N57" i="11403"/>
  <c r="O57" i="11403"/>
  <c r="P57" i="11403"/>
  <c r="Q57" i="11403"/>
  <c r="R57" i="11403"/>
  <c r="S57" i="11403"/>
  <c r="T57" i="11403"/>
  <c r="U57" i="11403"/>
  <c r="W57" i="11403"/>
  <c r="X57" i="11403"/>
  <c r="Y57" i="11403"/>
  <c r="Z57" i="11403"/>
  <c r="AA57" i="11403"/>
  <c r="AB57" i="11403"/>
  <c r="AC57" i="11403"/>
  <c r="AD57" i="11403"/>
  <c r="AE57" i="11403"/>
  <c r="AF57" i="11403"/>
  <c r="AG57" i="11403"/>
  <c r="AH57" i="11403"/>
  <c r="AI57" i="11403"/>
  <c r="AJ57" i="11403"/>
  <c r="AK57" i="11403"/>
  <c r="AL57" i="11403"/>
  <c r="AN57" i="11403"/>
  <c r="AO57" i="11403"/>
  <c r="B58" i="11403"/>
  <c r="C58" i="11403"/>
  <c r="D58" i="11403"/>
  <c r="E58" i="11403"/>
  <c r="F58" i="11403"/>
  <c r="G58" i="11403"/>
  <c r="H58" i="11403"/>
  <c r="I58" i="11403"/>
  <c r="J58" i="11403"/>
  <c r="K58" i="11403"/>
  <c r="L58" i="11403"/>
  <c r="M58" i="11403"/>
  <c r="N58" i="11403"/>
  <c r="O58" i="11403"/>
  <c r="P58" i="11403"/>
  <c r="Q58" i="11403"/>
  <c r="R58" i="11403"/>
  <c r="S58" i="11403"/>
  <c r="T58" i="11403"/>
  <c r="U58" i="11403"/>
  <c r="W58" i="11403"/>
  <c r="X58" i="11403"/>
  <c r="Y58" i="11403"/>
  <c r="Z58" i="11403"/>
  <c r="AA58" i="11403"/>
  <c r="AB58" i="11403"/>
  <c r="AC58" i="11403"/>
  <c r="AD58" i="11403"/>
  <c r="AE58" i="11403"/>
  <c r="AF58" i="11403"/>
  <c r="AG58" i="11403"/>
  <c r="AH58" i="11403"/>
  <c r="AI58" i="11403"/>
  <c r="AJ58" i="11403"/>
  <c r="AK58" i="11403"/>
  <c r="AL58" i="11403"/>
  <c r="AN58" i="11403"/>
  <c r="AO58" i="11403"/>
  <c r="B59" i="11403"/>
  <c r="C59" i="11403"/>
  <c r="D59" i="11403"/>
  <c r="E59" i="11403"/>
  <c r="F59" i="11403"/>
  <c r="G59" i="11403"/>
  <c r="H59" i="11403"/>
  <c r="I59" i="11403"/>
  <c r="J59" i="11403"/>
  <c r="K59" i="11403"/>
  <c r="L59" i="11403"/>
  <c r="M59" i="11403"/>
  <c r="N59" i="11403"/>
  <c r="O59" i="11403"/>
  <c r="P59" i="11403"/>
  <c r="Q59" i="11403"/>
  <c r="R59" i="11403"/>
  <c r="S59" i="11403"/>
  <c r="T59" i="11403"/>
  <c r="U59" i="11403"/>
  <c r="W59" i="11403"/>
  <c r="X59" i="11403"/>
  <c r="Y59" i="11403"/>
  <c r="Z59" i="11403"/>
  <c r="AA59" i="11403"/>
  <c r="AB59" i="11403"/>
  <c r="AC59" i="11403"/>
  <c r="AD59" i="11403"/>
  <c r="AE59" i="11403"/>
  <c r="AF59" i="11403"/>
  <c r="AG59" i="11403"/>
  <c r="AH59" i="11403"/>
  <c r="AI59" i="11403"/>
  <c r="AJ59" i="11403"/>
  <c r="AK59" i="11403"/>
  <c r="AL59" i="11403"/>
  <c r="AN59" i="11403"/>
  <c r="AO59" i="11403"/>
  <c r="B60" i="11403"/>
  <c r="C60" i="11403"/>
  <c r="D60" i="11403"/>
  <c r="E60" i="11403"/>
  <c r="F60" i="11403"/>
  <c r="G60" i="11403"/>
  <c r="H60" i="11403"/>
  <c r="I60" i="11403"/>
  <c r="J60" i="11403"/>
  <c r="K60" i="11403"/>
  <c r="L60" i="11403"/>
  <c r="M60" i="11403"/>
  <c r="N60" i="11403"/>
  <c r="O60" i="11403"/>
  <c r="P60" i="11403"/>
  <c r="Q60" i="11403"/>
  <c r="R60" i="11403"/>
  <c r="S60" i="11403"/>
  <c r="T60" i="11403"/>
  <c r="U60" i="11403"/>
  <c r="W60" i="11403"/>
  <c r="X60" i="11403"/>
  <c r="Y60" i="11403"/>
  <c r="Z60" i="11403"/>
  <c r="AA60" i="11403"/>
  <c r="AB60" i="11403"/>
  <c r="AC60" i="11403"/>
  <c r="AD60" i="11403"/>
  <c r="AE60" i="11403"/>
  <c r="AF60" i="11403"/>
  <c r="AG60" i="11403"/>
  <c r="AH60" i="11403"/>
  <c r="AI60" i="11403"/>
  <c r="AJ60" i="11403"/>
  <c r="AK60" i="11403"/>
  <c r="AL60" i="11403"/>
  <c r="AN60" i="11403"/>
  <c r="AO60" i="11403"/>
  <c r="B61" i="11403"/>
  <c r="C61" i="11403"/>
  <c r="D61" i="11403"/>
  <c r="E61" i="11403"/>
  <c r="F61" i="11403"/>
  <c r="G61" i="11403"/>
  <c r="H61" i="11403"/>
  <c r="I61" i="11403"/>
  <c r="J61" i="11403"/>
  <c r="K61" i="11403"/>
  <c r="L61" i="11403"/>
  <c r="M61" i="11403"/>
  <c r="N61" i="11403"/>
  <c r="O61" i="11403"/>
  <c r="P61" i="11403"/>
  <c r="Q61" i="11403"/>
  <c r="R61" i="11403"/>
  <c r="S61" i="11403"/>
  <c r="T61" i="11403"/>
  <c r="U61" i="11403"/>
  <c r="W61" i="11403"/>
  <c r="X61" i="11403"/>
  <c r="Y61" i="11403"/>
  <c r="Z61" i="11403"/>
  <c r="AA61" i="11403"/>
  <c r="AB61" i="11403"/>
  <c r="AC61" i="11403"/>
  <c r="AD61" i="11403"/>
  <c r="AE61" i="11403"/>
  <c r="AF61" i="11403"/>
  <c r="AG61" i="11403"/>
  <c r="AH61" i="11403"/>
  <c r="AI61" i="11403"/>
  <c r="AJ61" i="11403"/>
  <c r="AK61" i="11403"/>
  <c r="AL61" i="11403"/>
  <c r="AN61" i="11403"/>
  <c r="AO61" i="11403"/>
  <c r="B62" i="11403"/>
  <c r="C62" i="11403"/>
  <c r="D62" i="11403"/>
  <c r="E62" i="11403"/>
  <c r="F62" i="11403"/>
  <c r="G62" i="11403"/>
  <c r="H62" i="11403"/>
  <c r="I62" i="11403"/>
  <c r="J62" i="11403"/>
  <c r="K62" i="11403"/>
  <c r="L62" i="11403"/>
  <c r="M62" i="11403"/>
  <c r="N62" i="11403"/>
  <c r="O62" i="11403"/>
  <c r="P62" i="11403"/>
  <c r="Q62" i="11403"/>
  <c r="R62" i="11403"/>
  <c r="S62" i="11403"/>
  <c r="T62" i="11403"/>
  <c r="U62" i="11403"/>
  <c r="W62" i="11403"/>
  <c r="X62" i="11403"/>
  <c r="Y62" i="11403"/>
  <c r="Z62" i="11403"/>
  <c r="AA62" i="11403"/>
  <c r="AB62" i="11403"/>
  <c r="AC62" i="11403"/>
  <c r="AD62" i="11403"/>
  <c r="AE62" i="11403"/>
  <c r="AF62" i="11403"/>
  <c r="AG62" i="11403"/>
  <c r="AH62" i="11403"/>
  <c r="AI62" i="11403"/>
  <c r="AJ62" i="11403"/>
  <c r="AK62" i="11403"/>
  <c r="AL62" i="11403"/>
  <c r="AN62" i="11403"/>
  <c r="AO62" i="11403"/>
  <c r="B63" i="11403"/>
  <c r="C63" i="11403"/>
  <c r="D63" i="11403"/>
  <c r="E63" i="11403"/>
  <c r="F63" i="11403"/>
  <c r="G63" i="11403"/>
  <c r="H63" i="11403"/>
  <c r="I63" i="11403"/>
  <c r="J63" i="11403"/>
  <c r="K63" i="11403"/>
  <c r="L63" i="11403"/>
  <c r="M63" i="11403"/>
  <c r="N63" i="11403"/>
  <c r="O63" i="11403"/>
  <c r="P63" i="11403"/>
  <c r="Q63" i="11403"/>
  <c r="R63" i="11403"/>
  <c r="S63" i="11403"/>
  <c r="T63" i="11403"/>
  <c r="U63" i="11403"/>
  <c r="W63" i="11403"/>
  <c r="X63" i="11403"/>
  <c r="Y63" i="11403"/>
  <c r="Z63" i="11403"/>
  <c r="AA63" i="11403"/>
  <c r="AB63" i="11403"/>
  <c r="AC63" i="11403"/>
  <c r="AD63" i="11403"/>
  <c r="AE63" i="11403"/>
  <c r="AF63" i="11403"/>
  <c r="AG63" i="11403"/>
  <c r="AH63" i="11403"/>
  <c r="AI63" i="11403"/>
  <c r="AJ63" i="11403"/>
  <c r="AK63" i="11403"/>
  <c r="AL63" i="11403"/>
  <c r="AN63" i="11403"/>
  <c r="AO63" i="11403"/>
  <c r="B64" i="11403"/>
  <c r="C64" i="11403"/>
  <c r="D64" i="11403"/>
  <c r="E64" i="11403"/>
  <c r="F64" i="11403"/>
  <c r="G64" i="11403"/>
  <c r="H64" i="11403"/>
  <c r="I64" i="11403"/>
  <c r="J64" i="11403"/>
  <c r="K64" i="11403"/>
  <c r="L64" i="11403"/>
  <c r="M64" i="11403"/>
  <c r="N64" i="11403"/>
  <c r="O64" i="11403"/>
  <c r="P64" i="11403"/>
  <c r="Q64" i="11403"/>
  <c r="R64" i="11403"/>
  <c r="S64" i="11403"/>
  <c r="T64" i="11403"/>
  <c r="U64" i="11403"/>
  <c r="W64" i="11403"/>
  <c r="X64" i="11403"/>
  <c r="Y64" i="11403"/>
  <c r="Z64" i="11403"/>
  <c r="AA64" i="11403"/>
  <c r="AB64" i="11403"/>
  <c r="AC64" i="11403"/>
  <c r="AD64" i="11403"/>
  <c r="AE64" i="11403"/>
  <c r="AF64" i="11403"/>
  <c r="AG64" i="11403"/>
  <c r="AH64" i="11403"/>
  <c r="AI64" i="11403"/>
  <c r="AJ64" i="11403"/>
  <c r="AK64" i="11403"/>
  <c r="AL64" i="11403"/>
  <c r="AN64" i="11403"/>
  <c r="AO64" i="11403"/>
  <c r="B65" i="11403"/>
  <c r="C65" i="11403"/>
  <c r="D65" i="11403"/>
  <c r="E65" i="11403"/>
  <c r="F65" i="11403"/>
  <c r="G65" i="11403"/>
  <c r="H65" i="11403"/>
  <c r="I65" i="11403"/>
  <c r="J65" i="11403"/>
  <c r="K65" i="11403"/>
  <c r="L65" i="11403"/>
  <c r="M65" i="11403"/>
  <c r="N65" i="11403"/>
  <c r="O65" i="11403"/>
  <c r="P65" i="11403"/>
  <c r="Q65" i="11403"/>
  <c r="R65" i="11403"/>
  <c r="S65" i="11403"/>
  <c r="T65" i="11403"/>
  <c r="U65" i="11403"/>
  <c r="W65" i="11403"/>
  <c r="X65" i="11403"/>
  <c r="Y65" i="11403"/>
  <c r="Z65" i="11403"/>
  <c r="AA65" i="11403"/>
  <c r="AB65" i="11403"/>
  <c r="AC65" i="11403"/>
  <c r="AD65" i="11403"/>
  <c r="AE65" i="11403"/>
  <c r="AF65" i="11403"/>
  <c r="AG65" i="11403"/>
  <c r="AH65" i="11403"/>
  <c r="AI65" i="11403"/>
  <c r="AJ65" i="11403"/>
  <c r="AK65" i="11403"/>
  <c r="AL65" i="11403"/>
  <c r="AN65" i="11403"/>
  <c r="AO65" i="11403"/>
  <c r="B66" i="11403"/>
  <c r="C66" i="11403"/>
  <c r="D66" i="11403"/>
  <c r="E66" i="11403"/>
  <c r="F66" i="11403"/>
  <c r="G66" i="11403"/>
  <c r="H66" i="11403"/>
  <c r="I66" i="11403"/>
  <c r="J66" i="11403"/>
  <c r="K66" i="11403"/>
  <c r="L66" i="11403"/>
  <c r="M66" i="11403"/>
  <c r="N66" i="11403"/>
  <c r="O66" i="11403"/>
  <c r="P66" i="11403"/>
  <c r="Q66" i="11403"/>
  <c r="R66" i="11403"/>
  <c r="S66" i="11403"/>
  <c r="T66" i="11403"/>
  <c r="U66" i="11403"/>
  <c r="W66" i="11403"/>
  <c r="X66" i="11403"/>
  <c r="Y66" i="11403"/>
  <c r="Z66" i="11403"/>
  <c r="AA66" i="11403"/>
  <c r="AB66" i="11403"/>
  <c r="AC66" i="11403"/>
  <c r="AD66" i="11403"/>
  <c r="AE66" i="11403"/>
  <c r="AF66" i="11403"/>
  <c r="AG66" i="11403"/>
  <c r="AH66" i="11403"/>
  <c r="AI66" i="11403"/>
  <c r="AJ66" i="11403"/>
  <c r="AK66" i="11403"/>
  <c r="AL66" i="11403"/>
  <c r="AN66" i="11403"/>
  <c r="AO66" i="11403"/>
  <c r="B67" i="11403"/>
  <c r="C67" i="11403"/>
  <c r="D67" i="11403"/>
  <c r="E67" i="11403"/>
  <c r="F67" i="11403"/>
  <c r="G67" i="11403"/>
  <c r="H67" i="11403"/>
  <c r="I67" i="11403"/>
  <c r="J67" i="11403"/>
  <c r="K67" i="11403"/>
  <c r="L67" i="11403"/>
  <c r="M67" i="11403"/>
  <c r="N67" i="11403"/>
  <c r="O67" i="11403"/>
  <c r="P67" i="11403"/>
  <c r="Q67" i="11403"/>
  <c r="R67" i="11403"/>
  <c r="S67" i="11403"/>
  <c r="T67" i="11403"/>
  <c r="U67" i="11403"/>
  <c r="W67" i="11403"/>
  <c r="X67" i="11403"/>
  <c r="Y67" i="11403"/>
  <c r="Z67" i="11403"/>
  <c r="AA67" i="11403"/>
  <c r="AB67" i="11403"/>
  <c r="AC67" i="11403"/>
  <c r="AD67" i="11403"/>
  <c r="AE67" i="11403"/>
  <c r="AF67" i="11403"/>
  <c r="AG67" i="11403"/>
  <c r="AH67" i="11403"/>
  <c r="AI67" i="11403"/>
  <c r="AJ67" i="11403"/>
  <c r="AK67" i="11403"/>
  <c r="AL67" i="11403"/>
  <c r="AN67" i="11403"/>
  <c r="AO67" i="11403"/>
  <c r="B68" i="11403"/>
  <c r="C68" i="11403"/>
  <c r="D68" i="11403"/>
  <c r="E68" i="11403"/>
  <c r="F68" i="11403"/>
  <c r="G68" i="11403"/>
  <c r="H68" i="11403"/>
  <c r="I68" i="11403"/>
  <c r="J68" i="11403"/>
  <c r="K68" i="11403"/>
  <c r="L68" i="11403"/>
  <c r="M68" i="11403"/>
  <c r="N68" i="11403"/>
  <c r="O68" i="11403"/>
  <c r="P68" i="11403"/>
  <c r="Q68" i="11403"/>
  <c r="R68" i="11403"/>
  <c r="S68" i="11403"/>
  <c r="T68" i="11403"/>
  <c r="U68" i="11403"/>
  <c r="W68" i="11403"/>
  <c r="X68" i="11403"/>
  <c r="Y68" i="11403"/>
  <c r="Z68" i="11403"/>
  <c r="AA68" i="11403"/>
  <c r="AB68" i="11403"/>
  <c r="AC68" i="11403"/>
  <c r="AD68" i="11403"/>
  <c r="AE68" i="11403"/>
  <c r="AF68" i="11403"/>
  <c r="AG68" i="11403"/>
  <c r="AH68" i="11403"/>
  <c r="AI68" i="11403"/>
  <c r="AJ68" i="11403"/>
  <c r="AK68" i="11403"/>
  <c r="AL68" i="11403"/>
  <c r="AN68" i="11403"/>
  <c r="AO68" i="11403"/>
  <c r="B69" i="11403"/>
  <c r="C69" i="11403"/>
  <c r="D69" i="11403"/>
  <c r="E69" i="11403"/>
  <c r="F69" i="11403"/>
  <c r="G69" i="11403"/>
  <c r="H69" i="11403"/>
  <c r="I69" i="11403"/>
  <c r="J69" i="11403"/>
  <c r="K69" i="11403"/>
  <c r="L69" i="11403"/>
  <c r="M69" i="11403"/>
  <c r="N69" i="11403"/>
  <c r="O69" i="11403"/>
  <c r="P69" i="11403"/>
  <c r="Q69" i="11403"/>
  <c r="R69" i="11403"/>
  <c r="S69" i="11403"/>
  <c r="T69" i="11403"/>
  <c r="U69" i="11403"/>
  <c r="W69" i="11403"/>
  <c r="X69" i="11403"/>
  <c r="Y69" i="11403"/>
  <c r="Z69" i="11403"/>
  <c r="AA69" i="11403"/>
  <c r="AB69" i="11403"/>
  <c r="AC69" i="11403"/>
  <c r="AD69" i="11403"/>
  <c r="AE69" i="11403"/>
  <c r="AF69" i="11403"/>
  <c r="AG69" i="11403"/>
  <c r="AH69" i="11403"/>
  <c r="AI69" i="11403"/>
  <c r="AJ69" i="11403"/>
  <c r="AK69" i="11403"/>
  <c r="AL69" i="11403"/>
  <c r="AN69" i="11403"/>
  <c r="AO69" i="11403"/>
  <c r="B70" i="11403"/>
  <c r="C70" i="11403"/>
  <c r="D70" i="11403"/>
  <c r="E70" i="11403"/>
  <c r="F70" i="11403"/>
  <c r="G70" i="11403"/>
  <c r="H70" i="11403"/>
  <c r="I70" i="11403"/>
  <c r="J70" i="11403"/>
  <c r="K70" i="11403"/>
  <c r="L70" i="11403"/>
  <c r="M70" i="11403"/>
  <c r="N70" i="11403"/>
  <c r="O70" i="11403"/>
  <c r="P70" i="11403"/>
  <c r="Q70" i="11403"/>
  <c r="R70" i="11403"/>
  <c r="S70" i="11403"/>
  <c r="T70" i="11403"/>
  <c r="U70" i="11403"/>
  <c r="W70" i="11403"/>
  <c r="X70" i="11403"/>
  <c r="Y70" i="11403"/>
  <c r="Z70" i="11403"/>
  <c r="AA70" i="11403"/>
  <c r="AB70" i="11403"/>
  <c r="AC70" i="11403"/>
  <c r="AD70" i="11403"/>
  <c r="AE70" i="11403"/>
  <c r="AF70" i="11403"/>
  <c r="AG70" i="11403"/>
  <c r="AH70" i="11403"/>
  <c r="AI70" i="11403"/>
  <c r="AJ70" i="11403"/>
  <c r="AK70" i="11403"/>
  <c r="AL70" i="11403"/>
  <c r="AN70" i="11403"/>
  <c r="AO70" i="11403"/>
  <c r="B71" i="11403"/>
  <c r="C71" i="11403"/>
  <c r="D71" i="11403"/>
  <c r="E71" i="11403"/>
  <c r="F71" i="11403"/>
  <c r="G71" i="11403"/>
  <c r="H71" i="11403"/>
  <c r="I71" i="11403"/>
  <c r="J71" i="11403"/>
  <c r="K71" i="11403"/>
  <c r="L71" i="11403"/>
  <c r="M71" i="11403"/>
  <c r="N71" i="11403"/>
  <c r="O71" i="11403"/>
  <c r="P71" i="11403"/>
  <c r="Q71" i="11403"/>
  <c r="R71" i="11403"/>
  <c r="S71" i="11403"/>
  <c r="T71" i="11403"/>
  <c r="U71" i="11403"/>
  <c r="W71" i="11403"/>
  <c r="X71" i="11403"/>
  <c r="Y71" i="11403"/>
  <c r="Z71" i="11403"/>
  <c r="AA71" i="11403"/>
  <c r="AB71" i="11403"/>
  <c r="AC71" i="11403"/>
  <c r="AD71" i="11403"/>
  <c r="AE71" i="11403"/>
  <c r="AF71" i="11403"/>
  <c r="AG71" i="11403"/>
  <c r="AH71" i="11403"/>
  <c r="AI71" i="11403"/>
  <c r="AJ71" i="11403"/>
  <c r="AK71" i="11403"/>
  <c r="AL71" i="11403"/>
  <c r="AN71" i="11403"/>
  <c r="AO71" i="11403"/>
  <c r="B72" i="11403"/>
  <c r="C72" i="11403"/>
  <c r="D72" i="11403"/>
  <c r="E72" i="11403"/>
  <c r="F72" i="11403"/>
  <c r="G72" i="11403"/>
  <c r="H72" i="11403"/>
  <c r="I72" i="11403"/>
  <c r="J72" i="11403"/>
  <c r="K72" i="11403"/>
  <c r="L72" i="11403"/>
  <c r="M72" i="11403"/>
  <c r="N72" i="11403"/>
  <c r="O72" i="11403"/>
  <c r="P72" i="11403"/>
  <c r="Q72" i="11403"/>
  <c r="R72" i="11403"/>
  <c r="S72" i="11403"/>
  <c r="T72" i="11403"/>
  <c r="U72" i="11403"/>
  <c r="W72" i="11403"/>
  <c r="X72" i="11403"/>
  <c r="Y72" i="11403"/>
  <c r="Z72" i="11403"/>
  <c r="AA72" i="11403"/>
  <c r="AB72" i="11403"/>
  <c r="AC72" i="11403"/>
  <c r="AD72" i="11403"/>
  <c r="AE72" i="11403"/>
  <c r="AF72" i="11403"/>
  <c r="AG72" i="11403"/>
  <c r="AH72" i="11403"/>
  <c r="AI72" i="11403"/>
  <c r="AJ72" i="11403"/>
  <c r="AK72" i="11403"/>
  <c r="AL72" i="11403"/>
  <c r="AN72" i="11403"/>
  <c r="AO72" i="11403"/>
  <c r="B73" i="11403"/>
  <c r="C73" i="11403"/>
  <c r="D73" i="11403"/>
  <c r="E73" i="11403"/>
  <c r="F73" i="11403"/>
  <c r="G73" i="11403"/>
  <c r="H73" i="11403"/>
  <c r="I73" i="11403"/>
  <c r="J73" i="11403"/>
  <c r="K73" i="11403"/>
  <c r="L73" i="11403"/>
  <c r="M73" i="11403"/>
  <c r="N73" i="11403"/>
  <c r="O73" i="11403"/>
  <c r="P73" i="11403"/>
  <c r="Q73" i="11403"/>
  <c r="R73" i="11403"/>
  <c r="S73" i="11403"/>
  <c r="T73" i="11403"/>
  <c r="U73" i="11403"/>
  <c r="W73" i="11403"/>
  <c r="X73" i="11403"/>
  <c r="Y73" i="11403"/>
  <c r="Z73" i="11403"/>
  <c r="AA73" i="11403"/>
  <c r="AB73" i="11403"/>
  <c r="AC73" i="11403"/>
  <c r="AD73" i="11403"/>
  <c r="AE73" i="11403"/>
  <c r="AF73" i="11403"/>
  <c r="AG73" i="11403"/>
  <c r="AH73" i="11403"/>
  <c r="AI73" i="11403"/>
  <c r="AJ73" i="11403"/>
  <c r="AK73" i="11403"/>
  <c r="AL73" i="11403"/>
  <c r="AN73" i="11403"/>
  <c r="AO73" i="11403"/>
  <c r="B74" i="11403"/>
  <c r="C74" i="11403"/>
  <c r="D74" i="11403"/>
  <c r="E74" i="11403"/>
  <c r="F74" i="11403"/>
  <c r="G74" i="11403"/>
  <c r="H74" i="11403"/>
  <c r="I74" i="11403"/>
  <c r="J74" i="11403"/>
  <c r="K74" i="11403"/>
  <c r="L74" i="11403"/>
  <c r="M74" i="11403"/>
  <c r="N74" i="11403"/>
  <c r="O74" i="11403"/>
  <c r="P74" i="11403"/>
  <c r="Q74" i="11403"/>
  <c r="R74" i="11403"/>
  <c r="S74" i="11403"/>
  <c r="T74" i="11403"/>
  <c r="U74" i="11403"/>
  <c r="W74" i="11403"/>
  <c r="X74" i="11403"/>
  <c r="Y74" i="11403"/>
  <c r="Z74" i="11403"/>
  <c r="AA74" i="11403"/>
  <c r="AB74" i="11403"/>
  <c r="AC74" i="11403"/>
  <c r="AD74" i="11403"/>
  <c r="AE74" i="11403"/>
  <c r="AF74" i="11403"/>
  <c r="AG74" i="11403"/>
  <c r="AH74" i="11403"/>
  <c r="AI74" i="11403"/>
  <c r="AJ74" i="11403"/>
  <c r="AK74" i="11403"/>
  <c r="AL74" i="11403"/>
  <c r="AN74" i="11403"/>
  <c r="AO74" i="11403"/>
  <c r="B75" i="11403"/>
  <c r="C75" i="11403"/>
  <c r="D75" i="11403"/>
  <c r="E75" i="11403"/>
  <c r="F75" i="11403"/>
  <c r="G75" i="11403"/>
  <c r="H75" i="11403"/>
  <c r="I75" i="11403"/>
  <c r="J75" i="11403"/>
  <c r="K75" i="11403"/>
  <c r="L75" i="11403"/>
  <c r="M75" i="11403"/>
  <c r="N75" i="11403"/>
  <c r="O75" i="11403"/>
  <c r="P75" i="11403"/>
  <c r="Q75" i="11403"/>
  <c r="R75" i="11403"/>
  <c r="S75" i="11403"/>
  <c r="T75" i="11403"/>
  <c r="U75" i="11403"/>
  <c r="W75" i="11403"/>
  <c r="X75" i="11403"/>
  <c r="Y75" i="11403"/>
  <c r="Z75" i="11403"/>
  <c r="AA75" i="11403"/>
  <c r="AB75" i="11403"/>
  <c r="AC75" i="11403"/>
  <c r="AD75" i="11403"/>
  <c r="AE75" i="11403"/>
  <c r="AF75" i="11403"/>
  <c r="AG75" i="11403"/>
  <c r="AH75" i="11403"/>
  <c r="AI75" i="11403"/>
  <c r="AJ75" i="11403"/>
  <c r="AK75" i="11403"/>
  <c r="AL75" i="11403"/>
  <c r="AN75" i="11403"/>
  <c r="AO75" i="11403"/>
  <c r="B76" i="11403"/>
  <c r="C76" i="11403"/>
  <c r="D76" i="11403"/>
  <c r="E76" i="11403"/>
  <c r="F76" i="11403"/>
  <c r="G76" i="11403"/>
  <c r="H76" i="11403"/>
  <c r="I76" i="11403"/>
  <c r="J76" i="11403"/>
  <c r="K76" i="11403"/>
  <c r="L76" i="11403"/>
  <c r="M76" i="11403"/>
  <c r="N76" i="11403"/>
  <c r="O76" i="11403"/>
  <c r="P76" i="11403"/>
  <c r="Q76" i="11403"/>
  <c r="R76" i="11403"/>
  <c r="S76" i="11403"/>
  <c r="T76" i="11403"/>
  <c r="U76" i="11403"/>
  <c r="W76" i="11403"/>
  <c r="X76" i="11403"/>
  <c r="Y76" i="11403"/>
  <c r="Z76" i="11403"/>
  <c r="AA76" i="11403"/>
  <c r="AB76" i="11403"/>
  <c r="AC76" i="11403"/>
  <c r="AD76" i="11403"/>
  <c r="AE76" i="11403"/>
  <c r="AF76" i="11403"/>
  <c r="AG76" i="11403"/>
  <c r="AH76" i="11403"/>
  <c r="AI76" i="11403"/>
  <c r="AJ76" i="11403"/>
  <c r="AK76" i="11403"/>
  <c r="AL76" i="11403"/>
  <c r="AN76" i="11403"/>
  <c r="AO76" i="11403"/>
  <c r="B77" i="11403"/>
  <c r="C77" i="11403"/>
  <c r="D77" i="11403"/>
  <c r="E77" i="11403"/>
  <c r="F77" i="11403"/>
  <c r="G77" i="11403"/>
  <c r="H77" i="11403"/>
  <c r="I77" i="11403"/>
  <c r="J77" i="11403"/>
  <c r="K77" i="11403"/>
  <c r="L77" i="11403"/>
  <c r="M77" i="11403"/>
  <c r="N77" i="11403"/>
  <c r="O77" i="11403"/>
  <c r="P77" i="11403"/>
  <c r="Q77" i="11403"/>
  <c r="R77" i="11403"/>
  <c r="S77" i="11403"/>
  <c r="T77" i="11403"/>
  <c r="U77" i="11403"/>
  <c r="W77" i="11403"/>
  <c r="X77" i="11403"/>
  <c r="Y77" i="11403"/>
  <c r="Z77" i="11403"/>
  <c r="AA77" i="11403"/>
  <c r="AB77" i="11403"/>
  <c r="AC77" i="11403"/>
  <c r="AD77" i="11403"/>
  <c r="AE77" i="11403"/>
  <c r="AF77" i="11403"/>
  <c r="AG77" i="11403"/>
  <c r="AH77" i="11403"/>
  <c r="AI77" i="11403"/>
  <c r="AJ77" i="11403"/>
  <c r="AK77" i="11403"/>
  <c r="AL77" i="11403"/>
  <c r="AN77" i="11403"/>
  <c r="AO77" i="11403"/>
  <c r="B78" i="11403"/>
  <c r="C78" i="11403"/>
  <c r="D78" i="11403"/>
  <c r="E78" i="11403"/>
  <c r="F78" i="11403"/>
  <c r="G78" i="11403"/>
  <c r="H78" i="11403"/>
  <c r="I78" i="11403"/>
  <c r="J78" i="11403"/>
  <c r="K78" i="11403"/>
  <c r="L78" i="11403"/>
  <c r="M78" i="11403"/>
  <c r="N78" i="11403"/>
  <c r="O78" i="11403"/>
  <c r="P78" i="11403"/>
  <c r="Q78" i="11403"/>
  <c r="R78" i="11403"/>
  <c r="S78" i="11403"/>
  <c r="T78" i="11403"/>
  <c r="U78" i="11403"/>
  <c r="W78" i="11403"/>
  <c r="X78" i="11403"/>
  <c r="Y78" i="11403"/>
  <c r="Z78" i="11403"/>
  <c r="AA78" i="11403"/>
  <c r="AB78" i="11403"/>
  <c r="AC78" i="11403"/>
  <c r="AD78" i="11403"/>
  <c r="AE78" i="11403"/>
  <c r="AF78" i="11403"/>
  <c r="AG78" i="11403"/>
  <c r="AH78" i="11403"/>
  <c r="AI78" i="11403"/>
  <c r="AJ78" i="11403"/>
  <c r="AK78" i="11403"/>
  <c r="AL78" i="11403"/>
  <c r="AN78" i="11403"/>
  <c r="AO78" i="11403"/>
  <c r="B79" i="11403"/>
  <c r="C79" i="11403"/>
  <c r="D79" i="11403"/>
  <c r="E79" i="11403"/>
  <c r="F79" i="11403"/>
  <c r="G79" i="11403"/>
  <c r="H79" i="11403"/>
  <c r="I79" i="11403"/>
  <c r="J79" i="11403"/>
  <c r="K79" i="11403"/>
  <c r="L79" i="11403"/>
  <c r="M79" i="11403"/>
  <c r="N79" i="11403"/>
  <c r="O79" i="11403"/>
  <c r="P79" i="11403"/>
  <c r="Q79" i="11403"/>
  <c r="R79" i="11403"/>
  <c r="S79" i="11403"/>
  <c r="T79" i="11403"/>
  <c r="U79" i="11403"/>
  <c r="W79" i="11403"/>
  <c r="X79" i="11403"/>
  <c r="Y79" i="11403"/>
  <c r="Z79" i="11403"/>
  <c r="AA79" i="11403"/>
  <c r="AB79" i="11403"/>
  <c r="AC79" i="11403"/>
  <c r="AD79" i="11403"/>
  <c r="AE79" i="11403"/>
  <c r="AF79" i="11403"/>
  <c r="AG79" i="11403"/>
  <c r="AH79" i="11403"/>
  <c r="AI79" i="11403"/>
  <c r="AJ79" i="11403"/>
  <c r="AK79" i="11403"/>
  <c r="AL79" i="11403"/>
  <c r="AN79" i="11403"/>
  <c r="AO79" i="11403"/>
  <c r="B80" i="11403"/>
  <c r="C80" i="11403"/>
  <c r="D80" i="11403"/>
  <c r="E80" i="11403"/>
  <c r="F80" i="11403"/>
  <c r="G80" i="11403"/>
  <c r="H80" i="11403"/>
  <c r="I80" i="11403"/>
  <c r="J80" i="11403"/>
  <c r="K80" i="11403"/>
  <c r="L80" i="11403"/>
  <c r="M80" i="11403"/>
  <c r="N80" i="11403"/>
  <c r="O80" i="11403"/>
  <c r="P80" i="11403"/>
  <c r="Q80" i="11403"/>
  <c r="R80" i="11403"/>
  <c r="S80" i="11403"/>
  <c r="T80" i="11403"/>
  <c r="U80" i="11403"/>
  <c r="W80" i="11403"/>
  <c r="X80" i="11403"/>
  <c r="Y80" i="11403"/>
  <c r="Z80" i="11403"/>
  <c r="AA80" i="11403"/>
  <c r="AB80" i="11403"/>
  <c r="AC80" i="11403"/>
  <c r="AD80" i="11403"/>
  <c r="AE80" i="11403"/>
  <c r="AF80" i="11403"/>
  <c r="AG80" i="11403"/>
  <c r="AH80" i="11403"/>
  <c r="AI80" i="11403"/>
  <c r="AJ80" i="11403"/>
  <c r="AK80" i="11403"/>
  <c r="AL80" i="11403"/>
  <c r="AN80" i="11403"/>
  <c r="AO80" i="11403"/>
  <c r="B81" i="11403"/>
  <c r="C81" i="11403"/>
  <c r="D81" i="11403"/>
  <c r="E81" i="11403"/>
  <c r="F81" i="11403"/>
  <c r="G81" i="11403"/>
  <c r="H81" i="11403"/>
  <c r="I81" i="11403"/>
  <c r="J81" i="11403"/>
  <c r="K81" i="11403"/>
  <c r="L81" i="11403"/>
  <c r="M81" i="11403"/>
  <c r="N81" i="11403"/>
  <c r="O81" i="11403"/>
  <c r="P81" i="11403"/>
  <c r="Q81" i="11403"/>
  <c r="R81" i="11403"/>
  <c r="S81" i="11403"/>
  <c r="T81" i="11403"/>
  <c r="U81" i="11403"/>
  <c r="W81" i="11403"/>
  <c r="X81" i="11403"/>
  <c r="Y81" i="11403"/>
  <c r="Z81" i="11403"/>
  <c r="AA81" i="11403"/>
  <c r="AB81" i="11403"/>
  <c r="AC81" i="11403"/>
  <c r="AD81" i="11403"/>
  <c r="AE81" i="11403"/>
  <c r="AF81" i="11403"/>
  <c r="AG81" i="11403"/>
  <c r="AH81" i="11403"/>
  <c r="AI81" i="11403"/>
  <c r="AJ81" i="11403"/>
  <c r="AK81" i="11403"/>
  <c r="AL81" i="11403"/>
  <c r="AN81" i="11403"/>
  <c r="AO81" i="11403"/>
  <c r="B82" i="11403"/>
  <c r="C82" i="11403"/>
  <c r="D82" i="11403"/>
  <c r="E82" i="11403"/>
  <c r="F82" i="11403"/>
  <c r="G82" i="11403"/>
  <c r="H82" i="11403"/>
  <c r="I82" i="11403"/>
  <c r="J82" i="11403"/>
  <c r="K82" i="11403"/>
  <c r="L82" i="11403"/>
  <c r="M82" i="11403"/>
  <c r="N82" i="11403"/>
  <c r="O82" i="11403"/>
  <c r="P82" i="11403"/>
  <c r="Q82" i="11403"/>
  <c r="R82" i="11403"/>
  <c r="S82" i="11403"/>
  <c r="T82" i="11403"/>
  <c r="U82" i="11403"/>
  <c r="W82" i="11403"/>
  <c r="X82" i="11403"/>
  <c r="Y82" i="11403"/>
  <c r="Z82" i="11403"/>
  <c r="AA82" i="11403"/>
  <c r="AB82" i="11403"/>
  <c r="AC82" i="11403"/>
  <c r="AD82" i="11403"/>
  <c r="AE82" i="11403"/>
  <c r="AF82" i="11403"/>
  <c r="AG82" i="11403"/>
  <c r="AH82" i="11403"/>
  <c r="AI82" i="11403"/>
  <c r="AJ82" i="11403"/>
  <c r="AK82" i="11403"/>
  <c r="AL82" i="11403"/>
  <c r="AN82" i="11403"/>
  <c r="AO82" i="11403"/>
  <c r="B83" i="11403"/>
  <c r="C83" i="11403"/>
  <c r="D83" i="11403"/>
  <c r="E83" i="11403"/>
  <c r="F83" i="11403"/>
  <c r="G83" i="11403"/>
  <c r="H83" i="11403"/>
  <c r="I83" i="11403"/>
  <c r="J83" i="11403"/>
  <c r="K83" i="11403"/>
  <c r="L83" i="11403"/>
  <c r="M83" i="11403"/>
  <c r="N83" i="11403"/>
  <c r="O83" i="11403"/>
  <c r="P83" i="11403"/>
  <c r="Q83" i="11403"/>
  <c r="R83" i="11403"/>
  <c r="S83" i="11403"/>
  <c r="T83" i="11403"/>
  <c r="U83" i="11403"/>
  <c r="W83" i="11403"/>
  <c r="X83" i="11403"/>
  <c r="Y83" i="11403"/>
  <c r="Z83" i="11403"/>
  <c r="AA83" i="11403"/>
  <c r="AB83" i="11403"/>
  <c r="AC83" i="11403"/>
  <c r="AD83" i="11403"/>
  <c r="AE83" i="11403"/>
  <c r="AF83" i="11403"/>
  <c r="AG83" i="11403"/>
  <c r="AH83" i="11403"/>
  <c r="AI83" i="11403"/>
  <c r="AJ83" i="11403"/>
  <c r="AK83" i="11403"/>
  <c r="AL83" i="11403"/>
  <c r="AN83" i="11403"/>
  <c r="AO83" i="11403"/>
  <c r="B84" i="11403"/>
  <c r="C84" i="11403"/>
  <c r="D84" i="11403"/>
  <c r="E84" i="11403"/>
  <c r="F84" i="11403"/>
  <c r="G84" i="11403"/>
  <c r="H84" i="11403"/>
  <c r="I84" i="11403"/>
  <c r="J84" i="11403"/>
  <c r="K84" i="11403"/>
  <c r="L84" i="11403"/>
  <c r="M84" i="11403"/>
  <c r="N84" i="11403"/>
  <c r="O84" i="11403"/>
  <c r="P84" i="11403"/>
  <c r="Q84" i="11403"/>
  <c r="R84" i="11403"/>
  <c r="S84" i="11403"/>
  <c r="T84" i="11403"/>
  <c r="U84" i="11403"/>
  <c r="W84" i="11403"/>
  <c r="X84" i="11403"/>
  <c r="Y84" i="11403"/>
  <c r="Z84" i="11403"/>
  <c r="AA84" i="11403"/>
  <c r="AB84" i="11403"/>
  <c r="AC84" i="11403"/>
  <c r="AD84" i="11403"/>
  <c r="AE84" i="11403"/>
  <c r="AF84" i="11403"/>
  <c r="AG84" i="11403"/>
  <c r="AH84" i="11403"/>
  <c r="AI84" i="11403"/>
  <c r="AJ84" i="11403"/>
  <c r="AK84" i="11403"/>
  <c r="AL84" i="11403"/>
  <c r="AN84" i="11403"/>
  <c r="AO84" i="11403"/>
  <c r="B85" i="11403"/>
  <c r="C85" i="11403"/>
  <c r="D85" i="11403"/>
  <c r="E85" i="11403"/>
  <c r="F85" i="11403"/>
  <c r="G85" i="11403"/>
  <c r="H85" i="11403"/>
  <c r="I85" i="11403"/>
  <c r="J85" i="11403"/>
  <c r="K85" i="11403"/>
  <c r="L85" i="11403"/>
  <c r="M85" i="11403"/>
  <c r="N85" i="11403"/>
  <c r="O85" i="11403"/>
  <c r="P85" i="11403"/>
  <c r="Q85" i="11403"/>
  <c r="R85" i="11403"/>
  <c r="S85" i="11403"/>
  <c r="T85" i="11403"/>
  <c r="U85" i="11403"/>
  <c r="W85" i="11403"/>
  <c r="X85" i="11403"/>
  <c r="Y85" i="11403"/>
  <c r="Z85" i="11403"/>
  <c r="AA85" i="11403"/>
  <c r="AB85" i="11403"/>
  <c r="AC85" i="11403"/>
  <c r="AD85" i="11403"/>
  <c r="AE85" i="11403"/>
  <c r="AF85" i="11403"/>
  <c r="AG85" i="11403"/>
  <c r="AH85" i="11403"/>
  <c r="AI85" i="11403"/>
  <c r="AJ85" i="11403"/>
  <c r="AK85" i="11403"/>
  <c r="AL85" i="11403"/>
  <c r="AN85" i="11403"/>
  <c r="AO85" i="11403"/>
  <c r="B86" i="11403"/>
  <c r="C86" i="11403"/>
  <c r="D86" i="11403"/>
  <c r="E86" i="11403"/>
  <c r="F86" i="11403"/>
  <c r="G86" i="11403"/>
  <c r="H86" i="11403"/>
  <c r="I86" i="11403"/>
  <c r="J86" i="11403"/>
  <c r="K86" i="11403"/>
  <c r="L86" i="11403"/>
  <c r="M86" i="11403"/>
  <c r="N86" i="11403"/>
  <c r="O86" i="11403"/>
  <c r="P86" i="11403"/>
  <c r="Q86" i="11403"/>
  <c r="R86" i="11403"/>
  <c r="S86" i="11403"/>
  <c r="T86" i="11403"/>
  <c r="U86" i="11403"/>
  <c r="W86" i="11403"/>
  <c r="X86" i="11403"/>
  <c r="Y86" i="11403"/>
  <c r="Z86" i="11403"/>
  <c r="AA86" i="11403"/>
  <c r="AB86" i="11403"/>
  <c r="AC86" i="11403"/>
  <c r="AD86" i="11403"/>
  <c r="AE86" i="11403"/>
  <c r="AF86" i="11403"/>
  <c r="AG86" i="11403"/>
  <c r="AH86" i="11403"/>
  <c r="AI86" i="11403"/>
  <c r="AJ86" i="11403"/>
  <c r="AK86" i="11403"/>
  <c r="AL86" i="11403"/>
  <c r="AN86" i="11403"/>
  <c r="AO86" i="11403"/>
  <c r="B87" i="11403"/>
  <c r="C87" i="11403"/>
  <c r="D87" i="11403"/>
  <c r="E87" i="11403"/>
  <c r="F87" i="11403"/>
  <c r="G87" i="11403"/>
  <c r="H87" i="11403"/>
  <c r="I87" i="11403"/>
  <c r="J87" i="11403"/>
  <c r="K87" i="11403"/>
  <c r="L87" i="11403"/>
  <c r="M87" i="11403"/>
  <c r="N87" i="11403"/>
  <c r="O87" i="11403"/>
  <c r="P87" i="11403"/>
  <c r="Q87" i="11403"/>
  <c r="R87" i="11403"/>
  <c r="S87" i="11403"/>
  <c r="T87" i="11403"/>
  <c r="U87" i="11403"/>
  <c r="W87" i="11403"/>
  <c r="X87" i="11403"/>
  <c r="Y87" i="11403"/>
  <c r="Z87" i="11403"/>
  <c r="AA87" i="11403"/>
  <c r="AB87" i="11403"/>
  <c r="AC87" i="11403"/>
  <c r="AD87" i="11403"/>
  <c r="AE87" i="11403"/>
  <c r="AF87" i="11403"/>
  <c r="AG87" i="11403"/>
  <c r="AH87" i="11403"/>
  <c r="AI87" i="11403"/>
  <c r="AJ87" i="11403"/>
  <c r="AK87" i="11403"/>
  <c r="AL87" i="11403"/>
  <c r="AN87" i="11403"/>
  <c r="AO87" i="11403"/>
  <c r="B88" i="11403"/>
  <c r="C88" i="11403"/>
  <c r="D88" i="11403"/>
  <c r="E88" i="11403"/>
  <c r="F88" i="11403"/>
  <c r="G88" i="11403"/>
  <c r="H88" i="11403"/>
  <c r="I88" i="11403"/>
  <c r="J88" i="11403"/>
  <c r="K88" i="11403"/>
  <c r="L88" i="11403"/>
  <c r="M88" i="11403"/>
  <c r="N88" i="11403"/>
  <c r="O88" i="11403"/>
  <c r="P88" i="11403"/>
  <c r="Q88" i="11403"/>
  <c r="R88" i="11403"/>
  <c r="S88" i="11403"/>
  <c r="T88" i="11403"/>
  <c r="U88" i="11403"/>
  <c r="W88" i="11403"/>
  <c r="X88" i="11403"/>
  <c r="Y88" i="11403"/>
  <c r="Z88" i="11403"/>
  <c r="AA88" i="11403"/>
  <c r="AB88" i="11403"/>
  <c r="AC88" i="11403"/>
  <c r="AD88" i="11403"/>
  <c r="AE88" i="11403"/>
  <c r="AF88" i="11403"/>
  <c r="AG88" i="11403"/>
  <c r="AH88" i="11403"/>
  <c r="AI88" i="11403"/>
  <c r="AJ88" i="11403"/>
  <c r="AK88" i="11403"/>
  <c r="AL88" i="11403"/>
  <c r="AN88" i="11403"/>
  <c r="AO88" i="11403"/>
  <c r="B89" i="11403"/>
  <c r="C89" i="11403"/>
  <c r="D89" i="11403"/>
  <c r="E89" i="11403"/>
  <c r="F89" i="11403"/>
  <c r="G89" i="11403"/>
  <c r="H89" i="11403"/>
  <c r="I89" i="11403"/>
  <c r="J89" i="11403"/>
  <c r="K89" i="11403"/>
  <c r="L89" i="11403"/>
  <c r="M89" i="11403"/>
  <c r="N89" i="11403"/>
  <c r="O89" i="11403"/>
  <c r="P89" i="11403"/>
  <c r="Q89" i="11403"/>
  <c r="R89" i="11403"/>
  <c r="S89" i="11403"/>
  <c r="T89" i="11403"/>
  <c r="U89" i="11403"/>
  <c r="W89" i="11403"/>
  <c r="X89" i="11403"/>
  <c r="Y89" i="11403"/>
  <c r="Z89" i="11403"/>
  <c r="AA89" i="11403"/>
  <c r="AB89" i="11403"/>
  <c r="AC89" i="11403"/>
  <c r="AD89" i="11403"/>
  <c r="AE89" i="11403"/>
  <c r="AF89" i="11403"/>
  <c r="AG89" i="11403"/>
  <c r="AH89" i="11403"/>
  <c r="AI89" i="11403"/>
  <c r="AJ89" i="11403"/>
  <c r="AK89" i="11403"/>
  <c r="AL89" i="11403"/>
  <c r="AN89" i="11403"/>
  <c r="AO89" i="11403"/>
  <c r="B90" i="11403"/>
  <c r="C90" i="11403"/>
  <c r="D90" i="11403"/>
  <c r="E90" i="11403"/>
  <c r="F90" i="11403"/>
  <c r="G90" i="11403"/>
  <c r="H90" i="11403"/>
  <c r="I90" i="11403"/>
  <c r="J90" i="11403"/>
  <c r="K90" i="11403"/>
  <c r="L90" i="11403"/>
  <c r="M90" i="11403"/>
  <c r="N90" i="11403"/>
  <c r="O90" i="11403"/>
  <c r="P90" i="11403"/>
  <c r="Q90" i="11403"/>
  <c r="R90" i="11403"/>
  <c r="S90" i="11403"/>
  <c r="T90" i="11403"/>
  <c r="U90" i="11403"/>
  <c r="W90" i="11403"/>
  <c r="X90" i="11403"/>
  <c r="Y90" i="11403"/>
  <c r="Z90" i="11403"/>
  <c r="AA90" i="11403"/>
  <c r="AB90" i="11403"/>
  <c r="AC90" i="11403"/>
  <c r="AD90" i="11403"/>
  <c r="AE90" i="11403"/>
  <c r="AF90" i="11403"/>
  <c r="AG90" i="11403"/>
  <c r="AH90" i="11403"/>
  <c r="AI90" i="11403"/>
  <c r="AJ90" i="11403"/>
  <c r="AK90" i="11403"/>
  <c r="AL90" i="11403"/>
  <c r="AN90" i="11403"/>
  <c r="AO90" i="11403"/>
  <c r="B91" i="11403"/>
  <c r="C91" i="11403"/>
  <c r="D91" i="11403"/>
  <c r="E91" i="11403"/>
  <c r="F91" i="11403"/>
  <c r="G91" i="11403"/>
  <c r="H91" i="11403"/>
  <c r="I91" i="11403"/>
  <c r="J91" i="11403"/>
  <c r="K91" i="11403"/>
  <c r="L91" i="11403"/>
  <c r="M91" i="11403"/>
  <c r="N91" i="11403"/>
  <c r="O91" i="11403"/>
  <c r="P91" i="11403"/>
  <c r="Q91" i="11403"/>
  <c r="R91" i="11403"/>
  <c r="S91" i="11403"/>
  <c r="T91" i="11403"/>
  <c r="U91" i="11403"/>
  <c r="W91" i="11403"/>
  <c r="X91" i="11403"/>
  <c r="Y91" i="11403"/>
  <c r="Z91" i="11403"/>
  <c r="AA91" i="11403"/>
  <c r="AB91" i="11403"/>
  <c r="AC91" i="11403"/>
  <c r="AD91" i="11403"/>
  <c r="AE91" i="11403"/>
  <c r="AF91" i="11403"/>
  <c r="AG91" i="11403"/>
  <c r="AH91" i="11403"/>
  <c r="AI91" i="11403"/>
  <c r="AJ91" i="11403"/>
  <c r="AK91" i="11403"/>
  <c r="AL91" i="11403"/>
  <c r="AN91" i="11403"/>
  <c r="AO91" i="11403"/>
  <c r="B92" i="11403"/>
  <c r="C92" i="11403"/>
  <c r="D92" i="11403"/>
  <c r="E92" i="11403"/>
  <c r="F92" i="11403"/>
  <c r="G92" i="11403"/>
  <c r="H92" i="11403"/>
  <c r="I92" i="11403"/>
  <c r="J92" i="11403"/>
  <c r="K92" i="11403"/>
  <c r="L92" i="11403"/>
  <c r="M92" i="11403"/>
  <c r="N92" i="11403"/>
  <c r="O92" i="11403"/>
  <c r="P92" i="11403"/>
  <c r="Q92" i="11403"/>
  <c r="R92" i="11403"/>
  <c r="S92" i="11403"/>
  <c r="T92" i="11403"/>
  <c r="U92" i="11403"/>
  <c r="W92" i="11403"/>
  <c r="X92" i="11403"/>
  <c r="Y92" i="11403"/>
  <c r="Z92" i="11403"/>
  <c r="AA92" i="11403"/>
  <c r="AB92" i="11403"/>
  <c r="AC92" i="11403"/>
  <c r="AD92" i="11403"/>
  <c r="AE92" i="11403"/>
  <c r="AF92" i="11403"/>
  <c r="AG92" i="11403"/>
  <c r="AH92" i="11403"/>
  <c r="AI92" i="11403"/>
  <c r="AJ92" i="11403"/>
  <c r="AK92" i="11403"/>
  <c r="AL92" i="11403"/>
  <c r="AN92" i="11403"/>
  <c r="AO92" i="11403"/>
  <c r="B93" i="11403"/>
  <c r="C93" i="11403"/>
  <c r="D93" i="11403"/>
  <c r="E93" i="11403"/>
  <c r="F93" i="11403"/>
  <c r="G93" i="11403"/>
  <c r="H93" i="11403"/>
  <c r="I93" i="11403"/>
  <c r="J93" i="11403"/>
  <c r="K93" i="11403"/>
  <c r="L93" i="11403"/>
  <c r="M93" i="11403"/>
  <c r="N93" i="11403"/>
  <c r="O93" i="11403"/>
  <c r="P93" i="11403"/>
  <c r="Q93" i="11403"/>
  <c r="R93" i="11403"/>
  <c r="S93" i="11403"/>
  <c r="T93" i="11403"/>
  <c r="U93" i="11403"/>
  <c r="W93" i="11403"/>
  <c r="X93" i="11403"/>
  <c r="Y93" i="11403"/>
  <c r="Z93" i="11403"/>
  <c r="AA93" i="11403"/>
  <c r="AB93" i="11403"/>
  <c r="AC93" i="11403"/>
  <c r="AD93" i="11403"/>
  <c r="AE93" i="11403"/>
  <c r="AF93" i="11403"/>
  <c r="AG93" i="11403"/>
  <c r="AH93" i="11403"/>
  <c r="AI93" i="11403"/>
  <c r="AJ93" i="11403"/>
  <c r="AK93" i="11403"/>
  <c r="AL93" i="11403"/>
  <c r="AN93" i="11403"/>
  <c r="AO93" i="11403"/>
  <c r="B94" i="11403"/>
  <c r="C94" i="11403"/>
  <c r="D94" i="11403"/>
  <c r="E94" i="11403"/>
  <c r="F94" i="11403"/>
  <c r="G94" i="11403"/>
  <c r="H94" i="11403"/>
  <c r="I94" i="11403"/>
  <c r="J94" i="11403"/>
  <c r="K94" i="11403"/>
  <c r="L94" i="11403"/>
  <c r="M94" i="11403"/>
  <c r="N94" i="11403"/>
  <c r="O94" i="11403"/>
  <c r="P94" i="11403"/>
  <c r="Q94" i="11403"/>
  <c r="R94" i="11403"/>
  <c r="S94" i="11403"/>
  <c r="T94" i="11403"/>
  <c r="U94" i="11403"/>
  <c r="W94" i="11403"/>
  <c r="X94" i="11403"/>
  <c r="Y94" i="11403"/>
  <c r="Z94" i="11403"/>
  <c r="AA94" i="11403"/>
  <c r="AB94" i="11403"/>
  <c r="AC94" i="11403"/>
  <c r="AD94" i="11403"/>
  <c r="AE94" i="11403"/>
  <c r="AF94" i="11403"/>
  <c r="AG94" i="11403"/>
  <c r="AH94" i="11403"/>
  <c r="AI94" i="11403"/>
  <c r="AJ94" i="11403"/>
  <c r="AK94" i="11403"/>
  <c r="AL94" i="11403"/>
  <c r="AN94" i="11403"/>
  <c r="AO94" i="11403"/>
  <c r="B95" i="11403"/>
  <c r="C95" i="11403"/>
  <c r="D95" i="11403"/>
  <c r="E95" i="11403"/>
  <c r="F95" i="11403"/>
  <c r="G95" i="11403"/>
  <c r="H95" i="11403"/>
  <c r="I95" i="11403"/>
  <c r="J95" i="11403"/>
  <c r="K95" i="11403"/>
  <c r="L95" i="11403"/>
  <c r="M95" i="11403"/>
  <c r="N95" i="11403"/>
  <c r="O95" i="11403"/>
  <c r="P95" i="11403"/>
  <c r="Q95" i="11403"/>
  <c r="R95" i="11403"/>
  <c r="S95" i="11403"/>
  <c r="T95" i="11403"/>
  <c r="U95" i="11403"/>
  <c r="W95" i="11403"/>
  <c r="X95" i="11403"/>
  <c r="Y95" i="11403"/>
  <c r="Z95" i="11403"/>
  <c r="AA95" i="11403"/>
  <c r="AB95" i="11403"/>
  <c r="AC95" i="11403"/>
  <c r="AD95" i="11403"/>
  <c r="AE95" i="11403"/>
  <c r="AF95" i="11403"/>
  <c r="AG95" i="11403"/>
  <c r="AH95" i="11403"/>
  <c r="AI95" i="11403"/>
  <c r="AJ95" i="11403"/>
  <c r="AK95" i="11403"/>
  <c r="AL95" i="11403"/>
  <c r="AN95" i="11403"/>
  <c r="AO95" i="11403"/>
  <c r="B96" i="11403"/>
  <c r="C96" i="11403"/>
  <c r="D96" i="11403"/>
  <c r="E96" i="11403"/>
  <c r="F96" i="11403"/>
  <c r="G96" i="11403"/>
  <c r="H96" i="11403"/>
  <c r="I96" i="11403"/>
  <c r="J96" i="11403"/>
  <c r="K96" i="11403"/>
  <c r="L96" i="11403"/>
  <c r="M96" i="11403"/>
  <c r="N96" i="11403"/>
  <c r="O96" i="11403"/>
  <c r="P96" i="11403"/>
  <c r="Q96" i="11403"/>
  <c r="R96" i="11403"/>
  <c r="S96" i="11403"/>
  <c r="T96" i="11403"/>
  <c r="U96" i="11403"/>
  <c r="W96" i="11403"/>
  <c r="X96" i="11403"/>
  <c r="Y96" i="11403"/>
  <c r="Z96" i="11403"/>
  <c r="AA96" i="11403"/>
  <c r="AB96" i="11403"/>
  <c r="AC96" i="11403"/>
  <c r="AD96" i="11403"/>
  <c r="AE96" i="11403"/>
  <c r="AF96" i="11403"/>
  <c r="AG96" i="11403"/>
  <c r="AH96" i="11403"/>
  <c r="AI96" i="11403"/>
  <c r="AJ96" i="11403"/>
  <c r="AK96" i="11403"/>
  <c r="AL96" i="11403"/>
  <c r="AN96" i="11403"/>
  <c r="AO96" i="11403"/>
  <c r="B97" i="11403"/>
  <c r="C97" i="11403"/>
  <c r="D97" i="11403"/>
  <c r="E97" i="11403"/>
  <c r="F97" i="11403"/>
  <c r="G97" i="11403"/>
  <c r="H97" i="11403"/>
  <c r="I97" i="11403"/>
  <c r="J97" i="11403"/>
  <c r="K97" i="11403"/>
  <c r="L97" i="11403"/>
  <c r="M97" i="11403"/>
  <c r="N97" i="11403"/>
  <c r="O97" i="11403"/>
  <c r="P97" i="11403"/>
  <c r="Q97" i="11403"/>
  <c r="R97" i="11403"/>
  <c r="S97" i="11403"/>
  <c r="T97" i="11403"/>
  <c r="U97" i="11403"/>
  <c r="W97" i="11403"/>
  <c r="X97" i="11403"/>
  <c r="Y97" i="11403"/>
  <c r="Z97" i="11403"/>
  <c r="AA97" i="11403"/>
  <c r="AB97" i="11403"/>
  <c r="AC97" i="11403"/>
  <c r="AD97" i="11403"/>
  <c r="AE97" i="11403"/>
  <c r="AF97" i="11403"/>
  <c r="AG97" i="11403"/>
  <c r="AH97" i="11403"/>
  <c r="AI97" i="11403"/>
  <c r="AJ97" i="11403"/>
  <c r="AK97" i="11403"/>
  <c r="AL97" i="11403"/>
  <c r="AN97" i="11403"/>
  <c r="AO97" i="11403"/>
  <c r="B98" i="11403"/>
  <c r="C98" i="11403"/>
  <c r="D98" i="11403"/>
  <c r="E98" i="11403"/>
  <c r="F98" i="11403"/>
  <c r="G98" i="11403"/>
  <c r="H98" i="11403"/>
  <c r="I98" i="11403"/>
  <c r="J98" i="11403"/>
  <c r="K98" i="11403"/>
  <c r="L98" i="11403"/>
  <c r="M98" i="11403"/>
  <c r="N98" i="11403"/>
  <c r="O98" i="11403"/>
  <c r="P98" i="11403"/>
  <c r="Q98" i="11403"/>
  <c r="R98" i="11403"/>
  <c r="S98" i="11403"/>
  <c r="T98" i="11403"/>
  <c r="U98" i="11403"/>
  <c r="W98" i="11403"/>
  <c r="X98" i="11403"/>
  <c r="Y98" i="11403"/>
  <c r="Z98" i="11403"/>
  <c r="AA98" i="11403"/>
  <c r="AB98" i="11403"/>
  <c r="AC98" i="11403"/>
  <c r="AD98" i="11403"/>
  <c r="AE98" i="11403"/>
  <c r="AF98" i="11403"/>
  <c r="AG98" i="11403"/>
  <c r="AH98" i="11403"/>
  <c r="AI98" i="11403"/>
  <c r="AJ98" i="11403"/>
  <c r="AK98" i="11403"/>
  <c r="AL98" i="11403"/>
  <c r="AN98" i="11403"/>
  <c r="AO98" i="11403"/>
  <c r="B99" i="11403"/>
  <c r="C99" i="11403"/>
  <c r="D99" i="11403"/>
  <c r="E99" i="11403"/>
  <c r="F99" i="11403"/>
  <c r="G99" i="11403"/>
  <c r="H99" i="11403"/>
  <c r="I99" i="11403"/>
  <c r="J99" i="11403"/>
  <c r="K99" i="11403"/>
  <c r="L99" i="11403"/>
  <c r="M99" i="11403"/>
  <c r="N99" i="11403"/>
  <c r="O99" i="11403"/>
  <c r="P99" i="11403"/>
  <c r="Q99" i="11403"/>
  <c r="R99" i="11403"/>
  <c r="S99" i="11403"/>
  <c r="T99" i="11403"/>
  <c r="U99" i="11403"/>
  <c r="W99" i="11403"/>
  <c r="X99" i="11403"/>
  <c r="Y99" i="11403"/>
  <c r="Z99" i="11403"/>
  <c r="AA99" i="11403"/>
  <c r="AB99" i="11403"/>
  <c r="AC99" i="11403"/>
  <c r="AD99" i="11403"/>
  <c r="AE99" i="11403"/>
  <c r="AF99" i="11403"/>
  <c r="AG99" i="11403"/>
  <c r="AH99" i="11403"/>
  <c r="AI99" i="11403"/>
  <c r="AJ99" i="11403"/>
  <c r="AK99" i="11403"/>
  <c r="AL99" i="11403"/>
  <c r="AN99" i="11403"/>
  <c r="AO99" i="11403"/>
  <c r="B100" i="11403"/>
  <c r="C100" i="11403"/>
  <c r="D100" i="11403"/>
  <c r="E100" i="11403"/>
  <c r="F100" i="11403"/>
  <c r="G100" i="11403"/>
  <c r="H100" i="11403"/>
  <c r="I100" i="11403"/>
  <c r="J100" i="11403"/>
  <c r="K100" i="11403"/>
  <c r="L100" i="11403"/>
  <c r="M100" i="11403"/>
  <c r="N100" i="11403"/>
  <c r="O100" i="11403"/>
  <c r="P100" i="11403"/>
  <c r="Q100" i="11403"/>
  <c r="R100" i="11403"/>
  <c r="S100" i="11403"/>
  <c r="T100" i="11403"/>
  <c r="U100" i="11403"/>
  <c r="W100" i="11403"/>
  <c r="X100" i="11403"/>
  <c r="Y100" i="11403"/>
  <c r="Z100" i="11403"/>
  <c r="AA100" i="11403"/>
  <c r="AB100" i="11403"/>
  <c r="AC100" i="11403"/>
  <c r="AD100" i="11403"/>
  <c r="AE100" i="11403"/>
  <c r="AF100" i="11403"/>
  <c r="AG100" i="11403"/>
  <c r="AH100" i="11403"/>
  <c r="AI100" i="11403"/>
  <c r="AJ100" i="11403"/>
  <c r="AK100" i="11403"/>
  <c r="AL100" i="11403"/>
  <c r="AN100" i="11403"/>
  <c r="AO100" i="11403"/>
  <c r="B101" i="11403"/>
  <c r="C101" i="11403"/>
  <c r="D101" i="11403"/>
  <c r="E101" i="11403"/>
  <c r="F101" i="11403"/>
  <c r="G101" i="11403"/>
  <c r="H101" i="11403"/>
  <c r="I101" i="11403"/>
  <c r="J101" i="11403"/>
  <c r="K101" i="11403"/>
  <c r="L101" i="11403"/>
  <c r="M101" i="11403"/>
  <c r="N101" i="11403"/>
  <c r="O101" i="11403"/>
  <c r="P101" i="11403"/>
  <c r="Q101" i="11403"/>
  <c r="R101" i="11403"/>
  <c r="S101" i="11403"/>
  <c r="T101" i="11403"/>
  <c r="U101" i="11403"/>
  <c r="W101" i="11403"/>
  <c r="X101" i="11403"/>
  <c r="Y101" i="11403"/>
  <c r="Z101" i="11403"/>
  <c r="AA101" i="11403"/>
  <c r="AB101" i="11403"/>
  <c r="AC101" i="11403"/>
  <c r="AD101" i="11403"/>
  <c r="AE101" i="11403"/>
  <c r="AF101" i="11403"/>
  <c r="AG101" i="11403"/>
  <c r="AH101" i="11403"/>
  <c r="AI101" i="11403"/>
  <c r="AJ101" i="11403"/>
  <c r="AK101" i="11403"/>
  <c r="AL101" i="11403"/>
  <c r="AN101" i="11403"/>
  <c r="AO101" i="11403"/>
  <c r="B102" i="11403"/>
  <c r="C102" i="11403"/>
  <c r="D102" i="11403"/>
  <c r="E102" i="11403"/>
  <c r="F102" i="11403"/>
  <c r="G102" i="11403"/>
  <c r="H102" i="11403"/>
  <c r="I102" i="11403"/>
  <c r="J102" i="11403"/>
  <c r="K102" i="11403"/>
  <c r="L102" i="11403"/>
  <c r="M102" i="11403"/>
  <c r="N102" i="11403"/>
  <c r="O102" i="11403"/>
  <c r="P102" i="11403"/>
  <c r="Q102" i="11403"/>
  <c r="R102" i="11403"/>
  <c r="S102" i="11403"/>
  <c r="T102" i="11403"/>
  <c r="U102" i="11403"/>
  <c r="W102" i="11403"/>
  <c r="X102" i="11403"/>
  <c r="Y102" i="11403"/>
  <c r="Z102" i="11403"/>
  <c r="AA102" i="11403"/>
  <c r="AB102" i="11403"/>
  <c r="AC102" i="11403"/>
  <c r="AD102" i="11403"/>
  <c r="AE102" i="11403"/>
  <c r="AF102" i="11403"/>
  <c r="AG102" i="11403"/>
  <c r="AH102" i="11403"/>
  <c r="AI102" i="11403"/>
  <c r="AJ102" i="11403"/>
  <c r="AK102" i="11403"/>
  <c r="AL102" i="11403"/>
  <c r="AN102" i="11403"/>
  <c r="AO102" i="11403"/>
  <c r="B103" i="11403"/>
  <c r="C103" i="11403"/>
  <c r="D103" i="11403"/>
  <c r="E103" i="11403"/>
  <c r="F103" i="11403"/>
  <c r="G103" i="11403"/>
  <c r="H103" i="11403"/>
  <c r="I103" i="11403"/>
  <c r="J103" i="11403"/>
  <c r="K103" i="11403"/>
  <c r="L103" i="11403"/>
  <c r="M103" i="11403"/>
  <c r="N103" i="11403"/>
  <c r="O103" i="11403"/>
  <c r="P103" i="11403"/>
  <c r="Q103" i="11403"/>
  <c r="R103" i="11403"/>
  <c r="S103" i="11403"/>
  <c r="T103" i="11403"/>
  <c r="U103" i="11403"/>
  <c r="W103" i="11403"/>
  <c r="X103" i="11403"/>
  <c r="Y103" i="11403"/>
  <c r="Z103" i="11403"/>
  <c r="AA103" i="11403"/>
  <c r="AB103" i="11403"/>
  <c r="AC103" i="11403"/>
  <c r="AD103" i="11403"/>
  <c r="AE103" i="11403"/>
  <c r="AF103" i="11403"/>
  <c r="AG103" i="11403"/>
  <c r="AH103" i="11403"/>
  <c r="AI103" i="11403"/>
  <c r="AJ103" i="11403"/>
  <c r="AK103" i="11403"/>
  <c r="AL103" i="11403"/>
  <c r="AN103" i="11403"/>
  <c r="AO103" i="11403"/>
  <c r="B104" i="11403"/>
  <c r="C104" i="11403"/>
  <c r="D104" i="11403"/>
  <c r="E104" i="11403"/>
  <c r="F104" i="11403"/>
  <c r="G104" i="11403"/>
  <c r="H104" i="11403"/>
  <c r="I104" i="11403"/>
  <c r="J104" i="11403"/>
  <c r="K104" i="11403"/>
  <c r="L104" i="11403"/>
  <c r="M104" i="11403"/>
  <c r="N104" i="11403"/>
  <c r="O104" i="11403"/>
  <c r="P104" i="11403"/>
  <c r="Q104" i="11403"/>
  <c r="R104" i="11403"/>
  <c r="S104" i="11403"/>
  <c r="T104" i="11403"/>
  <c r="U104" i="11403"/>
  <c r="W104" i="11403"/>
  <c r="X104" i="11403"/>
  <c r="Y104" i="11403"/>
  <c r="Z104" i="11403"/>
  <c r="AA104" i="11403"/>
  <c r="AB104" i="11403"/>
  <c r="AC104" i="11403"/>
  <c r="AD104" i="11403"/>
  <c r="AE104" i="11403"/>
  <c r="AF104" i="11403"/>
  <c r="AG104" i="11403"/>
  <c r="AH104" i="11403"/>
  <c r="AI104" i="11403"/>
  <c r="AJ104" i="11403"/>
  <c r="AK104" i="11403"/>
  <c r="AL104" i="11403"/>
  <c r="AN104" i="11403"/>
  <c r="AO104" i="11403"/>
  <c r="B105" i="11403"/>
  <c r="C105" i="11403"/>
  <c r="D105" i="11403"/>
  <c r="E105" i="11403"/>
  <c r="F105" i="11403"/>
  <c r="G105" i="11403"/>
  <c r="H105" i="11403"/>
  <c r="I105" i="11403"/>
  <c r="J105" i="11403"/>
  <c r="K105" i="11403"/>
  <c r="L105" i="11403"/>
  <c r="M105" i="11403"/>
  <c r="N105" i="11403"/>
  <c r="O105" i="11403"/>
  <c r="P105" i="11403"/>
  <c r="Q105" i="11403"/>
  <c r="R105" i="11403"/>
  <c r="S105" i="11403"/>
  <c r="T105" i="11403"/>
  <c r="U105" i="11403"/>
  <c r="W105" i="11403"/>
  <c r="X105" i="11403"/>
  <c r="Y105" i="11403"/>
  <c r="Z105" i="11403"/>
  <c r="AA105" i="11403"/>
  <c r="AB105" i="11403"/>
  <c r="AC105" i="11403"/>
  <c r="AD105" i="11403"/>
  <c r="AE105" i="11403"/>
  <c r="AF105" i="11403"/>
  <c r="AG105" i="11403"/>
  <c r="AH105" i="11403"/>
  <c r="AI105" i="11403"/>
  <c r="AJ105" i="11403"/>
  <c r="AK105" i="11403"/>
  <c r="AL105" i="11403"/>
  <c r="AN105" i="11403"/>
  <c r="AO105" i="11403"/>
  <c r="B106" i="11403"/>
  <c r="C106" i="11403"/>
  <c r="D106" i="11403"/>
  <c r="E106" i="11403"/>
  <c r="F106" i="11403"/>
  <c r="G106" i="11403"/>
  <c r="H106" i="11403"/>
  <c r="I106" i="11403"/>
  <c r="J106" i="11403"/>
  <c r="K106" i="11403"/>
  <c r="L106" i="11403"/>
  <c r="M106" i="11403"/>
  <c r="N106" i="11403"/>
  <c r="O106" i="11403"/>
  <c r="P106" i="11403"/>
  <c r="Q106" i="11403"/>
  <c r="R106" i="11403"/>
  <c r="S106" i="11403"/>
  <c r="T106" i="11403"/>
  <c r="U106" i="11403"/>
  <c r="W106" i="11403"/>
  <c r="X106" i="11403"/>
  <c r="Y106" i="11403"/>
  <c r="Z106" i="11403"/>
  <c r="AA106" i="11403"/>
  <c r="AB106" i="11403"/>
  <c r="AC106" i="11403"/>
  <c r="AD106" i="11403"/>
  <c r="AE106" i="11403"/>
  <c r="AF106" i="11403"/>
  <c r="AG106" i="11403"/>
  <c r="AH106" i="11403"/>
  <c r="AI106" i="11403"/>
  <c r="AJ106" i="11403"/>
  <c r="AK106" i="11403"/>
  <c r="AL106" i="11403"/>
  <c r="AN106" i="11403"/>
  <c r="AO106" i="11403"/>
  <c r="B107" i="11403"/>
  <c r="C107" i="11403"/>
  <c r="D107" i="11403"/>
  <c r="E107" i="11403"/>
  <c r="F107" i="11403"/>
  <c r="G107" i="11403"/>
  <c r="H107" i="11403"/>
  <c r="I107" i="11403"/>
  <c r="J107" i="11403"/>
  <c r="K107" i="11403"/>
  <c r="L107" i="11403"/>
  <c r="M107" i="11403"/>
  <c r="N107" i="11403"/>
  <c r="O107" i="11403"/>
  <c r="P107" i="11403"/>
  <c r="Q107" i="11403"/>
  <c r="R107" i="11403"/>
  <c r="S107" i="11403"/>
  <c r="T107" i="11403"/>
  <c r="U107" i="11403"/>
  <c r="W107" i="11403"/>
  <c r="X107" i="11403"/>
  <c r="Y107" i="11403"/>
  <c r="Z107" i="11403"/>
  <c r="AA107" i="11403"/>
  <c r="AB107" i="11403"/>
  <c r="AC107" i="11403"/>
  <c r="AD107" i="11403"/>
  <c r="AE107" i="11403"/>
  <c r="AF107" i="11403"/>
  <c r="AG107" i="11403"/>
  <c r="AH107" i="11403"/>
  <c r="AI107" i="11403"/>
  <c r="AJ107" i="11403"/>
  <c r="AK107" i="11403"/>
  <c r="AL107" i="11403"/>
  <c r="AN107" i="11403"/>
  <c r="AO107" i="11403"/>
  <c r="B108" i="11403"/>
  <c r="C108" i="11403"/>
  <c r="D108" i="11403"/>
  <c r="E108" i="11403"/>
  <c r="F108" i="11403"/>
  <c r="G108" i="11403"/>
  <c r="H108" i="11403"/>
  <c r="I108" i="11403"/>
  <c r="J108" i="11403"/>
  <c r="K108" i="11403"/>
  <c r="L108" i="11403"/>
  <c r="M108" i="11403"/>
  <c r="N108" i="11403"/>
  <c r="O108" i="11403"/>
  <c r="P108" i="11403"/>
  <c r="Q108" i="11403"/>
  <c r="R108" i="11403"/>
  <c r="S108" i="11403"/>
  <c r="T108" i="11403"/>
  <c r="U108" i="11403"/>
  <c r="W108" i="11403"/>
  <c r="X108" i="11403"/>
  <c r="Y108" i="11403"/>
  <c r="Z108" i="11403"/>
  <c r="AA108" i="11403"/>
  <c r="AB108" i="11403"/>
  <c r="AC108" i="11403"/>
  <c r="AD108" i="11403"/>
  <c r="AE108" i="11403"/>
  <c r="AF108" i="11403"/>
  <c r="AG108" i="11403"/>
  <c r="AH108" i="11403"/>
  <c r="AI108" i="11403"/>
  <c r="AJ108" i="11403"/>
  <c r="AK108" i="11403"/>
  <c r="AL108" i="11403"/>
  <c r="AN108" i="11403"/>
  <c r="AO108" i="11403"/>
  <c r="B109" i="11403"/>
  <c r="C109" i="11403"/>
  <c r="D109" i="11403"/>
  <c r="E109" i="11403"/>
  <c r="F109" i="11403"/>
  <c r="G109" i="11403"/>
  <c r="H109" i="11403"/>
  <c r="I109" i="11403"/>
  <c r="J109" i="11403"/>
  <c r="K109" i="11403"/>
  <c r="L109" i="11403"/>
  <c r="M109" i="11403"/>
  <c r="N109" i="11403"/>
  <c r="O109" i="11403"/>
  <c r="P109" i="11403"/>
  <c r="Q109" i="11403"/>
  <c r="R109" i="11403"/>
  <c r="S109" i="11403"/>
  <c r="T109" i="11403"/>
  <c r="U109" i="11403"/>
  <c r="W109" i="11403"/>
  <c r="X109" i="11403"/>
  <c r="Y109" i="11403"/>
  <c r="Z109" i="11403"/>
  <c r="AA109" i="11403"/>
  <c r="AB109" i="11403"/>
  <c r="AC109" i="11403"/>
  <c r="AD109" i="11403"/>
  <c r="AE109" i="11403"/>
  <c r="AF109" i="11403"/>
  <c r="AG109" i="11403"/>
  <c r="AH109" i="11403"/>
  <c r="AI109" i="11403"/>
  <c r="AJ109" i="11403"/>
  <c r="AK109" i="11403"/>
  <c r="AL109" i="11403"/>
  <c r="AN109" i="11403"/>
  <c r="AO109" i="11403"/>
  <c r="B110" i="11403"/>
  <c r="C110" i="11403"/>
  <c r="D110" i="11403"/>
  <c r="E110" i="11403"/>
  <c r="F110" i="11403"/>
  <c r="G110" i="11403"/>
  <c r="H110" i="11403"/>
  <c r="I110" i="11403"/>
  <c r="J110" i="11403"/>
  <c r="K110" i="11403"/>
  <c r="L110" i="11403"/>
  <c r="M110" i="11403"/>
  <c r="N110" i="11403"/>
  <c r="O110" i="11403"/>
  <c r="P110" i="11403"/>
  <c r="Q110" i="11403"/>
  <c r="R110" i="11403"/>
  <c r="S110" i="11403"/>
  <c r="T110" i="11403"/>
  <c r="U110" i="11403"/>
  <c r="W110" i="11403"/>
  <c r="X110" i="11403"/>
  <c r="Y110" i="11403"/>
  <c r="Z110" i="11403"/>
  <c r="AA110" i="11403"/>
  <c r="AB110" i="11403"/>
  <c r="AC110" i="11403"/>
  <c r="AD110" i="11403"/>
  <c r="AE110" i="11403"/>
  <c r="AF110" i="11403"/>
  <c r="AG110" i="11403"/>
  <c r="AH110" i="11403"/>
  <c r="AI110" i="11403"/>
  <c r="AJ110" i="11403"/>
  <c r="AK110" i="11403"/>
  <c r="AL110" i="11403"/>
  <c r="AN110" i="11403"/>
  <c r="AO110" i="11403"/>
  <c r="B111" i="11403"/>
  <c r="C111" i="11403"/>
  <c r="D111" i="11403"/>
  <c r="E111" i="11403"/>
  <c r="F111" i="11403"/>
  <c r="G111" i="11403"/>
  <c r="H111" i="11403"/>
  <c r="I111" i="11403"/>
  <c r="J111" i="11403"/>
  <c r="K111" i="11403"/>
  <c r="L111" i="11403"/>
  <c r="M111" i="11403"/>
  <c r="N111" i="11403"/>
  <c r="O111" i="11403"/>
  <c r="P111" i="11403"/>
  <c r="Q111" i="11403"/>
  <c r="R111" i="11403"/>
  <c r="S111" i="11403"/>
  <c r="T111" i="11403"/>
  <c r="U111" i="11403"/>
  <c r="W111" i="11403"/>
  <c r="X111" i="11403"/>
  <c r="Y111" i="11403"/>
  <c r="Z111" i="11403"/>
  <c r="AA111" i="11403"/>
  <c r="AB111" i="11403"/>
  <c r="AC111" i="11403"/>
  <c r="AD111" i="11403"/>
  <c r="AE111" i="11403"/>
  <c r="AF111" i="11403"/>
  <c r="AG111" i="11403"/>
  <c r="AH111" i="11403"/>
  <c r="AI111" i="11403"/>
  <c r="AJ111" i="11403"/>
  <c r="AK111" i="11403"/>
  <c r="AL111" i="11403"/>
  <c r="AN111" i="11403"/>
  <c r="AO111" i="11403"/>
  <c r="B112" i="11403"/>
  <c r="C112" i="11403"/>
  <c r="D112" i="11403"/>
  <c r="E112" i="11403"/>
  <c r="F112" i="11403"/>
  <c r="G112" i="11403"/>
  <c r="H112" i="11403"/>
  <c r="I112" i="11403"/>
  <c r="J112" i="11403"/>
  <c r="K112" i="11403"/>
  <c r="L112" i="11403"/>
  <c r="M112" i="11403"/>
  <c r="N112" i="11403"/>
  <c r="O112" i="11403"/>
  <c r="P112" i="11403"/>
  <c r="Q112" i="11403"/>
  <c r="R112" i="11403"/>
  <c r="S112" i="11403"/>
  <c r="T112" i="11403"/>
  <c r="U112" i="11403"/>
  <c r="W112" i="11403"/>
  <c r="X112" i="11403"/>
  <c r="Y112" i="11403"/>
  <c r="Z112" i="11403"/>
  <c r="AA112" i="11403"/>
  <c r="AB112" i="11403"/>
  <c r="AC112" i="11403"/>
  <c r="AD112" i="11403"/>
  <c r="AE112" i="11403"/>
  <c r="AF112" i="11403"/>
  <c r="AG112" i="11403"/>
  <c r="AH112" i="11403"/>
  <c r="AI112" i="11403"/>
  <c r="AJ112" i="11403"/>
  <c r="AK112" i="11403"/>
  <c r="AL112" i="11403"/>
  <c r="AN112" i="11403"/>
  <c r="AO112" i="11403"/>
  <c r="B113" i="11403"/>
  <c r="C113" i="11403"/>
  <c r="D113" i="11403"/>
  <c r="E113" i="11403"/>
  <c r="F113" i="11403"/>
  <c r="G113" i="11403"/>
  <c r="H113" i="11403"/>
  <c r="I113" i="11403"/>
  <c r="J113" i="11403"/>
  <c r="K113" i="11403"/>
  <c r="L113" i="11403"/>
  <c r="M113" i="11403"/>
  <c r="N113" i="11403"/>
  <c r="O113" i="11403"/>
  <c r="P113" i="11403"/>
  <c r="Q113" i="11403"/>
  <c r="R113" i="11403"/>
  <c r="S113" i="11403"/>
  <c r="T113" i="11403"/>
  <c r="U113" i="11403"/>
  <c r="W113" i="11403"/>
  <c r="X113" i="11403"/>
  <c r="Y113" i="11403"/>
  <c r="Z113" i="11403"/>
  <c r="AA113" i="11403"/>
  <c r="AB113" i="11403"/>
  <c r="AC113" i="11403"/>
  <c r="AD113" i="11403"/>
  <c r="AE113" i="11403"/>
  <c r="AF113" i="11403"/>
  <c r="AG113" i="11403"/>
  <c r="AH113" i="11403"/>
  <c r="AI113" i="11403"/>
  <c r="AJ113" i="11403"/>
  <c r="AK113" i="11403"/>
  <c r="AL113" i="11403"/>
  <c r="AN113" i="11403"/>
  <c r="AO113" i="11403"/>
  <c r="B114" i="11403"/>
  <c r="C114" i="11403"/>
  <c r="D114" i="11403"/>
  <c r="E114" i="11403"/>
  <c r="F114" i="11403"/>
  <c r="G114" i="11403"/>
  <c r="H114" i="11403"/>
  <c r="I114" i="11403"/>
  <c r="J114" i="11403"/>
  <c r="K114" i="11403"/>
  <c r="L114" i="11403"/>
  <c r="M114" i="11403"/>
  <c r="N114" i="11403"/>
  <c r="O114" i="11403"/>
  <c r="P114" i="11403"/>
  <c r="Q114" i="11403"/>
  <c r="R114" i="11403"/>
  <c r="S114" i="11403"/>
  <c r="T114" i="11403"/>
  <c r="U114" i="11403"/>
  <c r="W114" i="11403"/>
  <c r="X114" i="11403"/>
  <c r="Y114" i="11403"/>
  <c r="Z114" i="11403"/>
  <c r="AA114" i="11403"/>
  <c r="AB114" i="11403"/>
  <c r="AC114" i="11403"/>
  <c r="AD114" i="11403"/>
  <c r="AE114" i="11403"/>
  <c r="AF114" i="11403"/>
  <c r="AG114" i="11403"/>
  <c r="AH114" i="11403"/>
  <c r="AI114" i="11403"/>
  <c r="AJ114" i="11403"/>
  <c r="AK114" i="11403"/>
  <c r="AL114" i="11403"/>
  <c r="AN114" i="11403"/>
  <c r="AO114" i="11403"/>
  <c r="B115" i="11403"/>
  <c r="C115" i="11403"/>
  <c r="D115" i="11403"/>
  <c r="E115" i="11403"/>
  <c r="F115" i="11403"/>
  <c r="G115" i="11403"/>
  <c r="H115" i="11403"/>
  <c r="I115" i="11403"/>
  <c r="J115" i="11403"/>
  <c r="K115" i="11403"/>
  <c r="L115" i="11403"/>
  <c r="M115" i="11403"/>
  <c r="N115" i="11403"/>
  <c r="O115" i="11403"/>
  <c r="P115" i="11403"/>
  <c r="Q115" i="11403"/>
  <c r="R115" i="11403"/>
  <c r="S115" i="11403"/>
  <c r="T115" i="11403"/>
  <c r="U115" i="11403"/>
  <c r="W115" i="11403"/>
  <c r="X115" i="11403"/>
  <c r="Y115" i="11403"/>
  <c r="Z115" i="11403"/>
  <c r="AA115" i="11403"/>
  <c r="AB115" i="11403"/>
  <c r="AC115" i="11403"/>
  <c r="AD115" i="11403"/>
  <c r="AE115" i="11403"/>
  <c r="AF115" i="11403"/>
  <c r="AG115" i="11403"/>
  <c r="AH115" i="11403"/>
  <c r="AI115" i="11403"/>
  <c r="AJ115" i="11403"/>
  <c r="AK115" i="11403"/>
  <c r="AL115" i="11403"/>
  <c r="AN115" i="11403"/>
  <c r="AO115" i="11403"/>
  <c r="B116" i="11403"/>
  <c r="C116" i="11403"/>
  <c r="D116" i="11403"/>
  <c r="E116" i="11403"/>
  <c r="F116" i="11403"/>
  <c r="G116" i="11403"/>
  <c r="H116" i="11403"/>
  <c r="I116" i="11403"/>
  <c r="J116" i="11403"/>
  <c r="K116" i="11403"/>
  <c r="L116" i="11403"/>
  <c r="M116" i="11403"/>
  <c r="N116" i="11403"/>
  <c r="O116" i="11403"/>
  <c r="P116" i="11403"/>
  <c r="Q116" i="11403"/>
  <c r="R116" i="11403"/>
  <c r="S116" i="11403"/>
  <c r="T116" i="11403"/>
  <c r="U116" i="11403"/>
  <c r="W116" i="11403"/>
  <c r="X116" i="11403"/>
  <c r="Y116" i="11403"/>
  <c r="Z116" i="11403"/>
  <c r="AA116" i="11403"/>
  <c r="AB116" i="11403"/>
  <c r="AC116" i="11403"/>
  <c r="AD116" i="11403"/>
  <c r="AE116" i="11403"/>
  <c r="AF116" i="11403"/>
  <c r="AG116" i="11403"/>
  <c r="AH116" i="11403"/>
  <c r="AI116" i="11403"/>
  <c r="AJ116" i="11403"/>
  <c r="AK116" i="11403"/>
  <c r="AL116" i="11403"/>
  <c r="AN116" i="11403"/>
  <c r="AO116" i="11403"/>
  <c r="B117" i="11403"/>
  <c r="C117" i="11403"/>
  <c r="D117" i="11403"/>
  <c r="E117" i="11403"/>
  <c r="F117" i="11403"/>
  <c r="G117" i="11403"/>
  <c r="H117" i="11403"/>
  <c r="I117" i="11403"/>
  <c r="J117" i="11403"/>
  <c r="K117" i="11403"/>
  <c r="L117" i="11403"/>
  <c r="M117" i="11403"/>
  <c r="N117" i="11403"/>
  <c r="O117" i="11403"/>
  <c r="P117" i="11403"/>
  <c r="Q117" i="11403"/>
  <c r="R117" i="11403"/>
  <c r="S117" i="11403"/>
  <c r="T117" i="11403"/>
  <c r="U117" i="11403"/>
  <c r="W117" i="11403"/>
  <c r="X117" i="11403"/>
  <c r="Y117" i="11403"/>
  <c r="Z117" i="11403"/>
  <c r="AA117" i="11403"/>
  <c r="AB117" i="11403"/>
  <c r="AC117" i="11403"/>
  <c r="AD117" i="11403"/>
  <c r="AE117" i="11403"/>
  <c r="AF117" i="11403"/>
  <c r="AG117" i="11403"/>
  <c r="AH117" i="11403"/>
  <c r="AI117" i="11403"/>
  <c r="AJ117" i="11403"/>
  <c r="AK117" i="11403"/>
  <c r="AL117" i="11403"/>
  <c r="AN117" i="11403"/>
  <c r="AO117" i="11403"/>
  <c r="B118" i="11403"/>
  <c r="C118" i="11403"/>
  <c r="D118" i="11403"/>
  <c r="E118" i="11403"/>
  <c r="F118" i="11403"/>
  <c r="G118" i="11403"/>
  <c r="H118" i="11403"/>
  <c r="I118" i="11403"/>
  <c r="J118" i="11403"/>
  <c r="K118" i="11403"/>
  <c r="L118" i="11403"/>
  <c r="M118" i="11403"/>
  <c r="N118" i="11403"/>
  <c r="O118" i="11403"/>
  <c r="P118" i="11403"/>
  <c r="Q118" i="11403"/>
  <c r="R118" i="11403"/>
  <c r="S118" i="11403"/>
  <c r="T118" i="11403"/>
  <c r="U118" i="11403"/>
  <c r="W118" i="11403"/>
  <c r="X118" i="11403"/>
  <c r="Y118" i="11403"/>
  <c r="Z118" i="11403"/>
  <c r="AA118" i="11403"/>
  <c r="AB118" i="11403"/>
  <c r="AC118" i="11403"/>
  <c r="AD118" i="11403"/>
  <c r="AE118" i="11403"/>
  <c r="AF118" i="11403"/>
  <c r="AG118" i="11403"/>
  <c r="AH118" i="11403"/>
  <c r="AI118" i="11403"/>
  <c r="AJ118" i="11403"/>
  <c r="AK118" i="11403"/>
  <c r="AL118" i="11403"/>
  <c r="AN118" i="11403"/>
  <c r="AO118" i="11403"/>
  <c r="B119" i="11403"/>
  <c r="C119" i="11403"/>
  <c r="D119" i="11403"/>
  <c r="E119" i="11403"/>
  <c r="F119" i="11403"/>
  <c r="G119" i="11403"/>
  <c r="H119" i="11403"/>
  <c r="I119" i="11403"/>
  <c r="J119" i="11403"/>
  <c r="K119" i="11403"/>
  <c r="L119" i="11403"/>
  <c r="M119" i="11403"/>
  <c r="N119" i="11403"/>
  <c r="O119" i="11403"/>
  <c r="P119" i="11403"/>
  <c r="Q119" i="11403"/>
  <c r="R119" i="11403"/>
  <c r="S119" i="11403"/>
  <c r="T119" i="11403"/>
  <c r="U119" i="11403"/>
  <c r="W119" i="11403"/>
  <c r="X119" i="11403"/>
  <c r="Y119" i="11403"/>
  <c r="Z119" i="11403"/>
  <c r="AA119" i="11403"/>
  <c r="AB119" i="11403"/>
  <c r="AC119" i="11403"/>
  <c r="AD119" i="11403"/>
  <c r="AE119" i="11403"/>
  <c r="AF119" i="11403"/>
  <c r="AG119" i="11403"/>
  <c r="AH119" i="11403"/>
  <c r="AI119" i="11403"/>
  <c r="AJ119" i="11403"/>
  <c r="AK119" i="11403"/>
  <c r="AL119" i="11403"/>
  <c r="AN119" i="11403"/>
  <c r="AO119" i="11403"/>
  <c r="B120" i="11403"/>
  <c r="C120" i="11403"/>
  <c r="D120" i="11403"/>
  <c r="E120" i="11403"/>
  <c r="F120" i="11403"/>
  <c r="G120" i="11403"/>
  <c r="H120" i="11403"/>
  <c r="I120" i="11403"/>
  <c r="J120" i="11403"/>
  <c r="K120" i="11403"/>
  <c r="L120" i="11403"/>
  <c r="M120" i="11403"/>
  <c r="N120" i="11403"/>
  <c r="O120" i="11403"/>
  <c r="P120" i="11403"/>
  <c r="Q120" i="11403"/>
  <c r="R120" i="11403"/>
  <c r="S120" i="11403"/>
  <c r="T120" i="11403"/>
  <c r="U120" i="11403"/>
  <c r="W120" i="11403"/>
  <c r="X120" i="11403"/>
  <c r="Y120" i="11403"/>
  <c r="Z120" i="11403"/>
  <c r="AA120" i="11403"/>
  <c r="AB120" i="11403"/>
  <c r="AC120" i="11403"/>
  <c r="AD120" i="11403"/>
  <c r="AE120" i="11403"/>
  <c r="AF120" i="11403"/>
  <c r="AG120" i="11403"/>
  <c r="AH120" i="11403"/>
  <c r="AI120" i="11403"/>
  <c r="AJ120" i="11403"/>
  <c r="AK120" i="11403"/>
  <c r="AL120" i="11403"/>
  <c r="AN120" i="11403"/>
  <c r="AO120" i="11403"/>
  <c r="B121" i="11403"/>
  <c r="C121" i="11403"/>
  <c r="D121" i="11403"/>
  <c r="E121" i="11403"/>
  <c r="F121" i="11403"/>
  <c r="G121" i="11403"/>
  <c r="H121" i="11403"/>
  <c r="I121" i="11403"/>
  <c r="J121" i="11403"/>
  <c r="K121" i="11403"/>
  <c r="L121" i="11403"/>
  <c r="M121" i="11403"/>
  <c r="N121" i="11403"/>
  <c r="O121" i="11403"/>
  <c r="P121" i="11403"/>
  <c r="Q121" i="11403"/>
  <c r="R121" i="11403"/>
  <c r="S121" i="11403"/>
  <c r="T121" i="11403"/>
  <c r="U121" i="11403"/>
  <c r="W121" i="11403"/>
  <c r="X121" i="11403"/>
  <c r="Y121" i="11403"/>
  <c r="Z121" i="11403"/>
  <c r="AA121" i="11403"/>
  <c r="AB121" i="11403"/>
  <c r="AC121" i="11403"/>
  <c r="AD121" i="11403"/>
  <c r="AE121" i="11403"/>
  <c r="AF121" i="11403"/>
  <c r="AG121" i="11403"/>
  <c r="AH121" i="11403"/>
  <c r="AI121" i="11403"/>
  <c r="AJ121" i="11403"/>
  <c r="AK121" i="11403"/>
  <c r="AL121" i="11403"/>
  <c r="AN121" i="11403"/>
  <c r="AO121" i="11403"/>
  <c r="B122" i="11403"/>
  <c r="C122" i="11403"/>
  <c r="D122" i="11403"/>
  <c r="E122" i="11403"/>
  <c r="F122" i="11403"/>
  <c r="G122" i="11403"/>
  <c r="H122" i="11403"/>
  <c r="I122" i="11403"/>
  <c r="J122" i="11403"/>
  <c r="K122" i="11403"/>
  <c r="L122" i="11403"/>
  <c r="M122" i="11403"/>
  <c r="N122" i="11403"/>
  <c r="O122" i="11403"/>
  <c r="P122" i="11403"/>
  <c r="Q122" i="11403"/>
  <c r="R122" i="11403"/>
  <c r="S122" i="11403"/>
  <c r="T122" i="11403"/>
  <c r="U122" i="11403"/>
  <c r="W122" i="11403"/>
  <c r="X122" i="11403"/>
  <c r="Y122" i="11403"/>
  <c r="Z122" i="11403"/>
  <c r="AA122" i="11403"/>
  <c r="AB122" i="11403"/>
  <c r="AC122" i="11403"/>
  <c r="AD122" i="11403"/>
  <c r="AE122" i="11403"/>
  <c r="AF122" i="11403"/>
  <c r="AG122" i="11403"/>
  <c r="AH122" i="11403"/>
  <c r="AI122" i="11403"/>
  <c r="AJ122" i="11403"/>
  <c r="AK122" i="11403"/>
  <c r="AL122" i="11403"/>
  <c r="AN122" i="11403"/>
  <c r="AO122" i="11403"/>
  <c r="B123" i="11403"/>
  <c r="C123" i="11403"/>
  <c r="D123" i="11403"/>
  <c r="E123" i="11403"/>
  <c r="F123" i="11403"/>
  <c r="G123" i="11403"/>
  <c r="H123" i="11403"/>
  <c r="I123" i="11403"/>
  <c r="J123" i="11403"/>
  <c r="K123" i="11403"/>
  <c r="L123" i="11403"/>
  <c r="M123" i="11403"/>
  <c r="N123" i="11403"/>
  <c r="O123" i="11403"/>
  <c r="P123" i="11403"/>
  <c r="Q123" i="11403"/>
  <c r="R123" i="11403"/>
  <c r="S123" i="11403"/>
  <c r="T123" i="11403"/>
  <c r="U123" i="11403"/>
  <c r="W123" i="11403"/>
  <c r="X123" i="11403"/>
  <c r="Y123" i="11403"/>
  <c r="Z123" i="11403"/>
  <c r="AA123" i="11403"/>
  <c r="AB123" i="11403"/>
  <c r="AC123" i="11403"/>
  <c r="AD123" i="11403"/>
  <c r="AE123" i="11403"/>
  <c r="AF123" i="11403"/>
  <c r="AG123" i="11403"/>
  <c r="AH123" i="11403"/>
  <c r="AI123" i="11403"/>
  <c r="AJ123" i="11403"/>
  <c r="AK123" i="11403"/>
  <c r="AL123" i="11403"/>
  <c r="AN123" i="11403"/>
  <c r="AO123" i="11403"/>
  <c r="B124" i="11403"/>
  <c r="C124" i="11403"/>
  <c r="D124" i="11403"/>
  <c r="E124" i="11403"/>
  <c r="F124" i="11403"/>
  <c r="G124" i="11403"/>
  <c r="H124" i="11403"/>
  <c r="I124" i="11403"/>
  <c r="J124" i="11403"/>
  <c r="K124" i="11403"/>
  <c r="L124" i="11403"/>
  <c r="M124" i="11403"/>
  <c r="N124" i="11403"/>
  <c r="O124" i="11403"/>
  <c r="P124" i="11403"/>
  <c r="Q124" i="11403"/>
  <c r="R124" i="11403"/>
  <c r="S124" i="11403"/>
  <c r="T124" i="11403"/>
  <c r="U124" i="11403"/>
  <c r="W124" i="11403"/>
  <c r="X124" i="11403"/>
  <c r="Y124" i="11403"/>
  <c r="Z124" i="11403"/>
  <c r="AA124" i="11403"/>
  <c r="AB124" i="11403"/>
  <c r="AC124" i="11403"/>
  <c r="AD124" i="11403"/>
  <c r="AE124" i="11403"/>
  <c r="AF124" i="11403"/>
  <c r="AG124" i="11403"/>
  <c r="AH124" i="11403"/>
  <c r="AI124" i="11403"/>
  <c r="AJ124" i="11403"/>
  <c r="AK124" i="11403"/>
  <c r="AL124" i="11403"/>
  <c r="AN124" i="11403"/>
  <c r="AO124" i="11403"/>
  <c r="B125" i="11403"/>
  <c r="C125" i="11403"/>
  <c r="D125" i="11403"/>
  <c r="E125" i="11403"/>
  <c r="F125" i="11403"/>
  <c r="G125" i="11403"/>
  <c r="H125" i="11403"/>
  <c r="I125" i="11403"/>
  <c r="J125" i="11403"/>
  <c r="K125" i="11403"/>
  <c r="L125" i="11403"/>
  <c r="M125" i="11403"/>
  <c r="N125" i="11403"/>
  <c r="O125" i="11403"/>
  <c r="P125" i="11403"/>
  <c r="Q125" i="11403"/>
  <c r="R125" i="11403"/>
  <c r="S125" i="11403"/>
  <c r="T125" i="11403"/>
  <c r="U125" i="11403"/>
  <c r="W125" i="11403"/>
  <c r="X125" i="11403"/>
  <c r="Y125" i="11403"/>
  <c r="Z125" i="11403"/>
  <c r="AA125" i="11403"/>
  <c r="AB125" i="11403"/>
  <c r="AC125" i="11403"/>
  <c r="AD125" i="11403"/>
  <c r="AE125" i="11403"/>
  <c r="AF125" i="11403"/>
  <c r="AG125" i="11403"/>
  <c r="AH125" i="11403"/>
  <c r="AI125" i="11403"/>
  <c r="AJ125" i="11403"/>
  <c r="AK125" i="11403"/>
  <c r="AL125" i="11403"/>
  <c r="AN125" i="11403"/>
  <c r="AO125" i="11403"/>
  <c r="B126" i="11403"/>
  <c r="C126" i="11403"/>
  <c r="D126" i="11403"/>
  <c r="E126" i="11403"/>
  <c r="F126" i="11403"/>
  <c r="G126" i="11403"/>
  <c r="H126" i="11403"/>
  <c r="I126" i="11403"/>
  <c r="J126" i="11403"/>
  <c r="K126" i="11403"/>
  <c r="L126" i="11403"/>
  <c r="M126" i="11403"/>
  <c r="N126" i="11403"/>
  <c r="O126" i="11403"/>
  <c r="P126" i="11403"/>
  <c r="Q126" i="11403"/>
  <c r="R126" i="11403"/>
  <c r="S126" i="11403"/>
  <c r="T126" i="11403"/>
  <c r="U126" i="11403"/>
  <c r="W126" i="11403"/>
  <c r="X126" i="11403"/>
  <c r="Y126" i="11403"/>
  <c r="Z126" i="11403"/>
  <c r="AA126" i="11403"/>
  <c r="AB126" i="11403"/>
  <c r="AC126" i="11403"/>
  <c r="AD126" i="11403"/>
  <c r="AE126" i="11403"/>
  <c r="AF126" i="11403"/>
  <c r="AG126" i="11403"/>
  <c r="AH126" i="11403"/>
  <c r="AI126" i="11403"/>
  <c r="AJ126" i="11403"/>
  <c r="AK126" i="11403"/>
  <c r="AL126" i="11403"/>
  <c r="AN126" i="11403"/>
  <c r="AO126" i="11403"/>
  <c r="B127" i="11403"/>
  <c r="C127" i="11403"/>
  <c r="D127" i="11403"/>
  <c r="E127" i="11403"/>
  <c r="F127" i="11403"/>
  <c r="G127" i="11403"/>
  <c r="H127" i="11403"/>
  <c r="I127" i="11403"/>
  <c r="J127" i="11403"/>
  <c r="K127" i="11403"/>
  <c r="L127" i="11403"/>
  <c r="M127" i="11403"/>
  <c r="N127" i="11403"/>
  <c r="O127" i="11403"/>
  <c r="P127" i="11403"/>
  <c r="Q127" i="11403"/>
  <c r="R127" i="11403"/>
  <c r="S127" i="11403"/>
  <c r="T127" i="11403"/>
  <c r="U127" i="11403"/>
  <c r="W127" i="11403"/>
  <c r="X127" i="11403"/>
  <c r="Y127" i="11403"/>
  <c r="Z127" i="11403"/>
  <c r="AA127" i="11403"/>
  <c r="AB127" i="11403"/>
  <c r="AC127" i="11403"/>
  <c r="AD127" i="11403"/>
  <c r="AE127" i="11403"/>
  <c r="AF127" i="11403"/>
  <c r="AG127" i="11403"/>
  <c r="AH127" i="11403"/>
  <c r="AI127" i="11403"/>
  <c r="AJ127" i="11403"/>
  <c r="AK127" i="11403"/>
  <c r="AL127" i="11403"/>
  <c r="AN127" i="11403"/>
  <c r="AO127" i="11403"/>
  <c r="B128" i="11403"/>
  <c r="C128" i="11403"/>
  <c r="D128" i="11403"/>
  <c r="E128" i="11403"/>
  <c r="F128" i="11403"/>
  <c r="G128" i="11403"/>
  <c r="H128" i="11403"/>
  <c r="I128" i="11403"/>
  <c r="J128" i="11403"/>
  <c r="K128" i="11403"/>
  <c r="L128" i="11403"/>
  <c r="M128" i="11403"/>
  <c r="N128" i="11403"/>
  <c r="O128" i="11403"/>
  <c r="P128" i="11403"/>
  <c r="Q128" i="11403"/>
  <c r="R128" i="11403"/>
  <c r="S128" i="11403"/>
  <c r="T128" i="11403"/>
  <c r="U128" i="11403"/>
  <c r="W128" i="11403"/>
  <c r="X128" i="11403"/>
  <c r="Y128" i="11403"/>
  <c r="Z128" i="11403"/>
  <c r="AA128" i="11403"/>
  <c r="AB128" i="11403"/>
  <c r="AC128" i="11403"/>
  <c r="AD128" i="11403"/>
  <c r="AE128" i="11403"/>
  <c r="AF128" i="11403"/>
  <c r="AG128" i="11403"/>
  <c r="AH128" i="11403"/>
  <c r="AI128" i="11403"/>
  <c r="AJ128" i="11403"/>
  <c r="AK128" i="11403"/>
  <c r="AL128" i="11403"/>
  <c r="AN128" i="11403"/>
  <c r="AO128" i="11403"/>
  <c r="B129" i="11403"/>
  <c r="C129" i="11403"/>
  <c r="D129" i="11403"/>
  <c r="E129" i="11403"/>
  <c r="F129" i="11403"/>
  <c r="G129" i="11403"/>
  <c r="H129" i="11403"/>
  <c r="I129" i="11403"/>
  <c r="J129" i="11403"/>
  <c r="K129" i="11403"/>
  <c r="L129" i="11403"/>
  <c r="M129" i="11403"/>
  <c r="N129" i="11403"/>
  <c r="O129" i="11403"/>
  <c r="P129" i="11403"/>
  <c r="Q129" i="11403"/>
  <c r="R129" i="11403"/>
  <c r="S129" i="11403"/>
  <c r="T129" i="11403"/>
  <c r="U129" i="11403"/>
  <c r="W129" i="11403"/>
  <c r="X129" i="11403"/>
  <c r="Y129" i="11403"/>
  <c r="Z129" i="11403"/>
  <c r="AA129" i="11403"/>
  <c r="AB129" i="11403"/>
  <c r="AC129" i="11403"/>
  <c r="AD129" i="11403"/>
  <c r="AE129" i="11403"/>
  <c r="AF129" i="11403"/>
  <c r="AG129" i="11403"/>
  <c r="AH129" i="11403"/>
  <c r="AI129" i="11403"/>
  <c r="AJ129" i="11403"/>
  <c r="AK129" i="11403"/>
  <c r="AL129" i="11403"/>
  <c r="AN129" i="11403"/>
  <c r="AO129" i="11403"/>
  <c r="B130" i="11403"/>
  <c r="C130" i="11403"/>
  <c r="D130" i="11403"/>
  <c r="E130" i="11403"/>
  <c r="F130" i="11403"/>
  <c r="G130" i="11403"/>
  <c r="H130" i="11403"/>
  <c r="I130" i="11403"/>
  <c r="J130" i="11403"/>
  <c r="K130" i="11403"/>
  <c r="L130" i="11403"/>
  <c r="M130" i="11403"/>
  <c r="N130" i="11403"/>
  <c r="O130" i="11403"/>
  <c r="P130" i="11403"/>
  <c r="Q130" i="11403"/>
  <c r="R130" i="11403"/>
  <c r="S130" i="11403"/>
  <c r="T130" i="11403"/>
  <c r="U130" i="11403"/>
  <c r="W130" i="11403"/>
  <c r="X130" i="11403"/>
  <c r="Y130" i="11403"/>
  <c r="Z130" i="11403"/>
  <c r="AA130" i="11403"/>
  <c r="AB130" i="11403"/>
  <c r="AC130" i="11403"/>
  <c r="AD130" i="11403"/>
  <c r="AE130" i="11403"/>
  <c r="AF130" i="11403"/>
  <c r="AG130" i="11403"/>
  <c r="AH130" i="11403"/>
  <c r="AI130" i="11403"/>
  <c r="AJ130" i="11403"/>
  <c r="AK130" i="11403"/>
  <c r="AL130" i="11403"/>
  <c r="AN130" i="11403"/>
  <c r="AO130" i="11403"/>
  <c r="B131" i="11403"/>
  <c r="C131" i="11403"/>
  <c r="D131" i="11403"/>
  <c r="E131" i="11403"/>
  <c r="F131" i="11403"/>
  <c r="G131" i="11403"/>
  <c r="H131" i="11403"/>
  <c r="I131" i="11403"/>
  <c r="J131" i="11403"/>
  <c r="K131" i="11403"/>
  <c r="L131" i="11403"/>
  <c r="M131" i="11403"/>
  <c r="N131" i="11403"/>
  <c r="O131" i="11403"/>
  <c r="P131" i="11403"/>
  <c r="Q131" i="11403"/>
  <c r="R131" i="11403"/>
  <c r="S131" i="11403"/>
  <c r="T131" i="11403"/>
  <c r="U131" i="11403"/>
  <c r="W131" i="11403"/>
  <c r="X131" i="11403"/>
  <c r="Y131" i="11403"/>
  <c r="Z131" i="11403"/>
  <c r="AA131" i="11403"/>
  <c r="AB131" i="11403"/>
  <c r="AC131" i="11403"/>
  <c r="AD131" i="11403"/>
  <c r="AE131" i="11403"/>
  <c r="AF131" i="11403"/>
  <c r="AG131" i="11403"/>
  <c r="AH131" i="11403"/>
  <c r="AI131" i="11403"/>
  <c r="AJ131" i="11403"/>
  <c r="AK131" i="11403"/>
  <c r="AL131" i="11403"/>
  <c r="AN131" i="11403"/>
  <c r="AO131" i="11403"/>
  <c r="B132" i="11403"/>
  <c r="C132" i="11403"/>
  <c r="D132" i="11403"/>
  <c r="E132" i="11403"/>
  <c r="F132" i="11403"/>
  <c r="G132" i="11403"/>
  <c r="H132" i="11403"/>
  <c r="I132" i="11403"/>
  <c r="J132" i="11403"/>
  <c r="K132" i="11403"/>
  <c r="L132" i="11403"/>
  <c r="M132" i="11403"/>
  <c r="N132" i="11403"/>
  <c r="O132" i="11403"/>
  <c r="P132" i="11403"/>
  <c r="Q132" i="11403"/>
  <c r="R132" i="11403"/>
  <c r="S132" i="11403"/>
  <c r="T132" i="11403"/>
  <c r="U132" i="11403"/>
  <c r="W132" i="11403"/>
  <c r="X132" i="11403"/>
  <c r="Y132" i="11403"/>
  <c r="Z132" i="11403"/>
  <c r="AA132" i="11403"/>
  <c r="AB132" i="11403"/>
  <c r="AC132" i="11403"/>
  <c r="AD132" i="11403"/>
  <c r="AE132" i="11403"/>
  <c r="AF132" i="11403"/>
  <c r="AG132" i="11403"/>
  <c r="AH132" i="11403"/>
  <c r="AI132" i="11403"/>
  <c r="AJ132" i="11403"/>
  <c r="AK132" i="11403"/>
  <c r="AL132" i="11403"/>
  <c r="AN132" i="11403"/>
  <c r="AO132" i="11403"/>
  <c r="B133" i="11403"/>
  <c r="C133" i="11403"/>
  <c r="D133" i="11403"/>
  <c r="E133" i="11403"/>
  <c r="F133" i="11403"/>
  <c r="G133" i="11403"/>
  <c r="H133" i="11403"/>
  <c r="I133" i="11403"/>
  <c r="J133" i="11403"/>
  <c r="K133" i="11403"/>
  <c r="L133" i="11403"/>
  <c r="M133" i="11403"/>
  <c r="N133" i="11403"/>
  <c r="O133" i="11403"/>
  <c r="P133" i="11403"/>
  <c r="Q133" i="11403"/>
  <c r="R133" i="11403"/>
  <c r="S133" i="11403"/>
  <c r="T133" i="11403"/>
  <c r="U133" i="11403"/>
  <c r="W133" i="11403"/>
  <c r="X133" i="11403"/>
  <c r="Y133" i="11403"/>
  <c r="Z133" i="11403"/>
  <c r="AA133" i="11403"/>
  <c r="AB133" i="11403"/>
  <c r="AC133" i="11403"/>
  <c r="AD133" i="11403"/>
  <c r="AE133" i="11403"/>
  <c r="AF133" i="11403"/>
  <c r="AG133" i="11403"/>
  <c r="AH133" i="11403"/>
  <c r="AI133" i="11403"/>
  <c r="AJ133" i="11403"/>
  <c r="AK133" i="11403"/>
  <c r="AL133" i="11403"/>
  <c r="AN133" i="11403"/>
  <c r="AO133" i="11403"/>
  <c r="B134" i="11403"/>
  <c r="C134" i="11403"/>
  <c r="D134" i="11403"/>
  <c r="E134" i="11403"/>
  <c r="F134" i="11403"/>
  <c r="G134" i="11403"/>
  <c r="H134" i="11403"/>
  <c r="I134" i="11403"/>
  <c r="J134" i="11403"/>
  <c r="K134" i="11403"/>
  <c r="L134" i="11403"/>
  <c r="M134" i="11403"/>
  <c r="N134" i="11403"/>
  <c r="O134" i="11403"/>
  <c r="P134" i="11403"/>
  <c r="Q134" i="11403"/>
  <c r="R134" i="11403"/>
  <c r="S134" i="11403"/>
  <c r="T134" i="11403"/>
  <c r="U134" i="11403"/>
  <c r="W134" i="11403"/>
  <c r="X134" i="11403"/>
  <c r="Y134" i="11403"/>
  <c r="Z134" i="11403"/>
  <c r="AA134" i="11403"/>
  <c r="AB134" i="11403"/>
  <c r="AC134" i="11403"/>
  <c r="AD134" i="11403"/>
  <c r="AE134" i="11403"/>
  <c r="AF134" i="11403"/>
  <c r="AG134" i="11403"/>
  <c r="AH134" i="11403"/>
  <c r="AI134" i="11403"/>
  <c r="AJ134" i="11403"/>
  <c r="AK134" i="11403"/>
  <c r="AL134" i="11403"/>
  <c r="AN134" i="11403"/>
  <c r="AO134" i="11403"/>
  <c r="B135" i="11403"/>
  <c r="C135" i="11403"/>
  <c r="D135" i="11403"/>
  <c r="E135" i="11403"/>
  <c r="F135" i="11403"/>
  <c r="G135" i="11403"/>
  <c r="H135" i="11403"/>
  <c r="I135" i="11403"/>
  <c r="J135" i="11403"/>
  <c r="K135" i="11403"/>
  <c r="L135" i="11403"/>
  <c r="M135" i="11403"/>
  <c r="N135" i="11403"/>
  <c r="O135" i="11403"/>
  <c r="P135" i="11403"/>
  <c r="Q135" i="11403"/>
  <c r="R135" i="11403"/>
  <c r="S135" i="11403"/>
  <c r="T135" i="11403"/>
  <c r="U135" i="11403"/>
  <c r="W135" i="11403"/>
  <c r="X135" i="11403"/>
  <c r="Y135" i="11403"/>
  <c r="Z135" i="11403"/>
  <c r="AA135" i="11403"/>
  <c r="AB135" i="11403"/>
  <c r="AC135" i="11403"/>
  <c r="AD135" i="11403"/>
  <c r="AE135" i="11403"/>
  <c r="AF135" i="11403"/>
  <c r="AG135" i="11403"/>
  <c r="AH135" i="11403"/>
  <c r="AI135" i="11403"/>
  <c r="AJ135" i="11403"/>
  <c r="AK135" i="11403"/>
  <c r="AL135" i="11403"/>
  <c r="AN135" i="11403"/>
  <c r="AO135" i="11403"/>
  <c r="B136" i="11403"/>
  <c r="C136" i="11403"/>
  <c r="D136" i="11403"/>
  <c r="E136" i="11403"/>
  <c r="F136" i="11403"/>
  <c r="G136" i="11403"/>
  <c r="H136" i="11403"/>
  <c r="I136" i="11403"/>
  <c r="J136" i="11403"/>
  <c r="K136" i="11403"/>
  <c r="L136" i="11403"/>
  <c r="M136" i="11403"/>
  <c r="N136" i="11403"/>
  <c r="O136" i="11403"/>
  <c r="P136" i="11403"/>
  <c r="Q136" i="11403"/>
  <c r="R136" i="11403"/>
  <c r="S136" i="11403"/>
  <c r="T136" i="11403"/>
  <c r="U136" i="11403"/>
  <c r="W136" i="11403"/>
  <c r="X136" i="11403"/>
  <c r="Y136" i="11403"/>
  <c r="Z136" i="11403"/>
  <c r="AA136" i="11403"/>
  <c r="AB136" i="11403"/>
  <c r="AC136" i="11403"/>
  <c r="AD136" i="11403"/>
  <c r="AE136" i="11403"/>
  <c r="AF136" i="11403"/>
  <c r="AG136" i="11403"/>
  <c r="AH136" i="11403"/>
  <c r="AI136" i="11403"/>
  <c r="AJ136" i="11403"/>
  <c r="AK136" i="11403"/>
  <c r="AL136" i="11403"/>
  <c r="AN136" i="11403"/>
  <c r="AO136" i="11403"/>
  <c r="B137" i="11403"/>
  <c r="C137" i="11403"/>
  <c r="D137" i="11403"/>
  <c r="E137" i="11403"/>
  <c r="F137" i="11403"/>
  <c r="G137" i="11403"/>
  <c r="H137" i="11403"/>
  <c r="I137" i="11403"/>
  <c r="J137" i="11403"/>
  <c r="K137" i="11403"/>
  <c r="L137" i="11403"/>
  <c r="M137" i="11403"/>
  <c r="N137" i="11403"/>
  <c r="O137" i="11403"/>
  <c r="P137" i="11403"/>
  <c r="Q137" i="11403"/>
  <c r="R137" i="11403"/>
  <c r="S137" i="11403"/>
  <c r="T137" i="11403"/>
  <c r="U137" i="11403"/>
  <c r="W137" i="11403"/>
  <c r="X137" i="11403"/>
  <c r="Y137" i="11403"/>
  <c r="Z137" i="11403"/>
  <c r="AA137" i="11403"/>
  <c r="AB137" i="11403"/>
  <c r="AC137" i="11403"/>
  <c r="AD137" i="11403"/>
  <c r="AE137" i="11403"/>
  <c r="AF137" i="11403"/>
  <c r="AG137" i="11403"/>
  <c r="AH137" i="11403"/>
  <c r="AI137" i="11403"/>
  <c r="AJ137" i="11403"/>
  <c r="AK137" i="11403"/>
  <c r="AL137" i="11403"/>
  <c r="AN137" i="11403"/>
  <c r="AO137" i="11403"/>
  <c r="B138" i="11403"/>
  <c r="C138" i="11403"/>
  <c r="D138" i="11403"/>
  <c r="E138" i="11403"/>
  <c r="F138" i="11403"/>
  <c r="G138" i="11403"/>
  <c r="H138" i="11403"/>
  <c r="I138" i="11403"/>
  <c r="J138" i="11403"/>
  <c r="K138" i="11403"/>
  <c r="L138" i="11403"/>
  <c r="M138" i="11403"/>
  <c r="N138" i="11403"/>
  <c r="O138" i="11403"/>
  <c r="P138" i="11403"/>
  <c r="Q138" i="11403"/>
  <c r="R138" i="11403"/>
  <c r="S138" i="11403"/>
  <c r="T138" i="11403"/>
  <c r="U138" i="11403"/>
  <c r="W138" i="11403"/>
  <c r="X138" i="11403"/>
  <c r="Y138" i="11403"/>
  <c r="Z138" i="11403"/>
  <c r="AA138" i="11403"/>
  <c r="AB138" i="11403"/>
  <c r="AC138" i="11403"/>
  <c r="AD138" i="11403"/>
  <c r="AE138" i="11403"/>
  <c r="AF138" i="11403"/>
  <c r="AG138" i="11403"/>
  <c r="AH138" i="11403"/>
  <c r="AI138" i="11403"/>
  <c r="AJ138" i="11403"/>
  <c r="AK138" i="11403"/>
  <c r="AL138" i="11403"/>
  <c r="AN138" i="11403"/>
  <c r="AO138" i="11403"/>
  <c r="B139" i="11403"/>
  <c r="C139" i="11403"/>
  <c r="D139" i="11403"/>
  <c r="E139" i="11403"/>
  <c r="F139" i="11403"/>
  <c r="G139" i="11403"/>
  <c r="H139" i="11403"/>
  <c r="I139" i="11403"/>
  <c r="J139" i="11403"/>
  <c r="K139" i="11403"/>
  <c r="L139" i="11403"/>
  <c r="M139" i="11403"/>
  <c r="N139" i="11403"/>
  <c r="O139" i="11403"/>
  <c r="P139" i="11403"/>
  <c r="Q139" i="11403"/>
  <c r="R139" i="11403"/>
  <c r="S139" i="11403"/>
  <c r="T139" i="11403"/>
  <c r="U139" i="11403"/>
  <c r="W139" i="11403"/>
  <c r="X139" i="11403"/>
  <c r="Y139" i="11403"/>
  <c r="Z139" i="11403"/>
  <c r="AA139" i="11403"/>
  <c r="AB139" i="11403"/>
  <c r="AC139" i="11403"/>
  <c r="AD139" i="11403"/>
  <c r="AE139" i="11403"/>
  <c r="AF139" i="11403"/>
  <c r="AG139" i="11403"/>
  <c r="AH139" i="11403"/>
  <c r="AI139" i="11403"/>
  <c r="AJ139" i="11403"/>
  <c r="AK139" i="11403"/>
  <c r="AL139" i="11403"/>
  <c r="AN139" i="11403"/>
  <c r="AO139" i="11403"/>
  <c r="B140" i="11403"/>
  <c r="C140" i="11403"/>
  <c r="D140" i="11403"/>
  <c r="E140" i="11403"/>
  <c r="F140" i="11403"/>
  <c r="G140" i="11403"/>
  <c r="H140" i="11403"/>
  <c r="I140" i="11403"/>
  <c r="J140" i="11403"/>
  <c r="K140" i="11403"/>
  <c r="L140" i="11403"/>
  <c r="M140" i="11403"/>
  <c r="N140" i="11403"/>
  <c r="O140" i="11403"/>
  <c r="P140" i="11403"/>
  <c r="Q140" i="11403"/>
  <c r="R140" i="11403"/>
  <c r="S140" i="11403"/>
  <c r="T140" i="11403"/>
  <c r="U140" i="11403"/>
  <c r="W140" i="11403"/>
  <c r="X140" i="11403"/>
  <c r="Y140" i="11403"/>
  <c r="Z140" i="11403"/>
  <c r="AA140" i="11403"/>
  <c r="AB140" i="11403"/>
  <c r="AC140" i="11403"/>
  <c r="AD140" i="11403"/>
  <c r="AE140" i="11403"/>
  <c r="AF140" i="11403"/>
  <c r="AG140" i="11403"/>
  <c r="AH140" i="11403"/>
  <c r="AI140" i="11403"/>
  <c r="AJ140" i="11403"/>
  <c r="AK140" i="11403"/>
  <c r="AL140" i="11403"/>
  <c r="AN140" i="11403"/>
  <c r="AO140" i="11403"/>
  <c r="B141" i="11403"/>
  <c r="C141" i="11403"/>
  <c r="D141" i="11403"/>
  <c r="E141" i="11403"/>
  <c r="F141" i="11403"/>
  <c r="G141" i="11403"/>
  <c r="H141" i="11403"/>
  <c r="I141" i="11403"/>
  <c r="J141" i="11403"/>
  <c r="K141" i="11403"/>
  <c r="L141" i="11403"/>
  <c r="M141" i="11403"/>
  <c r="N141" i="11403"/>
  <c r="O141" i="11403"/>
  <c r="P141" i="11403"/>
  <c r="Q141" i="11403"/>
  <c r="R141" i="11403"/>
  <c r="S141" i="11403"/>
  <c r="T141" i="11403"/>
  <c r="U141" i="11403"/>
  <c r="W141" i="11403"/>
  <c r="X141" i="11403"/>
  <c r="Y141" i="11403"/>
  <c r="Z141" i="11403"/>
  <c r="AA141" i="11403"/>
  <c r="AB141" i="11403"/>
  <c r="AC141" i="11403"/>
  <c r="AD141" i="11403"/>
  <c r="AE141" i="11403"/>
  <c r="AF141" i="11403"/>
  <c r="AG141" i="11403"/>
  <c r="AH141" i="11403"/>
  <c r="AI141" i="11403"/>
  <c r="AJ141" i="11403"/>
  <c r="AK141" i="11403"/>
  <c r="AL141" i="11403"/>
  <c r="AN141" i="11403"/>
  <c r="AO141" i="11403"/>
  <c r="B142" i="11403"/>
  <c r="C142" i="11403"/>
  <c r="D142" i="11403"/>
  <c r="E142" i="11403"/>
  <c r="F142" i="11403"/>
  <c r="G142" i="11403"/>
  <c r="H142" i="11403"/>
  <c r="I142" i="11403"/>
  <c r="J142" i="11403"/>
  <c r="K142" i="11403"/>
  <c r="L142" i="11403"/>
  <c r="M142" i="11403"/>
  <c r="N142" i="11403"/>
  <c r="O142" i="11403"/>
  <c r="P142" i="11403"/>
  <c r="Q142" i="11403"/>
  <c r="R142" i="11403"/>
  <c r="S142" i="11403"/>
  <c r="T142" i="11403"/>
  <c r="U142" i="11403"/>
  <c r="W142" i="11403"/>
  <c r="X142" i="11403"/>
  <c r="Y142" i="11403"/>
  <c r="Z142" i="11403"/>
  <c r="AA142" i="11403"/>
  <c r="AB142" i="11403"/>
  <c r="AC142" i="11403"/>
  <c r="AD142" i="11403"/>
  <c r="AE142" i="11403"/>
  <c r="AF142" i="11403"/>
  <c r="AG142" i="11403"/>
  <c r="AH142" i="11403"/>
  <c r="AI142" i="11403"/>
  <c r="AJ142" i="11403"/>
  <c r="AK142" i="11403"/>
  <c r="AL142" i="11403"/>
  <c r="AN142" i="11403"/>
  <c r="AO142" i="11403"/>
  <c r="B143" i="11403"/>
  <c r="C143" i="11403"/>
  <c r="D143" i="11403"/>
  <c r="E143" i="11403"/>
  <c r="F143" i="11403"/>
  <c r="G143" i="11403"/>
  <c r="H143" i="11403"/>
  <c r="I143" i="11403"/>
  <c r="J143" i="11403"/>
  <c r="K143" i="11403"/>
  <c r="L143" i="11403"/>
  <c r="M143" i="11403"/>
  <c r="N143" i="11403"/>
  <c r="O143" i="11403"/>
  <c r="P143" i="11403"/>
  <c r="Q143" i="11403"/>
  <c r="R143" i="11403"/>
  <c r="S143" i="11403"/>
  <c r="T143" i="11403"/>
  <c r="U143" i="11403"/>
  <c r="W143" i="11403"/>
  <c r="X143" i="11403"/>
  <c r="Y143" i="11403"/>
  <c r="Z143" i="11403"/>
  <c r="AA143" i="11403"/>
  <c r="AB143" i="11403"/>
  <c r="AC143" i="11403"/>
  <c r="AD143" i="11403"/>
  <c r="AE143" i="11403"/>
  <c r="AF143" i="11403"/>
  <c r="AG143" i="11403"/>
  <c r="AH143" i="11403"/>
  <c r="AI143" i="11403"/>
  <c r="AJ143" i="11403"/>
  <c r="AK143" i="11403"/>
  <c r="AL143" i="11403"/>
  <c r="AN143" i="11403"/>
  <c r="AO143" i="11403"/>
  <c r="B144" i="11403"/>
  <c r="C144" i="11403"/>
  <c r="D144" i="11403"/>
  <c r="E144" i="11403"/>
  <c r="F144" i="11403"/>
  <c r="G144" i="11403"/>
  <c r="H144" i="11403"/>
  <c r="I144" i="11403"/>
  <c r="J144" i="11403"/>
  <c r="K144" i="11403"/>
  <c r="L144" i="11403"/>
  <c r="M144" i="11403"/>
  <c r="N144" i="11403"/>
  <c r="O144" i="11403"/>
  <c r="P144" i="11403"/>
  <c r="Q144" i="11403"/>
  <c r="R144" i="11403"/>
  <c r="S144" i="11403"/>
  <c r="T144" i="11403"/>
  <c r="U144" i="11403"/>
  <c r="W144" i="11403"/>
  <c r="X144" i="11403"/>
  <c r="Y144" i="11403"/>
  <c r="Z144" i="11403"/>
  <c r="AA144" i="11403"/>
  <c r="AB144" i="11403"/>
  <c r="AC144" i="11403"/>
  <c r="AD144" i="11403"/>
  <c r="AE144" i="11403"/>
  <c r="AF144" i="11403"/>
  <c r="AG144" i="11403"/>
  <c r="AH144" i="11403"/>
  <c r="AI144" i="11403"/>
  <c r="AJ144" i="11403"/>
  <c r="AK144" i="11403"/>
  <c r="AL144" i="11403"/>
  <c r="AN144" i="11403"/>
  <c r="AO144" i="11403"/>
  <c r="B145" i="11403"/>
  <c r="C145" i="11403"/>
  <c r="D145" i="11403"/>
  <c r="E145" i="11403"/>
  <c r="F145" i="11403"/>
  <c r="G145" i="11403"/>
  <c r="H145" i="11403"/>
  <c r="I145" i="11403"/>
  <c r="J145" i="11403"/>
  <c r="K145" i="11403"/>
  <c r="L145" i="11403"/>
  <c r="M145" i="11403"/>
  <c r="N145" i="11403"/>
  <c r="O145" i="11403"/>
  <c r="P145" i="11403"/>
  <c r="Q145" i="11403"/>
  <c r="R145" i="11403"/>
  <c r="S145" i="11403"/>
  <c r="T145" i="11403"/>
  <c r="U145" i="11403"/>
  <c r="W145" i="11403"/>
  <c r="X145" i="11403"/>
  <c r="Y145" i="11403"/>
  <c r="Z145" i="11403"/>
  <c r="AA145" i="11403"/>
  <c r="AB145" i="11403"/>
  <c r="AC145" i="11403"/>
  <c r="AD145" i="11403"/>
  <c r="AE145" i="11403"/>
  <c r="AF145" i="11403"/>
  <c r="AG145" i="11403"/>
  <c r="AH145" i="11403"/>
  <c r="AI145" i="11403"/>
  <c r="AJ145" i="11403"/>
  <c r="AK145" i="11403"/>
  <c r="AL145" i="11403"/>
  <c r="AN145" i="11403"/>
  <c r="AO145" i="11403"/>
  <c r="B146" i="11403"/>
  <c r="C146" i="11403"/>
  <c r="D146" i="11403"/>
  <c r="E146" i="11403"/>
  <c r="F146" i="11403"/>
  <c r="G146" i="11403"/>
  <c r="H146" i="11403"/>
  <c r="I146" i="11403"/>
  <c r="J146" i="11403"/>
  <c r="K146" i="11403"/>
  <c r="L146" i="11403"/>
  <c r="M146" i="11403"/>
  <c r="N146" i="11403"/>
  <c r="O146" i="11403"/>
  <c r="P146" i="11403"/>
  <c r="Q146" i="11403"/>
  <c r="R146" i="11403"/>
  <c r="S146" i="11403"/>
  <c r="T146" i="11403"/>
  <c r="U146" i="11403"/>
  <c r="W146" i="11403"/>
  <c r="X146" i="11403"/>
  <c r="Y146" i="11403"/>
  <c r="Z146" i="11403"/>
  <c r="AA146" i="11403"/>
  <c r="AB146" i="11403"/>
  <c r="AC146" i="11403"/>
  <c r="AD146" i="11403"/>
  <c r="AE146" i="11403"/>
  <c r="AF146" i="11403"/>
  <c r="AG146" i="11403"/>
  <c r="AH146" i="11403"/>
  <c r="AI146" i="11403"/>
  <c r="AJ146" i="11403"/>
  <c r="AK146" i="11403"/>
  <c r="AL146" i="11403"/>
  <c r="AN146" i="11403"/>
  <c r="AO146" i="11403"/>
  <c r="B147" i="11403"/>
  <c r="C147" i="11403"/>
  <c r="D147" i="11403"/>
  <c r="E147" i="11403"/>
  <c r="F147" i="11403"/>
  <c r="G147" i="11403"/>
  <c r="H147" i="11403"/>
  <c r="I147" i="11403"/>
  <c r="J147" i="11403"/>
  <c r="K147" i="11403"/>
  <c r="L147" i="11403"/>
  <c r="M147" i="11403"/>
  <c r="N147" i="11403"/>
  <c r="O147" i="11403"/>
  <c r="P147" i="11403"/>
  <c r="Q147" i="11403"/>
  <c r="R147" i="11403"/>
  <c r="S147" i="11403"/>
  <c r="T147" i="11403"/>
  <c r="U147" i="11403"/>
  <c r="W147" i="11403"/>
  <c r="X147" i="11403"/>
  <c r="Y147" i="11403"/>
  <c r="Z147" i="11403"/>
  <c r="AA147" i="11403"/>
  <c r="AB147" i="11403"/>
  <c r="AC147" i="11403"/>
  <c r="AD147" i="11403"/>
  <c r="AE147" i="11403"/>
  <c r="AF147" i="11403"/>
  <c r="AG147" i="11403"/>
  <c r="AH147" i="11403"/>
  <c r="AI147" i="11403"/>
  <c r="AJ147" i="11403"/>
  <c r="AK147" i="11403"/>
  <c r="AL147" i="11403"/>
  <c r="AN147" i="11403"/>
  <c r="AO147" i="11403"/>
  <c r="B148" i="11403"/>
  <c r="C148" i="11403"/>
  <c r="D148" i="11403"/>
  <c r="E148" i="11403"/>
  <c r="F148" i="11403"/>
  <c r="G148" i="11403"/>
  <c r="H148" i="11403"/>
  <c r="I148" i="11403"/>
  <c r="J148" i="11403"/>
  <c r="K148" i="11403"/>
  <c r="L148" i="11403"/>
  <c r="M148" i="11403"/>
  <c r="N148" i="11403"/>
  <c r="O148" i="11403"/>
  <c r="P148" i="11403"/>
  <c r="Q148" i="11403"/>
  <c r="R148" i="11403"/>
  <c r="S148" i="11403"/>
  <c r="T148" i="11403"/>
  <c r="U148" i="11403"/>
  <c r="W148" i="11403"/>
  <c r="X148" i="11403"/>
  <c r="Y148" i="11403"/>
  <c r="Z148" i="11403"/>
  <c r="AA148" i="11403"/>
  <c r="AB148" i="11403"/>
  <c r="AC148" i="11403"/>
  <c r="AD148" i="11403"/>
  <c r="AE148" i="11403"/>
  <c r="AF148" i="11403"/>
  <c r="AG148" i="11403"/>
  <c r="AH148" i="11403"/>
  <c r="AI148" i="11403"/>
  <c r="AJ148" i="11403"/>
  <c r="AK148" i="11403"/>
  <c r="AL148" i="11403"/>
  <c r="AN148" i="11403"/>
  <c r="AO148" i="11403"/>
  <c r="B149" i="11403"/>
  <c r="C149" i="11403"/>
  <c r="D149" i="11403"/>
  <c r="E149" i="11403"/>
  <c r="F149" i="11403"/>
  <c r="G149" i="11403"/>
  <c r="H149" i="11403"/>
  <c r="I149" i="11403"/>
  <c r="J149" i="11403"/>
  <c r="K149" i="11403"/>
  <c r="L149" i="11403"/>
  <c r="M149" i="11403"/>
  <c r="N149" i="11403"/>
  <c r="O149" i="11403"/>
  <c r="P149" i="11403"/>
  <c r="Q149" i="11403"/>
  <c r="R149" i="11403"/>
  <c r="S149" i="11403"/>
  <c r="T149" i="11403"/>
  <c r="U149" i="11403"/>
  <c r="W149" i="11403"/>
  <c r="X149" i="11403"/>
  <c r="Y149" i="11403"/>
  <c r="Z149" i="11403"/>
  <c r="AA149" i="11403"/>
  <c r="AB149" i="11403"/>
  <c r="AC149" i="11403"/>
  <c r="AD149" i="11403"/>
  <c r="AE149" i="11403"/>
  <c r="AF149" i="11403"/>
  <c r="AG149" i="11403"/>
  <c r="AH149" i="11403"/>
  <c r="AI149" i="11403"/>
  <c r="AJ149" i="11403"/>
  <c r="AK149" i="11403"/>
  <c r="AL149" i="11403"/>
  <c r="AN149" i="11403"/>
  <c r="AO149" i="11403"/>
  <c r="B150" i="11403"/>
  <c r="C150" i="11403"/>
  <c r="D150" i="11403"/>
  <c r="E150" i="11403"/>
  <c r="F150" i="11403"/>
  <c r="G150" i="11403"/>
  <c r="H150" i="11403"/>
  <c r="I150" i="11403"/>
  <c r="J150" i="11403"/>
  <c r="K150" i="11403"/>
  <c r="L150" i="11403"/>
  <c r="M150" i="11403"/>
  <c r="N150" i="11403"/>
  <c r="O150" i="11403"/>
  <c r="P150" i="11403"/>
  <c r="Q150" i="11403"/>
  <c r="R150" i="11403"/>
  <c r="S150" i="11403"/>
  <c r="T150" i="11403"/>
  <c r="U150" i="11403"/>
  <c r="W150" i="11403"/>
  <c r="X150" i="11403"/>
  <c r="Y150" i="11403"/>
  <c r="Z150" i="11403"/>
  <c r="AA150" i="11403"/>
  <c r="AB150" i="11403"/>
  <c r="AC150" i="11403"/>
  <c r="AD150" i="11403"/>
  <c r="AE150" i="11403"/>
  <c r="AF150" i="11403"/>
  <c r="AG150" i="11403"/>
  <c r="AH150" i="11403"/>
  <c r="AI150" i="11403"/>
  <c r="AJ150" i="11403"/>
  <c r="AK150" i="11403"/>
  <c r="AL150" i="11403"/>
  <c r="AN150" i="11403"/>
  <c r="AO150" i="11403"/>
  <c r="B151" i="11403"/>
  <c r="C151" i="11403"/>
  <c r="D151" i="11403"/>
  <c r="E151" i="11403"/>
  <c r="F151" i="11403"/>
  <c r="G151" i="11403"/>
  <c r="H151" i="11403"/>
  <c r="I151" i="11403"/>
  <c r="J151" i="11403"/>
  <c r="K151" i="11403"/>
  <c r="L151" i="11403"/>
  <c r="M151" i="11403"/>
  <c r="N151" i="11403"/>
  <c r="O151" i="11403"/>
  <c r="P151" i="11403"/>
  <c r="Q151" i="11403"/>
  <c r="R151" i="11403"/>
  <c r="S151" i="11403"/>
  <c r="T151" i="11403"/>
  <c r="U151" i="11403"/>
  <c r="W151" i="11403"/>
  <c r="X151" i="11403"/>
  <c r="Y151" i="11403"/>
  <c r="Z151" i="11403"/>
  <c r="AA151" i="11403"/>
  <c r="AB151" i="11403"/>
  <c r="AC151" i="11403"/>
  <c r="AD151" i="11403"/>
  <c r="AE151" i="11403"/>
  <c r="AF151" i="11403"/>
  <c r="AG151" i="11403"/>
  <c r="AH151" i="11403"/>
  <c r="AI151" i="11403"/>
  <c r="AJ151" i="11403"/>
  <c r="AK151" i="11403"/>
  <c r="AL151" i="11403"/>
  <c r="AN151" i="11403"/>
  <c r="AO151" i="11403"/>
  <c r="B152" i="11403"/>
  <c r="C152" i="11403"/>
  <c r="D152" i="11403"/>
  <c r="E152" i="11403"/>
  <c r="F152" i="11403"/>
  <c r="G152" i="11403"/>
  <c r="H152" i="11403"/>
  <c r="I152" i="11403"/>
  <c r="J152" i="11403"/>
  <c r="K152" i="11403"/>
  <c r="L152" i="11403"/>
  <c r="M152" i="11403"/>
  <c r="N152" i="11403"/>
  <c r="O152" i="11403"/>
  <c r="P152" i="11403"/>
  <c r="Q152" i="11403"/>
  <c r="R152" i="11403"/>
  <c r="S152" i="11403"/>
  <c r="T152" i="11403"/>
  <c r="U152" i="11403"/>
  <c r="W152" i="11403"/>
  <c r="X152" i="11403"/>
  <c r="Y152" i="11403"/>
  <c r="Z152" i="11403"/>
  <c r="AA152" i="11403"/>
  <c r="AB152" i="11403"/>
  <c r="AC152" i="11403"/>
  <c r="AD152" i="11403"/>
  <c r="AE152" i="11403"/>
  <c r="AF152" i="11403"/>
  <c r="AG152" i="11403"/>
  <c r="AH152" i="11403"/>
  <c r="AI152" i="11403"/>
  <c r="AJ152" i="11403"/>
  <c r="AK152" i="11403"/>
  <c r="AL152" i="11403"/>
  <c r="AN152" i="11403"/>
  <c r="AO152" i="11403"/>
  <c r="B153" i="11403"/>
  <c r="C153" i="11403"/>
  <c r="D153" i="11403"/>
  <c r="E153" i="11403"/>
  <c r="F153" i="11403"/>
  <c r="G153" i="11403"/>
  <c r="H153" i="11403"/>
  <c r="I153" i="11403"/>
  <c r="J153" i="11403"/>
  <c r="K153" i="11403"/>
  <c r="L153" i="11403"/>
  <c r="M153" i="11403"/>
  <c r="N153" i="11403"/>
  <c r="O153" i="11403"/>
  <c r="P153" i="11403"/>
  <c r="Q153" i="11403"/>
  <c r="R153" i="11403"/>
  <c r="S153" i="11403"/>
  <c r="T153" i="11403"/>
  <c r="U153" i="11403"/>
  <c r="W153" i="11403"/>
  <c r="X153" i="11403"/>
  <c r="Y153" i="11403"/>
  <c r="Z153" i="11403"/>
  <c r="AA153" i="11403"/>
  <c r="AB153" i="11403"/>
  <c r="AC153" i="11403"/>
  <c r="AD153" i="11403"/>
  <c r="AE153" i="11403"/>
  <c r="AF153" i="11403"/>
  <c r="AG153" i="11403"/>
  <c r="AH153" i="11403"/>
  <c r="AI153" i="11403"/>
  <c r="AJ153" i="11403"/>
  <c r="AK153" i="11403"/>
  <c r="AL153" i="11403"/>
  <c r="AN153" i="11403"/>
  <c r="AO153" i="11403"/>
  <c r="B154" i="11403"/>
  <c r="C154" i="11403"/>
  <c r="D154" i="11403"/>
  <c r="E154" i="11403"/>
  <c r="F154" i="11403"/>
  <c r="G154" i="11403"/>
  <c r="H154" i="11403"/>
  <c r="I154" i="11403"/>
  <c r="J154" i="11403"/>
  <c r="K154" i="11403"/>
  <c r="L154" i="11403"/>
  <c r="M154" i="11403"/>
  <c r="N154" i="11403"/>
  <c r="O154" i="11403"/>
  <c r="P154" i="11403"/>
  <c r="Q154" i="11403"/>
  <c r="R154" i="11403"/>
  <c r="S154" i="11403"/>
  <c r="T154" i="11403"/>
  <c r="U154" i="11403"/>
  <c r="W154" i="11403"/>
  <c r="X154" i="11403"/>
  <c r="Y154" i="11403"/>
  <c r="Z154" i="11403"/>
  <c r="AA154" i="11403"/>
  <c r="AB154" i="11403"/>
  <c r="AC154" i="11403"/>
  <c r="AD154" i="11403"/>
  <c r="AE154" i="11403"/>
  <c r="AF154" i="11403"/>
  <c r="AG154" i="11403"/>
  <c r="AH154" i="11403"/>
  <c r="AI154" i="11403"/>
  <c r="AJ154" i="11403"/>
  <c r="AK154" i="11403"/>
  <c r="AL154" i="11403"/>
  <c r="AN154" i="11403"/>
  <c r="AO154" i="11403"/>
  <c r="B155" i="11403"/>
  <c r="C155" i="11403"/>
  <c r="D155" i="11403"/>
  <c r="E155" i="11403"/>
  <c r="F155" i="11403"/>
  <c r="G155" i="11403"/>
  <c r="H155" i="11403"/>
  <c r="I155" i="11403"/>
  <c r="J155" i="11403"/>
  <c r="K155" i="11403"/>
  <c r="L155" i="11403"/>
  <c r="M155" i="11403"/>
  <c r="N155" i="11403"/>
  <c r="O155" i="11403"/>
  <c r="P155" i="11403"/>
  <c r="Q155" i="11403"/>
  <c r="R155" i="11403"/>
  <c r="S155" i="11403"/>
  <c r="T155" i="11403"/>
  <c r="U155" i="11403"/>
  <c r="W155" i="11403"/>
  <c r="X155" i="11403"/>
  <c r="Y155" i="11403"/>
  <c r="Z155" i="11403"/>
  <c r="AA155" i="11403"/>
  <c r="AB155" i="11403"/>
  <c r="AC155" i="11403"/>
  <c r="AD155" i="11403"/>
  <c r="AE155" i="11403"/>
  <c r="AF155" i="11403"/>
  <c r="AG155" i="11403"/>
  <c r="AH155" i="11403"/>
  <c r="AI155" i="11403"/>
  <c r="AJ155" i="11403"/>
  <c r="AK155" i="11403"/>
  <c r="AL155" i="11403"/>
  <c r="AN155" i="11403"/>
  <c r="AO155" i="11403"/>
  <c r="B156" i="11403"/>
  <c r="C156" i="11403"/>
  <c r="D156" i="11403"/>
  <c r="E156" i="11403"/>
  <c r="F156" i="11403"/>
  <c r="G156" i="11403"/>
  <c r="H156" i="11403"/>
  <c r="I156" i="11403"/>
  <c r="J156" i="11403"/>
  <c r="K156" i="11403"/>
  <c r="L156" i="11403"/>
  <c r="M156" i="11403"/>
  <c r="N156" i="11403"/>
  <c r="O156" i="11403"/>
  <c r="P156" i="11403"/>
  <c r="Q156" i="11403"/>
  <c r="R156" i="11403"/>
  <c r="S156" i="11403"/>
  <c r="T156" i="11403"/>
  <c r="U156" i="11403"/>
  <c r="W156" i="11403"/>
  <c r="X156" i="11403"/>
  <c r="Y156" i="11403"/>
  <c r="Z156" i="11403"/>
  <c r="AA156" i="11403"/>
  <c r="AB156" i="11403"/>
  <c r="AC156" i="11403"/>
  <c r="AD156" i="11403"/>
  <c r="AE156" i="11403"/>
  <c r="AF156" i="11403"/>
  <c r="AG156" i="11403"/>
  <c r="AH156" i="11403"/>
  <c r="AI156" i="11403"/>
  <c r="AJ156" i="11403"/>
  <c r="AK156" i="11403"/>
  <c r="AL156" i="11403"/>
  <c r="AN156" i="11403"/>
  <c r="AO156" i="11403"/>
  <c r="B157" i="11403"/>
  <c r="C157" i="11403"/>
  <c r="D157" i="11403"/>
  <c r="E157" i="11403"/>
  <c r="F157" i="11403"/>
  <c r="G157" i="11403"/>
  <c r="H157" i="11403"/>
  <c r="I157" i="11403"/>
  <c r="J157" i="11403"/>
  <c r="K157" i="11403"/>
  <c r="L157" i="11403"/>
  <c r="M157" i="11403"/>
  <c r="N157" i="11403"/>
  <c r="O157" i="11403"/>
  <c r="P157" i="11403"/>
  <c r="Q157" i="11403"/>
  <c r="R157" i="11403"/>
  <c r="S157" i="11403"/>
  <c r="T157" i="11403"/>
  <c r="U157" i="11403"/>
  <c r="W157" i="11403"/>
  <c r="X157" i="11403"/>
  <c r="Y157" i="11403"/>
  <c r="Z157" i="11403"/>
  <c r="AA157" i="11403"/>
  <c r="AB157" i="11403"/>
  <c r="AC157" i="11403"/>
  <c r="AD157" i="11403"/>
  <c r="AE157" i="11403"/>
  <c r="AF157" i="11403"/>
  <c r="AG157" i="11403"/>
  <c r="AH157" i="11403"/>
  <c r="AI157" i="11403"/>
  <c r="AJ157" i="11403"/>
  <c r="AK157" i="11403"/>
  <c r="AL157" i="11403"/>
  <c r="AN157" i="11403"/>
  <c r="AO157" i="11403"/>
  <c r="B158" i="11403"/>
  <c r="C158" i="11403"/>
  <c r="D158" i="11403"/>
  <c r="E158" i="11403"/>
  <c r="F158" i="11403"/>
  <c r="G158" i="11403"/>
  <c r="H158" i="11403"/>
  <c r="I158" i="11403"/>
  <c r="J158" i="11403"/>
  <c r="K158" i="11403"/>
  <c r="L158" i="11403"/>
  <c r="M158" i="11403"/>
  <c r="N158" i="11403"/>
  <c r="O158" i="11403"/>
  <c r="P158" i="11403"/>
  <c r="Q158" i="11403"/>
  <c r="R158" i="11403"/>
  <c r="S158" i="11403"/>
  <c r="T158" i="11403"/>
  <c r="U158" i="11403"/>
  <c r="W158" i="11403"/>
  <c r="X158" i="11403"/>
  <c r="Y158" i="11403"/>
  <c r="Z158" i="11403"/>
  <c r="AA158" i="11403"/>
  <c r="AB158" i="11403"/>
  <c r="AC158" i="11403"/>
  <c r="AD158" i="11403"/>
  <c r="AE158" i="11403"/>
  <c r="AF158" i="11403"/>
  <c r="AG158" i="11403"/>
  <c r="AH158" i="11403"/>
  <c r="AI158" i="11403"/>
  <c r="AJ158" i="11403"/>
  <c r="AK158" i="11403"/>
  <c r="AL158" i="11403"/>
  <c r="AN158" i="11403"/>
  <c r="AO158" i="11403"/>
  <c r="B159" i="11403"/>
  <c r="C159" i="11403"/>
  <c r="D159" i="11403"/>
  <c r="E159" i="11403"/>
  <c r="F159" i="11403"/>
  <c r="G159" i="11403"/>
  <c r="H159" i="11403"/>
  <c r="I159" i="11403"/>
  <c r="J159" i="11403"/>
  <c r="K159" i="11403"/>
  <c r="L159" i="11403"/>
  <c r="M159" i="11403"/>
  <c r="N159" i="11403"/>
  <c r="O159" i="11403"/>
  <c r="P159" i="11403"/>
  <c r="Q159" i="11403"/>
  <c r="R159" i="11403"/>
  <c r="S159" i="11403"/>
  <c r="T159" i="11403"/>
  <c r="U159" i="11403"/>
  <c r="W159" i="11403"/>
  <c r="X159" i="11403"/>
  <c r="Y159" i="11403"/>
  <c r="Z159" i="11403"/>
  <c r="AA159" i="11403"/>
  <c r="AB159" i="11403"/>
  <c r="AC159" i="11403"/>
  <c r="AD159" i="11403"/>
  <c r="AE159" i="11403"/>
  <c r="AF159" i="11403"/>
  <c r="AG159" i="11403"/>
  <c r="AH159" i="11403"/>
  <c r="AI159" i="11403"/>
  <c r="AJ159" i="11403"/>
  <c r="AK159" i="11403"/>
  <c r="AL159" i="11403"/>
  <c r="AN159" i="11403"/>
  <c r="AO159" i="11403"/>
  <c r="B160" i="11403"/>
  <c r="C160" i="11403"/>
  <c r="D160" i="11403"/>
  <c r="E160" i="11403"/>
  <c r="F160" i="11403"/>
  <c r="G160" i="11403"/>
  <c r="H160" i="11403"/>
  <c r="I160" i="11403"/>
  <c r="J160" i="11403"/>
  <c r="K160" i="11403"/>
  <c r="L160" i="11403"/>
  <c r="M160" i="11403"/>
  <c r="N160" i="11403"/>
  <c r="O160" i="11403"/>
  <c r="P160" i="11403"/>
  <c r="Q160" i="11403"/>
  <c r="R160" i="11403"/>
  <c r="S160" i="11403"/>
  <c r="T160" i="11403"/>
  <c r="U160" i="11403"/>
  <c r="W160" i="11403"/>
  <c r="X160" i="11403"/>
  <c r="Y160" i="11403"/>
  <c r="Z160" i="11403"/>
  <c r="AA160" i="11403"/>
  <c r="AB160" i="11403"/>
  <c r="AC160" i="11403"/>
  <c r="AD160" i="11403"/>
  <c r="AE160" i="11403"/>
  <c r="AF160" i="11403"/>
  <c r="AG160" i="11403"/>
  <c r="AH160" i="11403"/>
  <c r="AI160" i="11403"/>
  <c r="AJ160" i="11403"/>
  <c r="AK160" i="11403"/>
  <c r="AL160" i="11403"/>
  <c r="AN160" i="11403"/>
  <c r="AO160" i="11403"/>
  <c r="B161" i="11403"/>
  <c r="C161" i="11403"/>
  <c r="D161" i="11403"/>
  <c r="E161" i="11403"/>
  <c r="F161" i="11403"/>
  <c r="G161" i="11403"/>
  <c r="H161" i="11403"/>
  <c r="I161" i="11403"/>
  <c r="J161" i="11403"/>
  <c r="K161" i="11403"/>
  <c r="L161" i="11403"/>
  <c r="M161" i="11403"/>
  <c r="N161" i="11403"/>
  <c r="O161" i="11403"/>
  <c r="P161" i="11403"/>
  <c r="Q161" i="11403"/>
  <c r="R161" i="11403"/>
  <c r="S161" i="11403"/>
  <c r="T161" i="11403"/>
  <c r="U161" i="11403"/>
  <c r="W161" i="11403"/>
  <c r="X161" i="11403"/>
  <c r="Y161" i="11403"/>
  <c r="Z161" i="11403"/>
  <c r="AA161" i="11403"/>
  <c r="AB161" i="11403"/>
  <c r="AC161" i="11403"/>
  <c r="AD161" i="11403"/>
  <c r="AE161" i="11403"/>
  <c r="AF161" i="11403"/>
  <c r="AG161" i="11403"/>
  <c r="AH161" i="11403"/>
  <c r="AI161" i="11403"/>
  <c r="AJ161" i="11403"/>
  <c r="AK161" i="11403"/>
  <c r="AL161" i="11403"/>
  <c r="AN161" i="11403"/>
  <c r="AO161" i="11403"/>
  <c r="B162" i="11403"/>
  <c r="C162" i="11403"/>
  <c r="D162" i="11403"/>
  <c r="E162" i="11403"/>
  <c r="F162" i="11403"/>
  <c r="G162" i="11403"/>
  <c r="H162" i="11403"/>
  <c r="I162" i="11403"/>
  <c r="J162" i="11403"/>
  <c r="K162" i="11403"/>
  <c r="L162" i="11403"/>
  <c r="M162" i="11403"/>
  <c r="N162" i="11403"/>
  <c r="O162" i="11403"/>
  <c r="P162" i="11403"/>
  <c r="Q162" i="11403"/>
  <c r="R162" i="11403"/>
  <c r="S162" i="11403"/>
  <c r="T162" i="11403"/>
  <c r="U162" i="11403"/>
  <c r="W162" i="11403"/>
  <c r="X162" i="11403"/>
  <c r="Y162" i="11403"/>
  <c r="Z162" i="11403"/>
  <c r="AA162" i="11403"/>
  <c r="AB162" i="11403"/>
  <c r="AC162" i="11403"/>
  <c r="AD162" i="11403"/>
  <c r="AE162" i="11403"/>
  <c r="AF162" i="11403"/>
  <c r="AG162" i="11403"/>
  <c r="AH162" i="11403"/>
  <c r="AI162" i="11403"/>
  <c r="AJ162" i="11403"/>
  <c r="AK162" i="11403"/>
  <c r="AL162" i="11403"/>
  <c r="AN162" i="11403"/>
  <c r="AO162" i="11403"/>
  <c r="B163" i="11403"/>
  <c r="C163" i="11403"/>
  <c r="D163" i="11403"/>
  <c r="E163" i="11403"/>
  <c r="F163" i="11403"/>
  <c r="G163" i="11403"/>
  <c r="H163" i="11403"/>
  <c r="I163" i="11403"/>
  <c r="J163" i="11403"/>
  <c r="K163" i="11403"/>
  <c r="L163" i="11403"/>
  <c r="M163" i="11403"/>
  <c r="N163" i="11403"/>
  <c r="O163" i="11403"/>
  <c r="P163" i="11403"/>
  <c r="Q163" i="11403"/>
  <c r="R163" i="11403"/>
  <c r="S163" i="11403"/>
  <c r="T163" i="11403"/>
  <c r="U163" i="11403"/>
  <c r="W163" i="11403"/>
  <c r="X163" i="11403"/>
  <c r="Y163" i="11403"/>
  <c r="Z163" i="11403"/>
  <c r="AA163" i="11403"/>
  <c r="AB163" i="11403"/>
  <c r="AC163" i="11403"/>
  <c r="AD163" i="11403"/>
  <c r="AE163" i="11403"/>
  <c r="AF163" i="11403"/>
  <c r="AG163" i="11403"/>
  <c r="AH163" i="11403"/>
  <c r="AI163" i="11403"/>
  <c r="AJ163" i="11403"/>
  <c r="AK163" i="11403"/>
  <c r="AL163" i="11403"/>
  <c r="AN163" i="11403"/>
  <c r="AO163" i="11403"/>
  <c r="B164" i="11403"/>
  <c r="C164" i="11403"/>
  <c r="D164" i="11403"/>
  <c r="E164" i="11403"/>
  <c r="F164" i="11403"/>
  <c r="G164" i="11403"/>
  <c r="H164" i="11403"/>
  <c r="I164" i="11403"/>
  <c r="J164" i="11403"/>
  <c r="K164" i="11403"/>
  <c r="L164" i="11403"/>
  <c r="M164" i="11403"/>
  <c r="N164" i="11403"/>
  <c r="O164" i="11403"/>
  <c r="P164" i="11403"/>
  <c r="Q164" i="11403"/>
  <c r="R164" i="11403"/>
  <c r="S164" i="11403"/>
  <c r="T164" i="11403"/>
  <c r="U164" i="11403"/>
  <c r="W164" i="11403"/>
  <c r="X164" i="11403"/>
  <c r="Y164" i="11403"/>
  <c r="Z164" i="11403"/>
  <c r="AA164" i="11403"/>
  <c r="AB164" i="11403"/>
  <c r="AC164" i="11403"/>
  <c r="AD164" i="11403"/>
  <c r="AE164" i="11403"/>
  <c r="AF164" i="11403"/>
  <c r="AG164" i="11403"/>
  <c r="AH164" i="11403"/>
  <c r="AI164" i="11403"/>
  <c r="AJ164" i="11403"/>
  <c r="AK164" i="11403"/>
  <c r="AL164" i="11403"/>
  <c r="AN164" i="11403"/>
  <c r="AO164" i="11403"/>
  <c r="B165" i="11403"/>
  <c r="C165" i="11403"/>
  <c r="D165" i="11403"/>
  <c r="E165" i="11403"/>
  <c r="F165" i="11403"/>
  <c r="G165" i="11403"/>
  <c r="H165" i="11403"/>
  <c r="I165" i="11403"/>
  <c r="J165" i="11403"/>
  <c r="K165" i="11403"/>
  <c r="L165" i="11403"/>
  <c r="M165" i="11403"/>
  <c r="N165" i="11403"/>
  <c r="O165" i="11403"/>
  <c r="P165" i="11403"/>
  <c r="Q165" i="11403"/>
  <c r="R165" i="11403"/>
  <c r="S165" i="11403"/>
  <c r="T165" i="11403"/>
  <c r="U165" i="11403"/>
  <c r="W165" i="11403"/>
  <c r="X165" i="11403"/>
  <c r="Y165" i="11403"/>
  <c r="Z165" i="11403"/>
  <c r="AA165" i="11403"/>
  <c r="AB165" i="11403"/>
  <c r="AC165" i="11403"/>
  <c r="AD165" i="11403"/>
  <c r="AE165" i="11403"/>
  <c r="AF165" i="11403"/>
  <c r="AG165" i="11403"/>
  <c r="AH165" i="11403"/>
  <c r="AI165" i="11403"/>
  <c r="AJ165" i="11403"/>
  <c r="AK165" i="11403"/>
  <c r="AL165" i="11403"/>
  <c r="AN165" i="11403"/>
  <c r="AO165" i="11403"/>
  <c r="B166" i="11403"/>
  <c r="C166" i="11403"/>
  <c r="D166" i="11403"/>
  <c r="E166" i="11403"/>
  <c r="F166" i="11403"/>
  <c r="G166" i="11403"/>
  <c r="H166" i="11403"/>
  <c r="I166" i="11403"/>
  <c r="J166" i="11403"/>
  <c r="K166" i="11403"/>
  <c r="L166" i="11403"/>
  <c r="M166" i="11403"/>
  <c r="N166" i="11403"/>
  <c r="O166" i="11403"/>
  <c r="P166" i="11403"/>
  <c r="Q166" i="11403"/>
  <c r="R166" i="11403"/>
  <c r="S166" i="11403"/>
  <c r="T166" i="11403"/>
  <c r="U166" i="11403"/>
  <c r="W166" i="11403"/>
  <c r="X166" i="11403"/>
  <c r="Y166" i="11403"/>
  <c r="Z166" i="11403"/>
  <c r="AA166" i="11403"/>
  <c r="AB166" i="11403"/>
  <c r="AC166" i="11403"/>
  <c r="AD166" i="11403"/>
  <c r="AE166" i="11403"/>
  <c r="AF166" i="11403"/>
  <c r="AG166" i="11403"/>
  <c r="AH166" i="11403"/>
  <c r="AI166" i="11403"/>
  <c r="AJ166" i="11403"/>
  <c r="AK166" i="11403"/>
  <c r="AL166" i="11403"/>
  <c r="AN166" i="11403"/>
  <c r="AO166" i="11403"/>
  <c r="B167" i="11403"/>
  <c r="C167" i="11403"/>
  <c r="D167" i="11403"/>
  <c r="E167" i="11403"/>
  <c r="F167" i="11403"/>
  <c r="G167" i="11403"/>
  <c r="H167" i="11403"/>
  <c r="I167" i="11403"/>
  <c r="J167" i="11403"/>
  <c r="K167" i="11403"/>
  <c r="L167" i="11403"/>
  <c r="M167" i="11403"/>
  <c r="N167" i="11403"/>
  <c r="O167" i="11403"/>
  <c r="P167" i="11403"/>
  <c r="Q167" i="11403"/>
  <c r="R167" i="11403"/>
  <c r="S167" i="11403"/>
  <c r="T167" i="11403"/>
  <c r="U167" i="11403"/>
  <c r="W167" i="11403"/>
  <c r="X167" i="11403"/>
  <c r="Y167" i="11403"/>
  <c r="Z167" i="11403"/>
  <c r="AA167" i="11403"/>
  <c r="AB167" i="11403"/>
  <c r="AC167" i="11403"/>
  <c r="AD167" i="11403"/>
  <c r="AE167" i="11403"/>
  <c r="AF167" i="11403"/>
  <c r="AG167" i="11403"/>
  <c r="AH167" i="11403"/>
  <c r="AI167" i="11403"/>
  <c r="AJ167" i="11403"/>
  <c r="AK167" i="11403"/>
  <c r="AL167" i="11403"/>
  <c r="AN167" i="11403"/>
  <c r="AO167" i="11403"/>
  <c r="B168" i="11403"/>
  <c r="C168" i="11403"/>
  <c r="D168" i="11403"/>
  <c r="E168" i="11403"/>
  <c r="F168" i="11403"/>
  <c r="G168" i="11403"/>
  <c r="H168" i="11403"/>
  <c r="I168" i="11403"/>
  <c r="J168" i="11403"/>
  <c r="K168" i="11403"/>
  <c r="L168" i="11403"/>
  <c r="M168" i="11403"/>
  <c r="N168" i="11403"/>
  <c r="O168" i="11403"/>
  <c r="P168" i="11403"/>
  <c r="Q168" i="11403"/>
  <c r="R168" i="11403"/>
  <c r="S168" i="11403"/>
  <c r="T168" i="11403"/>
  <c r="U168" i="11403"/>
  <c r="W168" i="11403"/>
  <c r="X168" i="11403"/>
  <c r="Y168" i="11403"/>
  <c r="Z168" i="11403"/>
  <c r="AA168" i="11403"/>
  <c r="AB168" i="11403"/>
  <c r="AC168" i="11403"/>
  <c r="AD168" i="11403"/>
  <c r="AE168" i="11403"/>
  <c r="AF168" i="11403"/>
  <c r="AG168" i="11403"/>
  <c r="AH168" i="11403"/>
  <c r="AI168" i="11403"/>
  <c r="AJ168" i="11403"/>
  <c r="AK168" i="11403"/>
  <c r="AL168" i="11403"/>
  <c r="AN168" i="11403"/>
  <c r="AO168" i="11403"/>
  <c r="B169" i="11403"/>
  <c r="C169" i="11403"/>
  <c r="D169" i="11403"/>
  <c r="E169" i="11403"/>
  <c r="F169" i="11403"/>
  <c r="G169" i="11403"/>
  <c r="H169" i="11403"/>
  <c r="I169" i="11403"/>
  <c r="J169" i="11403"/>
  <c r="K169" i="11403"/>
  <c r="L169" i="11403"/>
  <c r="M169" i="11403"/>
  <c r="N169" i="11403"/>
  <c r="O169" i="11403"/>
  <c r="P169" i="11403"/>
  <c r="Q169" i="11403"/>
  <c r="R169" i="11403"/>
  <c r="S169" i="11403"/>
  <c r="T169" i="11403"/>
  <c r="U169" i="11403"/>
  <c r="W169" i="11403"/>
  <c r="X169" i="11403"/>
  <c r="Y169" i="11403"/>
  <c r="Z169" i="11403"/>
  <c r="AA169" i="11403"/>
  <c r="AB169" i="11403"/>
  <c r="AC169" i="11403"/>
  <c r="AD169" i="11403"/>
  <c r="AE169" i="11403"/>
  <c r="AF169" i="11403"/>
  <c r="AG169" i="11403"/>
  <c r="AH169" i="11403"/>
  <c r="AI169" i="11403"/>
  <c r="AJ169" i="11403"/>
  <c r="AK169" i="11403"/>
  <c r="AL169" i="11403"/>
  <c r="AN169" i="11403"/>
  <c r="AO169" i="11403"/>
  <c r="B170" i="11403"/>
  <c r="C170" i="11403"/>
  <c r="D170" i="11403"/>
  <c r="E170" i="11403"/>
  <c r="F170" i="11403"/>
  <c r="G170" i="11403"/>
  <c r="H170" i="11403"/>
  <c r="I170" i="11403"/>
  <c r="J170" i="11403"/>
  <c r="K170" i="11403"/>
  <c r="L170" i="11403"/>
  <c r="M170" i="11403"/>
  <c r="N170" i="11403"/>
  <c r="O170" i="11403"/>
  <c r="P170" i="11403"/>
  <c r="Q170" i="11403"/>
  <c r="R170" i="11403"/>
  <c r="S170" i="11403"/>
  <c r="T170" i="11403"/>
  <c r="U170" i="11403"/>
  <c r="W170" i="11403"/>
  <c r="X170" i="11403"/>
  <c r="Y170" i="11403"/>
  <c r="Z170" i="11403"/>
  <c r="AA170" i="11403"/>
  <c r="AB170" i="11403"/>
  <c r="AC170" i="11403"/>
  <c r="AD170" i="11403"/>
  <c r="AE170" i="11403"/>
  <c r="AF170" i="11403"/>
  <c r="AG170" i="11403"/>
  <c r="AH170" i="11403"/>
  <c r="AI170" i="11403"/>
  <c r="AJ170" i="11403"/>
  <c r="AK170" i="11403"/>
  <c r="AL170" i="11403"/>
  <c r="AN170" i="11403"/>
  <c r="AO170" i="11403"/>
  <c r="B171" i="11403"/>
  <c r="C171" i="11403"/>
  <c r="D171" i="11403"/>
  <c r="E171" i="11403"/>
  <c r="F171" i="11403"/>
  <c r="G171" i="11403"/>
  <c r="H171" i="11403"/>
  <c r="I171" i="11403"/>
  <c r="J171" i="11403"/>
  <c r="K171" i="11403"/>
  <c r="L171" i="11403"/>
  <c r="M171" i="11403"/>
  <c r="N171" i="11403"/>
  <c r="O171" i="11403"/>
  <c r="P171" i="11403"/>
  <c r="Q171" i="11403"/>
  <c r="R171" i="11403"/>
  <c r="S171" i="11403"/>
  <c r="T171" i="11403"/>
  <c r="U171" i="11403"/>
  <c r="W171" i="11403"/>
  <c r="X171" i="11403"/>
  <c r="Y171" i="11403"/>
  <c r="Z171" i="11403"/>
  <c r="AA171" i="11403"/>
  <c r="AB171" i="11403"/>
  <c r="AC171" i="11403"/>
  <c r="AD171" i="11403"/>
  <c r="AE171" i="11403"/>
  <c r="AF171" i="11403"/>
  <c r="AG171" i="11403"/>
  <c r="AH171" i="11403"/>
  <c r="AI171" i="11403"/>
  <c r="AJ171" i="11403"/>
  <c r="AK171" i="11403"/>
  <c r="AL171" i="11403"/>
  <c r="AN171" i="11403"/>
  <c r="AO171" i="11403"/>
  <c r="B172" i="11403"/>
  <c r="C172" i="11403"/>
  <c r="D172" i="11403"/>
  <c r="E172" i="11403"/>
  <c r="F172" i="11403"/>
  <c r="G172" i="11403"/>
  <c r="H172" i="11403"/>
  <c r="I172" i="11403"/>
  <c r="J172" i="11403"/>
  <c r="K172" i="11403"/>
  <c r="L172" i="11403"/>
  <c r="M172" i="11403"/>
  <c r="N172" i="11403"/>
  <c r="O172" i="11403"/>
  <c r="P172" i="11403"/>
  <c r="Q172" i="11403"/>
  <c r="R172" i="11403"/>
  <c r="S172" i="11403"/>
  <c r="T172" i="11403"/>
  <c r="U172" i="11403"/>
  <c r="W172" i="11403"/>
  <c r="X172" i="11403"/>
  <c r="Y172" i="11403"/>
  <c r="Z172" i="11403"/>
  <c r="AA172" i="11403"/>
  <c r="AB172" i="11403"/>
  <c r="AC172" i="11403"/>
  <c r="AD172" i="11403"/>
  <c r="AE172" i="11403"/>
  <c r="AF172" i="11403"/>
  <c r="AG172" i="11403"/>
  <c r="AH172" i="11403"/>
  <c r="AI172" i="11403"/>
  <c r="AJ172" i="11403"/>
  <c r="AK172" i="11403"/>
  <c r="AL172" i="11403"/>
  <c r="AN172" i="11403"/>
  <c r="AO172" i="11403"/>
  <c r="B173" i="11403"/>
  <c r="C173" i="11403"/>
  <c r="D173" i="11403"/>
  <c r="E173" i="11403"/>
  <c r="F173" i="11403"/>
  <c r="G173" i="11403"/>
  <c r="H173" i="11403"/>
  <c r="I173" i="11403"/>
  <c r="J173" i="11403"/>
  <c r="K173" i="11403"/>
  <c r="L173" i="11403"/>
  <c r="M173" i="11403"/>
  <c r="N173" i="11403"/>
  <c r="O173" i="11403"/>
  <c r="P173" i="11403"/>
  <c r="Q173" i="11403"/>
  <c r="R173" i="11403"/>
  <c r="S173" i="11403"/>
  <c r="T173" i="11403"/>
  <c r="U173" i="11403"/>
  <c r="W173" i="11403"/>
  <c r="X173" i="11403"/>
  <c r="Y173" i="11403"/>
  <c r="Z173" i="11403"/>
  <c r="AA173" i="11403"/>
  <c r="AB173" i="11403"/>
  <c r="AC173" i="11403"/>
  <c r="AD173" i="11403"/>
  <c r="AE173" i="11403"/>
  <c r="AF173" i="11403"/>
  <c r="AG173" i="11403"/>
  <c r="AH173" i="11403"/>
  <c r="AI173" i="11403"/>
  <c r="AJ173" i="11403"/>
  <c r="AK173" i="11403"/>
  <c r="AL173" i="11403"/>
  <c r="AN173" i="11403"/>
  <c r="AO173" i="11403"/>
  <c r="B174" i="11403"/>
  <c r="C174" i="11403"/>
  <c r="D174" i="11403"/>
  <c r="E174" i="11403"/>
  <c r="F174" i="11403"/>
  <c r="G174" i="11403"/>
  <c r="H174" i="11403"/>
  <c r="I174" i="11403"/>
  <c r="J174" i="11403"/>
  <c r="K174" i="11403"/>
  <c r="L174" i="11403"/>
  <c r="M174" i="11403"/>
  <c r="N174" i="11403"/>
  <c r="O174" i="11403"/>
  <c r="P174" i="11403"/>
  <c r="Q174" i="11403"/>
  <c r="R174" i="11403"/>
  <c r="S174" i="11403"/>
  <c r="T174" i="11403"/>
  <c r="U174" i="11403"/>
  <c r="W174" i="11403"/>
  <c r="X174" i="11403"/>
  <c r="Y174" i="11403"/>
  <c r="Z174" i="11403"/>
  <c r="AA174" i="11403"/>
  <c r="AB174" i="11403"/>
  <c r="AC174" i="11403"/>
  <c r="AD174" i="11403"/>
  <c r="AE174" i="11403"/>
  <c r="AF174" i="11403"/>
  <c r="AG174" i="11403"/>
  <c r="AH174" i="11403"/>
  <c r="AI174" i="11403"/>
  <c r="AJ174" i="11403"/>
  <c r="AK174" i="11403"/>
  <c r="AL174" i="11403"/>
  <c r="AN174" i="11403"/>
  <c r="AO174" i="11403"/>
  <c r="B175" i="11403"/>
  <c r="C175" i="11403"/>
  <c r="D175" i="11403"/>
  <c r="E175" i="11403"/>
  <c r="F175" i="11403"/>
  <c r="G175" i="11403"/>
  <c r="H175" i="11403"/>
  <c r="I175" i="11403"/>
  <c r="J175" i="11403"/>
  <c r="K175" i="11403"/>
  <c r="L175" i="11403"/>
  <c r="M175" i="11403"/>
  <c r="N175" i="11403"/>
  <c r="O175" i="11403"/>
  <c r="P175" i="11403"/>
  <c r="Q175" i="11403"/>
  <c r="R175" i="11403"/>
  <c r="S175" i="11403"/>
  <c r="T175" i="11403"/>
  <c r="U175" i="11403"/>
  <c r="W175" i="11403"/>
  <c r="X175" i="11403"/>
  <c r="Y175" i="11403"/>
  <c r="Z175" i="11403"/>
  <c r="AA175" i="11403"/>
  <c r="AB175" i="11403"/>
  <c r="AC175" i="11403"/>
  <c r="AD175" i="11403"/>
  <c r="AE175" i="11403"/>
  <c r="AF175" i="11403"/>
  <c r="AG175" i="11403"/>
  <c r="AH175" i="11403"/>
  <c r="AI175" i="11403"/>
  <c r="AJ175" i="11403"/>
  <c r="AK175" i="11403"/>
  <c r="AL175" i="11403"/>
  <c r="AN175" i="11403"/>
  <c r="AO175" i="11403"/>
  <c r="B176" i="11403"/>
  <c r="C176" i="11403"/>
  <c r="D176" i="11403"/>
  <c r="E176" i="11403"/>
  <c r="F176" i="11403"/>
  <c r="G176" i="11403"/>
  <c r="H176" i="11403"/>
  <c r="I176" i="11403"/>
  <c r="J176" i="11403"/>
  <c r="K176" i="11403"/>
  <c r="L176" i="11403"/>
  <c r="M176" i="11403"/>
  <c r="N176" i="11403"/>
  <c r="O176" i="11403"/>
  <c r="P176" i="11403"/>
  <c r="Q176" i="11403"/>
  <c r="R176" i="11403"/>
  <c r="S176" i="11403"/>
  <c r="T176" i="11403"/>
  <c r="U176" i="11403"/>
  <c r="W176" i="11403"/>
  <c r="X176" i="11403"/>
  <c r="Y176" i="11403"/>
  <c r="Z176" i="11403"/>
  <c r="AA176" i="11403"/>
  <c r="AB176" i="11403"/>
  <c r="AC176" i="11403"/>
  <c r="AD176" i="11403"/>
  <c r="AE176" i="11403"/>
  <c r="AF176" i="11403"/>
  <c r="AG176" i="11403"/>
  <c r="AH176" i="11403"/>
  <c r="AI176" i="11403"/>
  <c r="AJ176" i="11403"/>
  <c r="AK176" i="11403"/>
  <c r="AL176" i="11403"/>
  <c r="AN176" i="11403"/>
  <c r="AO176" i="11403"/>
  <c r="B177" i="11403"/>
  <c r="C177" i="11403"/>
  <c r="D177" i="11403"/>
  <c r="E177" i="11403"/>
  <c r="F177" i="11403"/>
  <c r="G177" i="11403"/>
  <c r="H177" i="11403"/>
  <c r="I177" i="11403"/>
  <c r="J177" i="11403"/>
  <c r="K177" i="11403"/>
  <c r="L177" i="11403"/>
  <c r="M177" i="11403"/>
  <c r="N177" i="11403"/>
  <c r="O177" i="11403"/>
  <c r="P177" i="11403"/>
  <c r="Q177" i="11403"/>
  <c r="R177" i="11403"/>
  <c r="S177" i="11403"/>
  <c r="T177" i="11403"/>
  <c r="U177" i="11403"/>
  <c r="W177" i="11403"/>
  <c r="X177" i="11403"/>
  <c r="Y177" i="11403"/>
  <c r="Z177" i="11403"/>
  <c r="AA177" i="11403"/>
  <c r="AB177" i="11403"/>
  <c r="AC177" i="11403"/>
  <c r="AD177" i="11403"/>
  <c r="AE177" i="11403"/>
  <c r="AF177" i="11403"/>
  <c r="AG177" i="11403"/>
  <c r="AH177" i="11403"/>
  <c r="AI177" i="11403"/>
  <c r="AJ177" i="11403"/>
  <c r="AK177" i="11403"/>
  <c r="AL177" i="11403"/>
  <c r="AN177" i="11403"/>
  <c r="AO177" i="11403"/>
  <c r="B178" i="11403"/>
  <c r="C178" i="11403"/>
  <c r="D178" i="11403"/>
  <c r="E178" i="11403"/>
  <c r="F178" i="11403"/>
  <c r="G178" i="11403"/>
  <c r="H178" i="11403"/>
  <c r="I178" i="11403"/>
  <c r="J178" i="11403"/>
  <c r="K178" i="11403"/>
  <c r="L178" i="11403"/>
  <c r="M178" i="11403"/>
  <c r="N178" i="11403"/>
  <c r="O178" i="11403"/>
  <c r="P178" i="11403"/>
  <c r="Q178" i="11403"/>
  <c r="R178" i="11403"/>
  <c r="S178" i="11403"/>
  <c r="T178" i="11403"/>
  <c r="U178" i="11403"/>
  <c r="W178" i="11403"/>
  <c r="X178" i="11403"/>
  <c r="Y178" i="11403"/>
  <c r="Z178" i="11403"/>
  <c r="AA178" i="11403"/>
  <c r="AB178" i="11403"/>
  <c r="AC178" i="11403"/>
  <c r="AD178" i="11403"/>
  <c r="AE178" i="11403"/>
  <c r="AF178" i="11403"/>
  <c r="AG178" i="11403"/>
  <c r="AH178" i="11403"/>
  <c r="AI178" i="11403"/>
  <c r="AJ178" i="11403"/>
  <c r="AK178" i="11403"/>
  <c r="AL178" i="11403"/>
  <c r="AN178" i="11403"/>
  <c r="AO178" i="11403"/>
  <c r="B179" i="11403"/>
  <c r="C179" i="11403"/>
  <c r="D179" i="11403"/>
  <c r="E179" i="11403"/>
  <c r="F179" i="11403"/>
  <c r="G179" i="11403"/>
  <c r="H179" i="11403"/>
  <c r="I179" i="11403"/>
  <c r="J179" i="11403"/>
  <c r="K179" i="11403"/>
  <c r="L179" i="11403"/>
  <c r="M179" i="11403"/>
  <c r="N179" i="11403"/>
  <c r="O179" i="11403"/>
  <c r="P179" i="11403"/>
  <c r="Q179" i="11403"/>
  <c r="R179" i="11403"/>
  <c r="S179" i="11403"/>
  <c r="T179" i="11403"/>
  <c r="U179" i="11403"/>
  <c r="W179" i="11403"/>
  <c r="X179" i="11403"/>
  <c r="Y179" i="11403"/>
  <c r="Z179" i="11403"/>
  <c r="AA179" i="11403"/>
  <c r="AB179" i="11403"/>
  <c r="AC179" i="11403"/>
  <c r="AD179" i="11403"/>
  <c r="AE179" i="11403"/>
  <c r="AF179" i="11403"/>
  <c r="AG179" i="11403"/>
  <c r="AH179" i="11403"/>
  <c r="AI179" i="11403"/>
  <c r="AJ179" i="11403"/>
  <c r="AK179" i="11403"/>
  <c r="AL179" i="11403"/>
  <c r="AN179" i="11403"/>
  <c r="AO179" i="11403"/>
  <c r="B180" i="11403"/>
  <c r="C180" i="11403"/>
  <c r="D180" i="11403"/>
  <c r="E180" i="11403"/>
  <c r="F180" i="11403"/>
  <c r="G180" i="11403"/>
  <c r="H180" i="11403"/>
  <c r="I180" i="11403"/>
  <c r="J180" i="11403"/>
  <c r="K180" i="11403"/>
  <c r="L180" i="11403"/>
  <c r="M180" i="11403"/>
  <c r="N180" i="11403"/>
  <c r="O180" i="11403"/>
  <c r="P180" i="11403"/>
  <c r="Q180" i="11403"/>
  <c r="R180" i="11403"/>
  <c r="S180" i="11403"/>
  <c r="T180" i="11403"/>
  <c r="U180" i="11403"/>
  <c r="W180" i="11403"/>
  <c r="X180" i="11403"/>
  <c r="Y180" i="11403"/>
  <c r="Z180" i="11403"/>
  <c r="AA180" i="11403"/>
  <c r="AB180" i="11403"/>
  <c r="AC180" i="11403"/>
  <c r="AD180" i="11403"/>
  <c r="AE180" i="11403"/>
  <c r="AF180" i="11403"/>
  <c r="AG180" i="11403"/>
  <c r="AH180" i="11403"/>
  <c r="AI180" i="11403"/>
  <c r="AJ180" i="11403"/>
  <c r="AK180" i="11403"/>
  <c r="AL180" i="11403"/>
  <c r="AN180" i="11403"/>
  <c r="AO180" i="11403"/>
  <c r="B181" i="11403"/>
  <c r="C181" i="11403"/>
  <c r="D181" i="11403"/>
  <c r="E181" i="11403"/>
  <c r="F181" i="11403"/>
  <c r="G181" i="11403"/>
  <c r="H181" i="11403"/>
  <c r="I181" i="11403"/>
  <c r="J181" i="11403"/>
  <c r="K181" i="11403"/>
  <c r="L181" i="11403"/>
  <c r="M181" i="11403"/>
  <c r="N181" i="11403"/>
  <c r="O181" i="11403"/>
  <c r="P181" i="11403"/>
  <c r="Q181" i="11403"/>
  <c r="R181" i="11403"/>
  <c r="S181" i="11403"/>
  <c r="T181" i="11403"/>
  <c r="U181" i="11403"/>
  <c r="W181" i="11403"/>
  <c r="X181" i="11403"/>
  <c r="Y181" i="11403"/>
  <c r="Z181" i="11403"/>
  <c r="AA181" i="11403"/>
  <c r="AB181" i="11403"/>
  <c r="AC181" i="11403"/>
  <c r="AD181" i="11403"/>
  <c r="AE181" i="11403"/>
  <c r="AF181" i="11403"/>
  <c r="AG181" i="11403"/>
  <c r="AH181" i="11403"/>
  <c r="AI181" i="11403"/>
  <c r="AJ181" i="11403"/>
  <c r="AK181" i="11403"/>
  <c r="AL181" i="11403"/>
  <c r="AN181" i="11403"/>
  <c r="AO181" i="11403"/>
  <c r="B182" i="11403"/>
  <c r="C182" i="11403"/>
  <c r="D182" i="11403"/>
  <c r="E182" i="11403"/>
  <c r="F182" i="11403"/>
  <c r="G182" i="11403"/>
  <c r="H182" i="11403"/>
  <c r="I182" i="11403"/>
  <c r="J182" i="11403"/>
  <c r="K182" i="11403"/>
  <c r="L182" i="11403"/>
  <c r="M182" i="11403"/>
  <c r="N182" i="11403"/>
  <c r="O182" i="11403"/>
  <c r="P182" i="11403"/>
  <c r="Q182" i="11403"/>
  <c r="R182" i="11403"/>
  <c r="S182" i="11403"/>
  <c r="T182" i="11403"/>
  <c r="U182" i="11403"/>
  <c r="W182" i="11403"/>
  <c r="X182" i="11403"/>
  <c r="Y182" i="11403"/>
  <c r="Z182" i="11403"/>
  <c r="AA182" i="11403"/>
  <c r="AB182" i="11403"/>
  <c r="AC182" i="11403"/>
  <c r="AD182" i="11403"/>
  <c r="AE182" i="11403"/>
  <c r="AF182" i="11403"/>
  <c r="AG182" i="11403"/>
  <c r="AH182" i="11403"/>
  <c r="AI182" i="11403"/>
  <c r="AJ182" i="11403"/>
  <c r="AK182" i="11403"/>
  <c r="AL182" i="11403"/>
  <c r="AN182" i="11403"/>
  <c r="AO182" i="11403"/>
  <c r="B183" i="11403"/>
  <c r="C183" i="11403"/>
  <c r="D183" i="11403"/>
  <c r="E183" i="11403"/>
  <c r="F183" i="11403"/>
  <c r="G183" i="11403"/>
  <c r="H183" i="11403"/>
  <c r="I183" i="11403"/>
  <c r="J183" i="11403"/>
  <c r="K183" i="11403"/>
  <c r="L183" i="11403"/>
  <c r="M183" i="11403"/>
  <c r="N183" i="11403"/>
  <c r="O183" i="11403"/>
  <c r="P183" i="11403"/>
  <c r="Q183" i="11403"/>
  <c r="R183" i="11403"/>
  <c r="S183" i="11403"/>
  <c r="T183" i="11403"/>
  <c r="U183" i="11403"/>
  <c r="W183" i="11403"/>
  <c r="X183" i="11403"/>
  <c r="Y183" i="11403"/>
  <c r="Z183" i="11403"/>
  <c r="AA183" i="11403"/>
  <c r="AB183" i="11403"/>
  <c r="AC183" i="11403"/>
  <c r="AD183" i="11403"/>
  <c r="AE183" i="11403"/>
  <c r="AF183" i="11403"/>
  <c r="AG183" i="11403"/>
  <c r="AH183" i="11403"/>
  <c r="AI183" i="11403"/>
  <c r="AJ183" i="11403"/>
  <c r="AK183" i="11403"/>
  <c r="AL183" i="11403"/>
  <c r="AN183" i="11403"/>
  <c r="AO183" i="11403"/>
  <c r="B184" i="11403"/>
  <c r="C184" i="11403"/>
  <c r="D184" i="11403"/>
  <c r="E184" i="11403"/>
  <c r="F184" i="11403"/>
  <c r="G184" i="11403"/>
  <c r="H184" i="11403"/>
  <c r="I184" i="11403"/>
  <c r="J184" i="11403"/>
  <c r="K184" i="11403"/>
  <c r="L184" i="11403"/>
  <c r="M184" i="11403"/>
  <c r="N184" i="11403"/>
  <c r="O184" i="11403"/>
  <c r="P184" i="11403"/>
  <c r="Q184" i="11403"/>
  <c r="R184" i="11403"/>
  <c r="S184" i="11403"/>
  <c r="T184" i="11403"/>
  <c r="U184" i="11403"/>
  <c r="W184" i="11403"/>
  <c r="X184" i="11403"/>
  <c r="Y184" i="11403"/>
  <c r="Z184" i="11403"/>
  <c r="AA184" i="11403"/>
  <c r="AB184" i="11403"/>
  <c r="AC184" i="11403"/>
  <c r="AD184" i="11403"/>
  <c r="AE184" i="11403"/>
  <c r="AF184" i="11403"/>
  <c r="AG184" i="11403"/>
  <c r="AH184" i="11403"/>
  <c r="AI184" i="11403"/>
  <c r="AJ184" i="11403"/>
  <c r="AK184" i="11403"/>
  <c r="AL184" i="11403"/>
  <c r="AN184" i="11403"/>
  <c r="AO184" i="11403"/>
  <c r="B185" i="11403"/>
  <c r="C185" i="11403"/>
  <c r="D185" i="11403"/>
  <c r="E185" i="11403"/>
  <c r="F185" i="11403"/>
  <c r="G185" i="11403"/>
  <c r="H185" i="11403"/>
  <c r="I185" i="11403"/>
  <c r="J185" i="11403"/>
  <c r="K185" i="11403"/>
  <c r="L185" i="11403"/>
  <c r="M185" i="11403"/>
  <c r="N185" i="11403"/>
  <c r="O185" i="11403"/>
  <c r="P185" i="11403"/>
  <c r="Q185" i="11403"/>
  <c r="R185" i="11403"/>
  <c r="S185" i="11403"/>
  <c r="T185" i="11403"/>
  <c r="U185" i="11403"/>
  <c r="W185" i="11403"/>
  <c r="X185" i="11403"/>
  <c r="Y185" i="11403"/>
  <c r="Z185" i="11403"/>
  <c r="AA185" i="11403"/>
  <c r="AB185" i="11403"/>
  <c r="AC185" i="11403"/>
  <c r="AD185" i="11403"/>
  <c r="AE185" i="11403"/>
  <c r="AF185" i="11403"/>
  <c r="AG185" i="11403"/>
  <c r="AH185" i="11403"/>
  <c r="AI185" i="11403"/>
  <c r="AJ185" i="11403"/>
  <c r="AK185" i="11403"/>
  <c r="AL185" i="11403"/>
  <c r="AN185" i="11403"/>
  <c r="AO185" i="11403"/>
  <c r="B186" i="11403"/>
  <c r="C186" i="11403"/>
  <c r="D186" i="11403"/>
  <c r="E186" i="11403"/>
  <c r="F186" i="11403"/>
  <c r="G186" i="11403"/>
  <c r="H186" i="11403"/>
  <c r="I186" i="11403"/>
  <c r="J186" i="11403"/>
  <c r="K186" i="11403"/>
  <c r="L186" i="11403"/>
  <c r="M186" i="11403"/>
  <c r="N186" i="11403"/>
  <c r="O186" i="11403"/>
  <c r="P186" i="11403"/>
  <c r="Q186" i="11403"/>
  <c r="R186" i="11403"/>
  <c r="S186" i="11403"/>
  <c r="T186" i="11403"/>
  <c r="U186" i="11403"/>
  <c r="W186" i="11403"/>
  <c r="X186" i="11403"/>
  <c r="Y186" i="11403"/>
  <c r="Z186" i="11403"/>
  <c r="AA186" i="11403"/>
  <c r="AB186" i="11403"/>
  <c r="AC186" i="11403"/>
  <c r="AD186" i="11403"/>
  <c r="AE186" i="11403"/>
  <c r="AF186" i="11403"/>
  <c r="AG186" i="11403"/>
  <c r="AH186" i="11403"/>
  <c r="AI186" i="11403"/>
  <c r="AJ186" i="11403"/>
  <c r="AK186" i="11403"/>
  <c r="AL186" i="11403"/>
  <c r="AN186" i="11403"/>
  <c r="AO186" i="11403"/>
  <c r="B187" i="11403"/>
  <c r="C187" i="11403"/>
  <c r="D187" i="11403"/>
  <c r="E187" i="11403"/>
  <c r="F187" i="11403"/>
  <c r="G187" i="11403"/>
  <c r="H187" i="11403"/>
  <c r="I187" i="11403"/>
  <c r="J187" i="11403"/>
  <c r="K187" i="11403"/>
  <c r="L187" i="11403"/>
  <c r="M187" i="11403"/>
  <c r="N187" i="11403"/>
  <c r="O187" i="11403"/>
  <c r="P187" i="11403"/>
  <c r="Q187" i="11403"/>
  <c r="R187" i="11403"/>
  <c r="S187" i="11403"/>
  <c r="T187" i="11403"/>
  <c r="U187" i="11403"/>
  <c r="W187" i="11403"/>
  <c r="X187" i="11403"/>
  <c r="Y187" i="11403"/>
  <c r="Z187" i="11403"/>
  <c r="AA187" i="11403"/>
  <c r="AB187" i="11403"/>
  <c r="AC187" i="11403"/>
  <c r="AD187" i="11403"/>
  <c r="AE187" i="11403"/>
  <c r="AF187" i="11403"/>
  <c r="AG187" i="11403"/>
  <c r="AH187" i="11403"/>
  <c r="AI187" i="11403"/>
  <c r="AJ187" i="11403"/>
  <c r="AK187" i="11403"/>
  <c r="AL187" i="11403"/>
  <c r="AN187" i="11403"/>
  <c r="AO187" i="11403"/>
  <c r="B188" i="11403"/>
  <c r="C188" i="11403"/>
  <c r="D188" i="11403"/>
  <c r="E188" i="11403"/>
  <c r="F188" i="11403"/>
  <c r="G188" i="11403"/>
  <c r="H188" i="11403"/>
  <c r="I188" i="11403"/>
  <c r="J188" i="11403"/>
  <c r="K188" i="11403"/>
  <c r="L188" i="11403"/>
  <c r="M188" i="11403"/>
  <c r="N188" i="11403"/>
  <c r="O188" i="11403"/>
  <c r="P188" i="11403"/>
  <c r="Q188" i="11403"/>
  <c r="R188" i="11403"/>
  <c r="S188" i="11403"/>
  <c r="T188" i="11403"/>
  <c r="U188" i="11403"/>
  <c r="W188" i="11403"/>
  <c r="X188" i="11403"/>
  <c r="Y188" i="11403"/>
  <c r="Z188" i="11403"/>
  <c r="AA188" i="11403"/>
  <c r="AB188" i="11403"/>
  <c r="AC188" i="11403"/>
  <c r="AD188" i="11403"/>
  <c r="AE188" i="11403"/>
  <c r="AF188" i="11403"/>
  <c r="AG188" i="11403"/>
  <c r="AH188" i="11403"/>
  <c r="AI188" i="11403"/>
  <c r="AJ188" i="11403"/>
  <c r="AK188" i="11403"/>
  <c r="AL188" i="11403"/>
  <c r="AN188" i="11403"/>
  <c r="AO188" i="11403"/>
  <c r="B189" i="11403"/>
  <c r="C189" i="11403"/>
  <c r="D189" i="11403"/>
  <c r="E189" i="11403"/>
  <c r="F189" i="11403"/>
  <c r="G189" i="11403"/>
  <c r="H189" i="11403"/>
  <c r="I189" i="11403"/>
  <c r="J189" i="11403"/>
  <c r="K189" i="11403"/>
  <c r="L189" i="11403"/>
  <c r="M189" i="11403"/>
  <c r="N189" i="11403"/>
  <c r="O189" i="11403"/>
  <c r="P189" i="11403"/>
  <c r="Q189" i="11403"/>
  <c r="R189" i="11403"/>
  <c r="S189" i="11403"/>
  <c r="T189" i="11403"/>
  <c r="U189" i="11403"/>
  <c r="W189" i="11403"/>
  <c r="X189" i="11403"/>
  <c r="Y189" i="11403"/>
  <c r="Z189" i="11403"/>
  <c r="AA189" i="11403"/>
  <c r="AB189" i="11403"/>
  <c r="AC189" i="11403"/>
  <c r="AD189" i="11403"/>
  <c r="AE189" i="11403"/>
  <c r="AF189" i="11403"/>
  <c r="AG189" i="11403"/>
  <c r="AH189" i="11403"/>
  <c r="AI189" i="11403"/>
  <c r="AJ189" i="11403"/>
  <c r="AK189" i="11403"/>
  <c r="AL189" i="11403"/>
  <c r="AN189" i="11403"/>
  <c r="AO189" i="11403"/>
  <c r="B190" i="11403"/>
  <c r="C190" i="11403"/>
  <c r="D190" i="11403"/>
  <c r="E190" i="11403"/>
  <c r="F190" i="11403"/>
  <c r="G190" i="11403"/>
  <c r="H190" i="11403"/>
  <c r="I190" i="11403"/>
  <c r="J190" i="11403"/>
  <c r="K190" i="11403"/>
  <c r="L190" i="11403"/>
  <c r="M190" i="11403"/>
  <c r="N190" i="11403"/>
  <c r="O190" i="11403"/>
  <c r="P190" i="11403"/>
  <c r="Q190" i="11403"/>
  <c r="R190" i="11403"/>
  <c r="S190" i="11403"/>
  <c r="T190" i="11403"/>
  <c r="U190" i="11403"/>
  <c r="W190" i="11403"/>
  <c r="X190" i="11403"/>
  <c r="Y190" i="11403"/>
  <c r="Z190" i="11403"/>
  <c r="AA190" i="11403"/>
  <c r="AB190" i="11403"/>
  <c r="AC190" i="11403"/>
  <c r="AD190" i="11403"/>
  <c r="AE190" i="11403"/>
  <c r="AF190" i="11403"/>
  <c r="AG190" i="11403"/>
  <c r="AH190" i="11403"/>
  <c r="AI190" i="11403"/>
  <c r="AJ190" i="11403"/>
  <c r="AK190" i="11403"/>
  <c r="AL190" i="11403"/>
  <c r="AN190" i="11403"/>
  <c r="AO190" i="11403"/>
  <c r="B191" i="11403"/>
  <c r="C191" i="11403"/>
  <c r="D191" i="11403"/>
  <c r="E191" i="11403"/>
  <c r="F191" i="11403"/>
  <c r="G191" i="11403"/>
  <c r="H191" i="11403"/>
  <c r="I191" i="11403"/>
  <c r="J191" i="11403"/>
  <c r="K191" i="11403"/>
  <c r="L191" i="11403"/>
  <c r="M191" i="11403"/>
  <c r="N191" i="11403"/>
  <c r="O191" i="11403"/>
  <c r="P191" i="11403"/>
  <c r="Q191" i="11403"/>
  <c r="R191" i="11403"/>
  <c r="S191" i="11403"/>
  <c r="T191" i="11403"/>
  <c r="U191" i="11403"/>
  <c r="W191" i="11403"/>
  <c r="X191" i="11403"/>
  <c r="Y191" i="11403"/>
  <c r="Z191" i="11403"/>
  <c r="AA191" i="11403"/>
  <c r="AB191" i="11403"/>
  <c r="AC191" i="11403"/>
  <c r="AD191" i="11403"/>
  <c r="AE191" i="11403"/>
  <c r="AF191" i="11403"/>
  <c r="AG191" i="11403"/>
  <c r="AH191" i="11403"/>
  <c r="AI191" i="11403"/>
  <c r="AJ191" i="11403"/>
  <c r="AK191" i="11403"/>
  <c r="AL191" i="11403"/>
  <c r="AN191" i="11403"/>
  <c r="AO191" i="11403"/>
  <c r="B192" i="11403"/>
  <c r="C192" i="11403"/>
  <c r="D192" i="11403"/>
  <c r="E192" i="11403"/>
  <c r="F192" i="11403"/>
  <c r="G192" i="11403"/>
  <c r="H192" i="11403"/>
  <c r="I192" i="11403"/>
  <c r="J192" i="11403"/>
  <c r="K192" i="11403"/>
  <c r="L192" i="11403"/>
  <c r="M192" i="11403"/>
  <c r="N192" i="11403"/>
  <c r="O192" i="11403"/>
  <c r="P192" i="11403"/>
  <c r="Q192" i="11403"/>
  <c r="R192" i="11403"/>
  <c r="S192" i="11403"/>
  <c r="T192" i="11403"/>
  <c r="U192" i="11403"/>
  <c r="W192" i="11403"/>
  <c r="X192" i="11403"/>
  <c r="Y192" i="11403"/>
  <c r="Z192" i="11403"/>
  <c r="AA192" i="11403"/>
  <c r="AB192" i="11403"/>
  <c r="AC192" i="11403"/>
  <c r="AD192" i="11403"/>
  <c r="AE192" i="11403"/>
  <c r="AF192" i="11403"/>
  <c r="AG192" i="11403"/>
  <c r="AH192" i="11403"/>
  <c r="AI192" i="11403"/>
  <c r="AJ192" i="11403"/>
  <c r="AK192" i="11403"/>
  <c r="AL192" i="11403"/>
  <c r="AN192" i="11403"/>
  <c r="AO192" i="11403"/>
  <c r="B193" i="11403"/>
  <c r="C193" i="11403"/>
  <c r="D193" i="11403"/>
  <c r="E193" i="11403"/>
  <c r="F193" i="11403"/>
  <c r="G193" i="11403"/>
  <c r="H193" i="11403"/>
  <c r="I193" i="11403"/>
  <c r="J193" i="11403"/>
  <c r="K193" i="11403"/>
  <c r="L193" i="11403"/>
  <c r="M193" i="11403"/>
  <c r="N193" i="11403"/>
  <c r="O193" i="11403"/>
  <c r="P193" i="11403"/>
  <c r="Q193" i="11403"/>
  <c r="R193" i="11403"/>
  <c r="S193" i="11403"/>
  <c r="T193" i="11403"/>
  <c r="U193" i="11403"/>
  <c r="W193" i="11403"/>
  <c r="X193" i="11403"/>
  <c r="Y193" i="11403"/>
  <c r="Z193" i="11403"/>
  <c r="AA193" i="11403"/>
  <c r="AB193" i="11403"/>
  <c r="AC193" i="11403"/>
  <c r="AD193" i="11403"/>
  <c r="AE193" i="11403"/>
  <c r="AF193" i="11403"/>
  <c r="AG193" i="11403"/>
  <c r="AH193" i="11403"/>
  <c r="AI193" i="11403"/>
  <c r="AJ193" i="11403"/>
  <c r="AK193" i="11403"/>
  <c r="AL193" i="11403"/>
  <c r="AN193" i="11403"/>
  <c r="AO193" i="11403"/>
  <c r="B194" i="11403"/>
  <c r="C194" i="11403"/>
  <c r="D194" i="11403"/>
  <c r="E194" i="11403"/>
  <c r="F194" i="11403"/>
  <c r="G194" i="11403"/>
  <c r="H194" i="11403"/>
  <c r="I194" i="11403"/>
  <c r="J194" i="11403"/>
  <c r="K194" i="11403"/>
  <c r="L194" i="11403"/>
  <c r="M194" i="11403"/>
  <c r="N194" i="11403"/>
  <c r="O194" i="11403"/>
  <c r="P194" i="11403"/>
  <c r="Q194" i="11403"/>
  <c r="R194" i="11403"/>
  <c r="S194" i="11403"/>
  <c r="T194" i="11403"/>
  <c r="U194" i="11403"/>
  <c r="W194" i="11403"/>
  <c r="X194" i="11403"/>
  <c r="Y194" i="11403"/>
  <c r="Z194" i="11403"/>
  <c r="AA194" i="11403"/>
  <c r="AB194" i="11403"/>
  <c r="AC194" i="11403"/>
  <c r="AD194" i="11403"/>
  <c r="AE194" i="11403"/>
  <c r="AF194" i="11403"/>
  <c r="AG194" i="11403"/>
  <c r="AH194" i="11403"/>
  <c r="AI194" i="11403"/>
  <c r="AJ194" i="11403"/>
  <c r="AK194" i="11403"/>
  <c r="AL194" i="11403"/>
  <c r="AN194" i="11403"/>
  <c r="AO194" i="11403"/>
  <c r="B195" i="11403"/>
  <c r="C195" i="11403"/>
  <c r="D195" i="11403"/>
  <c r="E195" i="11403"/>
  <c r="F195" i="11403"/>
  <c r="G195" i="11403"/>
  <c r="H195" i="11403"/>
  <c r="I195" i="11403"/>
  <c r="J195" i="11403"/>
  <c r="K195" i="11403"/>
  <c r="L195" i="11403"/>
  <c r="M195" i="11403"/>
  <c r="N195" i="11403"/>
  <c r="O195" i="11403"/>
  <c r="P195" i="11403"/>
  <c r="Q195" i="11403"/>
  <c r="R195" i="11403"/>
  <c r="S195" i="11403"/>
  <c r="T195" i="11403"/>
  <c r="U195" i="11403"/>
  <c r="W195" i="11403"/>
  <c r="X195" i="11403"/>
  <c r="Y195" i="11403"/>
  <c r="Z195" i="11403"/>
  <c r="AA195" i="11403"/>
  <c r="AB195" i="11403"/>
  <c r="AC195" i="11403"/>
  <c r="AD195" i="11403"/>
  <c r="AE195" i="11403"/>
  <c r="AF195" i="11403"/>
  <c r="AG195" i="11403"/>
  <c r="AH195" i="11403"/>
  <c r="AI195" i="11403"/>
  <c r="AJ195" i="11403"/>
  <c r="AK195" i="11403"/>
  <c r="AL195" i="11403"/>
  <c r="AN195" i="11403"/>
  <c r="AO195" i="11403"/>
  <c r="B196" i="11403"/>
  <c r="C196" i="11403"/>
  <c r="D196" i="11403"/>
  <c r="E196" i="11403"/>
  <c r="F196" i="11403"/>
  <c r="G196" i="11403"/>
  <c r="H196" i="11403"/>
  <c r="I196" i="11403"/>
  <c r="J196" i="11403"/>
  <c r="K196" i="11403"/>
  <c r="L196" i="11403"/>
  <c r="M196" i="11403"/>
  <c r="N196" i="11403"/>
  <c r="O196" i="11403"/>
  <c r="P196" i="11403"/>
  <c r="Q196" i="11403"/>
  <c r="R196" i="11403"/>
  <c r="S196" i="11403"/>
  <c r="T196" i="11403"/>
  <c r="U196" i="11403"/>
  <c r="W196" i="11403"/>
  <c r="X196" i="11403"/>
  <c r="Y196" i="11403"/>
  <c r="Z196" i="11403"/>
  <c r="AA196" i="11403"/>
  <c r="AB196" i="11403"/>
  <c r="AC196" i="11403"/>
  <c r="AD196" i="11403"/>
  <c r="AE196" i="11403"/>
  <c r="AF196" i="11403"/>
  <c r="AG196" i="11403"/>
  <c r="AH196" i="11403"/>
  <c r="AI196" i="11403"/>
  <c r="AJ196" i="11403"/>
  <c r="AK196" i="11403"/>
  <c r="AL196" i="11403"/>
  <c r="AN196" i="11403"/>
  <c r="AO196" i="11403"/>
  <c r="B197" i="11403"/>
  <c r="C197" i="11403"/>
  <c r="D197" i="11403"/>
  <c r="E197" i="11403"/>
  <c r="F197" i="11403"/>
  <c r="G197" i="11403"/>
  <c r="H197" i="11403"/>
  <c r="I197" i="11403"/>
  <c r="J197" i="11403"/>
  <c r="K197" i="11403"/>
  <c r="L197" i="11403"/>
  <c r="M197" i="11403"/>
  <c r="N197" i="11403"/>
  <c r="O197" i="11403"/>
  <c r="P197" i="11403"/>
  <c r="Q197" i="11403"/>
  <c r="R197" i="11403"/>
  <c r="S197" i="11403"/>
  <c r="T197" i="11403"/>
  <c r="U197" i="11403"/>
  <c r="W197" i="11403"/>
  <c r="X197" i="11403"/>
  <c r="Y197" i="11403"/>
  <c r="Z197" i="11403"/>
  <c r="AA197" i="11403"/>
  <c r="AB197" i="11403"/>
  <c r="AC197" i="11403"/>
  <c r="AD197" i="11403"/>
  <c r="AE197" i="11403"/>
  <c r="AF197" i="11403"/>
  <c r="AG197" i="11403"/>
  <c r="AH197" i="11403"/>
  <c r="AI197" i="11403"/>
  <c r="AJ197" i="11403"/>
  <c r="AK197" i="11403"/>
  <c r="AL197" i="11403"/>
  <c r="AN197" i="11403"/>
  <c r="AO197" i="11403"/>
  <c r="B198" i="11403"/>
  <c r="C198" i="11403"/>
  <c r="D198" i="11403"/>
  <c r="E198" i="11403"/>
  <c r="F198" i="11403"/>
  <c r="G198" i="11403"/>
  <c r="H198" i="11403"/>
  <c r="I198" i="11403"/>
  <c r="J198" i="11403"/>
  <c r="K198" i="11403"/>
  <c r="L198" i="11403"/>
  <c r="M198" i="11403"/>
  <c r="N198" i="11403"/>
  <c r="O198" i="11403"/>
  <c r="P198" i="11403"/>
  <c r="Q198" i="11403"/>
  <c r="R198" i="11403"/>
  <c r="S198" i="11403"/>
  <c r="T198" i="11403"/>
  <c r="U198" i="11403"/>
  <c r="W198" i="11403"/>
  <c r="X198" i="11403"/>
  <c r="Y198" i="11403"/>
  <c r="Z198" i="11403"/>
  <c r="AA198" i="11403"/>
  <c r="AB198" i="11403"/>
  <c r="AC198" i="11403"/>
  <c r="AD198" i="11403"/>
  <c r="AE198" i="11403"/>
  <c r="AF198" i="11403"/>
  <c r="AG198" i="11403"/>
  <c r="AH198" i="11403"/>
  <c r="AI198" i="11403"/>
  <c r="AJ198" i="11403"/>
  <c r="AK198" i="11403"/>
  <c r="AL198" i="11403"/>
  <c r="AN198" i="11403"/>
  <c r="AO198" i="11403"/>
  <c r="B199" i="11403"/>
  <c r="C199" i="11403"/>
  <c r="D199" i="11403"/>
  <c r="E199" i="11403"/>
  <c r="F199" i="11403"/>
  <c r="G199" i="11403"/>
  <c r="H199" i="11403"/>
  <c r="I199" i="11403"/>
  <c r="J199" i="11403"/>
  <c r="K199" i="11403"/>
  <c r="L199" i="11403"/>
  <c r="M199" i="11403"/>
  <c r="N199" i="11403"/>
  <c r="O199" i="11403"/>
  <c r="P199" i="11403"/>
  <c r="Q199" i="11403"/>
  <c r="R199" i="11403"/>
  <c r="S199" i="11403"/>
  <c r="T199" i="11403"/>
  <c r="U199" i="11403"/>
  <c r="W199" i="11403"/>
  <c r="X199" i="11403"/>
  <c r="Y199" i="11403"/>
  <c r="Z199" i="11403"/>
  <c r="AA199" i="11403"/>
  <c r="AB199" i="11403"/>
  <c r="AC199" i="11403"/>
  <c r="AD199" i="11403"/>
  <c r="AE199" i="11403"/>
  <c r="AF199" i="11403"/>
  <c r="AG199" i="11403"/>
  <c r="AH199" i="11403"/>
  <c r="AI199" i="11403"/>
  <c r="AJ199" i="11403"/>
  <c r="AK199" i="11403"/>
  <c r="AL199" i="11403"/>
  <c r="AN199" i="11403"/>
  <c r="AO199" i="11403"/>
  <c r="B200" i="11403"/>
  <c r="C200" i="11403"/>
  <c r="D200" i="11403"/>
  <c r="E200" i="11403"/>
  <c r="F200" i="11403"/>
  <c r="G200" i="11403"/>
  <c r="H200" i="11403"/>
  <c r="I200" i="11403"/>
  <c r="J200" i="11403"/>
  <c r="K200" i="11403"/>
  <c r="L200" i="11403"/>
  <c r="M200" i="11403"/>
  <c r="N200" i="11403"/>
  <c r="O200" i="11403"/>
  <c r="P200" i="11403"/>
  <c r="Q200" i="11403"/>
  <c r="R200" i="11403"/>
  <c r="S200" i="11403"/>
  <c r="T200" i="11403"/>
  <c r="U200" i="11403"/>
  <c r="W200" i="11403"/>
  <c r="X200" i="11403"/>
  <c r="Y200" i="11403"/>
  <c r="Z200" i="11403"/>
  <c r="AA200" i="11403"/>
  <c r="AB200" i="11403"/>
  <c r="AC200" i="11403"/>
  <c r="AD200" i="11403"/>
  <c r="AE200" i="11403"/>
  <c r="AF200" i="11403"/>
  <c r="AG200" i="11403"/>
  <c r="AH200" i="11403"/>
  <c r="AI200" i="11403"/>
  <c r="AJ200" i="11403"/>
  <c r="AK200" i="11403"/>
  <c r="AL200" i="11403"/>
  <c r="AN200" i="11403"/>
  <c r="AO200" i="11403"/>
  <c r="B201" i="11403"/>
  <c r="C201" i="11403"/>
  <c r="D201" i="11403"/>
  <c r="E201" i="11403"/>
  <c r="F201" i="11403"/>
  <c r="G201" i="11403"/>
  <c r="H201" i="11403"/>
  <c r="I201" i="11403"/>
  <c r="J201" i="11403"/>
  <c r="K201" i="11403"/>
  <c r="L201" i="11403"/>
  <c r="M201" i="11403"/>
  <c r="N201" i="11403"/>
  <c r="O201" i="11403"/>
  <c r="P201" i="11403"/>
  <c r="Q201" i="11403"/>
  <c r="R201" i="11403"/>
  <c r="S201" i="11403"/>
  <c r="T201" i="11403"/>
  <c r="U201" i="11403"/>
  <c r="W201" i="11403"/>
  <c r="X201" i="11403"/>
  <c r="Y201" i="11403"/>
  <c r="Z201" i="11403"/>
  <c r="AA201" i="11403"/>
  <c r="AB201" i="11403"/>
  <c r="AC201" i="11403"/>
  <c r="AD201" i="11403"/>
  <c r="AE201" i="11403"/>
  <c r="AF201" i="11403"/>
  <c r="AG201" i="11403"/>
  <c r="AH201" i="11403"/>
  <c r="AI201" i="11403"/>
  <c r="AJ201" i="11403"/>
  <c r="AK201" i="11403"/>
  <c r="AL201" i="11403"/>
  <c r="AN201" i="11403"/>
  <c r="AO201" i="11403"/>
  <c r="B202" i="11403"/>
  <c r="C202" i="11403"/>
  <c r="D202" i="11403"/>
  <c r="E202" i="11403"/>
  <c r="F202" i="11403"/>
  <c r="G202" i="11403"/>
  <c r="H202" i="11403"/>
  <c r="I202" i="11403"/>
  <c r="J202" i="11403"/>
  <c r="K202" i="11403"/>
  <c r="L202" i="11403"/>
  <c r="M202" i="11403"/>
  <c r="N202" i="11403"/>
  <c r="O202" i="11403"/>
  <c r="P202" i="11403"/>
  <c r="Q202" i="11403"/>
  <c r="R202" i="11403"/>
  <c r="S202" i="11403"/>
  <c r="T202" i="11403"/>
  <c r="U202" i="11403"/>
  <c r="W202" i="11403"/>
  <c r="X202" i="11403"/>
  <c r="Y202" i="11403"/>
  <c r="Z202" i="11403"/>
  <c r="AA202" i="11403"/>
  <c r="AB202" i="11403"/>
  <c r="AC202" i="11403"/>
  <c r="AD202" i="11403"/>
  <c r="AE202" i="11403"/>
  <c r="AF202" i="11403"/>
  <c r="AG202" i="11403"/>
  <c r="AH202" i="11403"/>
  <c r="AI202" i="11403"/>
  <c r="AJ202" i="11403"/>
  <c r="AK202" i="11403"/>
  <c r="AL202" i="11403"/>
  <c r="AN202" i="11403"/>
  <c r="AO202" i="11403"/>
  <c r="B203" i="11403"/>
  <c r="C203" i="11403"/>
  <c r="D203" i="11403"/>
  <c r="E203" i="11403"/>
  <c r="F203" i="11403"/>
  <c r="G203" i="11403"/>
  <c r="H203" i="11403"/>
  <c r="I203" i="11403"/>
  <c r="J203" i="11403"/>
  <c r="K203" i="11403"/>
  <c r="L203" i="11403"/>
  <c r="M203" i="11403"/>
  <c r="N203" i="11403"/>
  <c r="O203" i="11403"/>
  <c r="P203" i="11403"/>
  <c r="Q203" i="11403"/>
  <c r="R203" i="11403"/>
  <c r="S203" i="11403"/>
  <c r="T203" i="11403"/>
  <c r="U203" i="11403"/>
  <c r="W203" i="11403"/>
  <c r="X203" i="11403"/>
  <c r="Y203" i="11403"/>
  <c r="Z203" i="11403"/>
  <c r="AA203" i="11403"/>
  <c r="AB203" i="11403"/>
  <c r="AC203" i="11403"/>
  <c r="AD203" i="11403"/>
  <c r="AE203" i="11403"/>
  <c r="AF203" i="11403"/>
  <c r="AG203" i="11403"/>
  <c r="AH203" i="11403"/>
  <c r="AI203" i="11403"/>
  <c r="AJ203" i="11403"/>
  <c r="AK203" i="11403"/>
  <c r="AL203" i="11403"/>
  <c r="AN203" i="11403"/>
  <c r="AO203" i="11403"/>
  <c r="B204" i="11403"/>
  <c r="C204" i="11403"/>
  <c r="D204" i="11403"/>
  <c r="E204" i="11403"/>
  <c r="F204" i="11403"/>
  <c r="G204" i="11403"/>
  <c r="H204" i="11403"/>
  <c r="I204" i="11403"/>
  <c r="J204" i="11403"/>
  <c r="K204" i="11403"/>
  <c r="L204" i="11403"/>
  <c r="M204" i="11403"/>
  <c r="N204" i="11403"/>
  <c r="O204" i="11403"/>
  <c r="P204" i="11403"/>
  <c r="Q204" i="11403"/>
  <c r="R204" i="11403"/>
  <c r="S204" i="11403"/>
  <c r="T204" i="11403"/>
  <c r="U204" i="11403"/>
  <c r="W204" i="11403"/>
  <c r="X204" i="11403"/>
  <c r="Y204" i="11403"/>
  <c r="Z204" i="11403"/>
  <c r="AA204" i="11403"/>
  <c r="AB204" i="11403"/>
  <c r="AC204" i="11403"/>
  <c r="AD204" i="11403"/>
  <c r="AE204" i="11403"/>
  <c r="AF204" i="11403"/>
  <c r="AG204" i="11403"/>
  <c r="AH204" i="11403"/>
  <c r="AI204" i="11403"/>
  <c r="AJ204" i="11403"/>
  <c r="AK204" i="11403"/>
  <c r="AL204" i="11403"/>
  <c r="AN204" i="11403"/>
  <c r="AO204" i="11403"/>
  <c r="B205" i="11403"/>
  <c r="C205" i="11403"/>
  <c r="D205" i="11403"/>
  <c r="E205" i="11403"/>
  <c r="F205" i="11403"/>
  <c r="G205" i="11403"/>
  <c r="H205" i="11403"/>
  <c r="I205" i="11403"/>
  <c r="J205" i="11403"/>
  <c r="K205" i="11403"/>
  <c r="L205" i="11403"/>
  <c r="M205" i="11403"/>
  <c r="N205" i="11403"/>
  <c r="O205" i="11403"/>
  <c r="P205" i="11403"/>
  <c r="Q205" i="11403"/>
  <c r="R205" i="11403"/>
  <c r="S205" i="11403"/>
  <c r="T205" i="11403"/>
  <c r="U205" i="11403"/>
  <c r="W205" i="11403"/>
  <c r="X205" i="11403"/>
  <c r="Y205" i="11403"/>
  <c r="Z205" i="11403"/>
  <c r="AA205" i="11403"/>
  <c r="AB205" i="11403"/>
  <c r="AC205" i="11403"/>
  <c r="AD205" i="11403"/>
  <c r="AE205" i="11403"/>
  <c r="AF205" i="11403"/>
  <c r="AG205" i="11403"/>
  <c r="AH205" i="11403"/>
  <c r="AI205" i="11403"/>
  <c r="AJ205" i="11403"/>
  <c r="AK205" i="11403"/>
  <c r="AL205" i="11403"/>
  <c r="AN205" i="11403"/>
  <c r="AO205" i="11403"/>
  <c r="B206" i="11403"/>
  <c r="C206" i="11403"/>
  <c r="D206" i="11403"/>
  <c r="E206" i="11403"/>
  <c r="F206" i="11403"/>
  <c r="G206" i="11403"/>
  <c r="H206" i="11403"/>
  <c r="I206" i="11403"/>
  <c r="J206" i="11403"/>
  <c r="K206" i="11403"/>
  <c r="L206" i="11403"/>
  <c r="M206" i="11403"/>
  <c r="N206" i="11403"/>
  <c r="O206" i="11403"/>
  <c r="P206" i="11403"/>
  <c r="Q206" i="11403"/>
  <c r="R206" i="11403"/>
  <c r="S206" i="11403"/>
  <c r="T206" i="11403"/>
  <c r="U206" i="11403"/>
  <c r="W206" i="11403"/>
  <c r="X206" i="11403"/>
  <c r="Y206" i="11403"/>
  <c r="Z206" i="11403"/>
  <c r="AA206" i="11403"/>
  <c r="AB206" i="11403"/>
  <c r="AC206" i="11403"/>
  <c r="AD206" i="11403"/>
  <c r="AE206" i="11403"/>
  <c r="AF206" i="11403"/>
  <c r="AG206" i="11403"/>
  <c r="AH206" i="11403"/>
  <c r="AI206" i="11403"/>
  <c r="AJ206" i="11403"/>
  <c r="AK206" i="11403"/>
  <c r="AL206" i="11403"/>
  <c r="AN206" i="11403"/>
  <c r="AO206" i="11403"/>
  <c r="B207" i="11403"/>
  <c r="C207" i="11403"/>
  <c r="D207" i="11403"/>
  <c r="E207" i="11403"/>
  <c r="F207" i="11403"/>
  <c r="G207" i="11403"/>
  <c r="H207" i="11403"/>
  <c r="I207" i="11403"/>
  <c r="J207" i="11403"/>
  <c r="K207" i="11403"/>
  <c r="L207" i="11403"/>
  <c r="M207" i="11403"/>
  <c r="N207" i="11403"/>
  <c r="O207" i="11403"/>
  <c r="P207" i="11403"/>
  <c r="Q207" i="11403"/>
  <c r="R207" i="11403"/>
  <c r="S207" i="11403"/>
  <c r="T207" i="11403"/>
  <c r="U207" i="11403"/>
  <c r="W207" i="11403"/>
  <c r="X207" i="11403"/>
  <c r="Y207" i="11403"/>
  <c r="Z207" i="11403"/>
  <c r="AA207" i="11403"/>
  <c r="AB207" i="11403"/>
  <c r="AC207" i="11403"/>
  <c r="AD207" i="11403"/>
  <c r="AE207" i="11403"/>
  <c r="AF207" i="11403"/>
  <c r="AG207" i="11403"/>
  <c r="AH207" i="11403"/>
  <c r="AI207" i="11403"/>
  <c r="AJ207" i="11403"/>
  <c r="AK207" i="11403"/>
  <c r="AL207" i="11403"/>
  <c r="AN207" i="11403"/>
  <c r="AO207" i="11403"/>
  <c r="B208" i="11403"/>
  <c r="C208" i="11403"/>
  <c r="D208" i="11403"/>
  <c r="E208" i="11403"/>
  <c r="F208" i="11403"/>
  <c r="G208" i="11403"/>
  <c r="H208" i="11403"/>
  <c r="I208" i="11403"/>
  <c r="J208" i="11403"/>
  <c r="K208" i="11403"/>
  <c r="L208" i="11403"/>
  <c r="M208" i="11403"/>
  <c r="N208" i="11403"/>
  <c r="O208" i="11403"/>
  <c r="P208" i="11403"/>
  <c r="Q208" i="11403"/>
  <c r="R208" i="11403"/>
  <c r="S208" i="11403"/>
  <c r="T208" i="11403"/>
  <c r="U208" i="11403"/>
  <c r="W208" i="11403"/>
  <c r="X208" i="11403"/>
  <c r="Y208" i="11403"/>
  <c r="Z208" i="11403"/>
  <c r="AA208" i="11403"/>
  <c r="AB208" i="11403"/>
  <c r="AC208" i="11403"/>
  <c r="AD208" i="11403"/>
  <c r="AE208" i="11403"/>
  <c r="AF208" i="11403"/>
  <c r="AG208" i="11403"/>
  <c r="AH208" i="11403"/>
  <c r="AI208" i="11403"/>
  <c r="AJ208" i="11403"/>
  <c r="AK208" i="11403"/>
  <c r="AL208" i="11403"/>
  <c r="AN208" i="11403"/>
  <c r="AO208" i="11403"/>
  <c r="B209" i="11403"/>
  <c r="C209" i="11403"/>
  <c r="D209" i="11403"/>
  <c r="E209" i="11403"/>
  <c r="F209" i="11403"/>
  <c r="G209" i="11403"/>
  <c r="H209" i="11403"/>
  <c r="I209" i="11403"/>
  <c r="J209" i="11403"/>
  <c r="K209" i="11403"/>
  <c r="L209" i="11403"/>
  <c r="M209" i="11403"/>
  <c r="N209" i="11403"/>
  <c r="O209" i="11403"/>
  <c r="P209" i="11403"/>
  <c r="Q209" i="11403"/>
  <c r="R209" i="11403"/>
  <c r="S209" i="11403"/>
  <c r="T209" i="11403"/>
  <c r="U209" i="11403"/>
  <c r="W209" i="11403"/>
  <c r="X209" i="11403"/>
  <c r="Y209" i="11403"/>
  <c r="Z209" i="11403"/>
  <c r="AA209" i="11403"/>
  <c r="AB209" i="11403"/>
  <c r="AC209" i="11403"/>
  <c r="AD209" i="11403"/>
  <c r="AE209" i="11403"/>
  <c r="AF209" i="11403"/>
  <c r="AG209" i="11403"/>
  <c r="AH209" i="11403"/>
  <c r="AI209" i="11403"/>
  <c r="AJ209" i="11403"/>
  <c r="AK209" i="11403"/>
  <c r="AL209" i="11403"/>
  <c r="AN209" i="11403"/>
  <c r="AO209" i="11403"/>
  <c r="B210" i="11403"/>
  <c r="C210" i="11403"/>
  <c r="D210" i="11403"/>
  <c r="E210" i="11403"/>
  <c r="F210" i="11403"/>
  <c r="G210" i="11403"/>
  <c r="H210" i="11403"/>
  <c r="I210" i="11403"/>
  <c r="J210" i="11403"/>
  <c r="K210" i="11403"/>
  <c r="L210" i="11403"/>
  <c r="M210" i="11403"/>
  <c r="N210" i="11403"/>
  <c r="O210" i="11403"/>
  <c r="P210" i="11403"/>
  <c r="Q210" i="11403"/>
  <c r="R210" i="11403"/>
  <c r="S210" i="11403"/>
  <c r="T210" i="11403"/>
  <c r="U210" i="11403"/>
  <c r="W210" i="11403"/>
  <c r="X210" i="11403"/>
  <c r="Y210" i="11403"/>
  <c r="Z210" i="11403"/>
  <c r="AA210" i="11403"/>
  <c r="AB210" i="11403"/>
  <c r="AC210" i="11403"/>
  <c r="AD210" i="11403"/>
  <c r="AE210" i="11403"/>
  <c r="AF210" i="11403"/>
  <c r="AG210" i="11403"/>
  <c r="AH210" i="11403"/>
  <c r="AI210" i="11403"/>
  <c r="AJ210" i="11403"/>
  <c r="AK210" i="11403"/>
  <c r="AL210" i="11403"/>
  <c r="AN210" i="11403"/>
  <c r="AO210" i="11403"/>
  <c r="B211" i="11403"/>
  <c r="C211" i="11403"/>
  <c r="D211" i="11403"/>
  <c r="E211" i="11403"/>
  <c r="F211" i="11403"/>
  <c r="G211" i="11403"/>
  <c r="H211" i="11403"/>
  <c r="I211" i="11403"/>
  <c r="J211" i="11403"/>
  <c r="K211" i="11403"/>
  <c r="L211" i="11403"/>
  <c r="M211" i="11403"/>
  <c r="N211" i="11403"/>
  <c r="O211" i="11403"/>
  <c r="P211" i="11403"/>
  <c r="Q211" i="11403"/>
  <c r="R211" i="11403"/>
  <c r="S211" i="11403"/>
  <c r="T211" i="11403"/>
  <c r="U211" i="11403"/>
  <c r="W211" i="11403"/>
  <c r="X211" i="11403"/>
  <c r="Y211" i="11403"/>
  <c r="Z211" i="11403"/>
  <c r="AA211" i="11403"/>
  <c r="AB211" i="11403"/>
  <c r="AC211" i="11403"/>
  <c r="AD211" i="11403"/>
  <c r="AE211" i="11403"/>
  <c r="AF211" i="11403"/>
  <c r="AG211" i="11403"/>
  <c r="AH211" i="11403"/>
  <c r="AI211" i="11403"/>
  <c r="AJ211" i="11403"/>
  <c r="AK211" i="11403"/>
  <c r="AL211" i="11403"/>
  <c r="AN211" i="11403"/>
  <c r="AO211" i="11403"/>
  <c r="B212" i="11403"/>
  <c r="C212" i="11403"/>
  <c r="D212" i="11403"/>
  <c r="E212" i="11403"/>
  <c r="F212" i="11403"/>
  <c r="G212" i="11403"/>
  <c r="H212" i="11403"/>
  <c r="I212" i="11403"/>
  <c r="J212" i="11403"/>
  <c r="K212" i="11403"/>
  <c r="L212" i="11403"/>
  <c r="M212" i="11403"/>
  <c r="N212" i="11403"/>
  <c r="O212" i="11403"/>
  <c r="P212" i="11403"/>
  <c r="Q212" i="11403"/>
  <c r="R212" i="11403"/>
  <c r="S212" i="11403"/>
  <c r="T212" i="11403"/>
  <c r="U212" i="11403"/>
  <c r="W212" i="11403"/>
  <c r="X212" i="11403"/>
  <c r="Y212" i="11403"/>
  <c r="Z212" i="11403"/>
  <c r="AA212" i="11403"/>
  <c r="AB212" i="11403"/>
  <c r="AC212" i="11403"/>
  <c r="AD212" i="11403"/>
  <c r="AE212" i="11403"/>
  <c r="AF212" i="11403"/>
  <c r="AG212" i="11403"/>
  <c r="AH212" i="11403"/>
  <c r="AI212" i="11403"/>
  <c r="AJ212" i="11403"/>
  <c r="AK212" i="11403"/>
  <c r="AL212" i="11403"/>
  <c r="AN212" i="11403"/>
  <c r="AO212" i="11403"/>
  <c r="B213" i="11403"/>
  <c r="C213" i="11403"/>
  <c r="D213" i="11403"/>
  <c r="E213" i="11403"/>
  <c r="F213" i="11403"/>
  <c r="G213" i="11403"/>
  <c r="H213" i="11403"/>
  <c r="I213" i="11403"/>
  <c r="J213" i="11403"/>
  <c r="K213" i="11403"/>
  <c r="L213" i="11403"/>
  <c r="M213" i="11403"/>
  <c r="N213" i="11403"/>
  <c r="O213" i="11403"/>
  <c r="P213" i="11403"/>
  <c r="Q213" i="11403"/>
  <c r="R213" i="11403"/>
  <c r="S213" i="11403"/>
  <c r="T213" i="11403"/>
  <c r="U213" i="11403"/>
  <c r="W213" i="11403"/>
  <c r="X213" i="11403"/>
  <c r="Y213" i="11403"/>
  <c r="Z213" i="11403"/>
  <c r="AA213" i="11403"/>
  <c r="AB213" i="11403"/>
  <c r="AC213" i="11403"/>
  <c r="AD213" i="11403"/>
  <c r="AE213" i="11403"/>
  <c r="AF213" i="11403"/>
  <c r="AG213" i="11403"/>
  <c r="AH213" i="11403"/>
  <c r="AI213" i="11403"/>
  <c r="AJ213" i="11403"/>
  <c r="AK213" i="11403"/>
  <c r="AL213" i="11403"/>
  <c r="AN213" i="11403"/>
  <c r="AO213" i="11403"/>
  <c r="B214" i="11403"/>
  <c r="C214" i="11403"/>
  <c r="D214" i="11403"/>
  <c r="E214" i="11403"/>
  <c r="F214" i="11403"/>
  <c r="G214" i="11403"/>
  <c r="H214" i="11403"/>
  <c r="I214" i="11403"/>
  <c r="J214" i="11403"/>
  <c r="K214" i="11403"/>
  <c r="L214" i="11403"/>
  <c r="M214" i="11403"/>
  <c r="N214" i="11403"/>
  <c r="O214" i="11403"/>
  <c r="P214" i="11403"/>
  <c r="Q214" i="11403"/>
  <c r="R214" i="11403"/>
  <c r="S214" i="11403"/>
  <c r="T214" i="11403"/>
  <c r="U214" i="11403"/>
  <c r="W214" i="11403"/>
  <c r="X214" i="11403"/>
  <c r="Y214" i="11403"/>
  <c r="Z214" i="11403"/>
  <c r="AA214" i="11403"/>
  <c r="AB214" i="11403"/>
  <c r="AC214" i="11403"/>
  <c r="AD214" i="11403"/>
  <c r="AE214" i="11403"/>
  <c r="AF214" i="11403"/>
  <c r="AG214" i="11403"/>
  <c r="AH214" i="11403"/>
  <c r="AI214" i="11403"/>
  <c r="AJ214" i="11403"/>
  <c r="AK214" i="11403"/>
  <c r="AL214" i="11403"/>
  <c r="AN214" i="11403"/>
  <c r="AO214" i="11403"/>
  <c r="B215" i="11403"/>
  <c r="C215" i="11403"/>
  <c r="D215" i="11403"/>
  <c r="E215" i="11403"/>
  <c r="F215" i="11403"/>
  <c r="G215" i="11403"/>
  <c r="H215" i="11403"/>
  <c r="I215" i="11403"/>
  <c r="J215" i="11403"/>
  <c r="K215" i="11403"/>
  <c r="L215" i="11403"/>
  <c r="M215" i="11403"/>
  <c r="N215" i="11403"/>
  <c r="O215" i="11403"/>
  <c r="P215" i="11403"/>
  <c r="Q215" i="11403"/>
  <c r="R215" i="11403"/>
  <c r="S215" i="11403"/>
  <c r="T215" i="11403"/>
  <c r="U215" i="11403"/>
  <c r="W215" i="11403"/>
  <c r="X215" i="11403"/>
  <c r="Y215" i="11403"/>
  <c r="Z215" i="11403"/>
  <c r="AA215" i="11403"/>
  <c r="AB215" i="11403"/>
  <c r="AC215" i="11403"/>
  <c r="AD215" i="11403"/>
  <c r="AE215" i="11403"/>
  <c r="AF215" i="11403"/>
  <c r="AG215" i="11403"/>
  <c r="AH215" i="11403"/>
  <c r="AI215" i="11403"/>
  <c r="AJ215" i="11403"/>
  <c r="AK215" i="11403"/>
  <c r="AL215" i="11403"/>
  <c r="AN215" i="11403"/>
  <c r="AO215" i="11403"/>
  <c r="B216" i="11403"/>
  <c r="C216" i="11403"/>
  <c r="D216" i="11403"/>
  <c r="E216" i="11403"/>
  <c r="F216" i="11403"/>
  <c r="G216" i="11403"/>
  <c r="H216" i="11403"/>
  <c r="I216" i="11403"/>
  <c r="J216" i="11403"/>
  <c r="K216" i="11403"/>
  <c r="L216" i="11403"/>
  <c r="M216" i="11403"/>
  <c r="N216" i="11403"/>
  <c r="O216" i="11403"/>
  <c r="P216" i="11403"/>
  <c r="Q216" i="11403"/>
  <c r="R216" i="11403"/>
  <c r="S216" i="11403"/>
  <c r="T216" i="11403"/>
  <c r="U216" i="11403"/>
  <c r="W216" i="11403"/>
  <c r="X216" i="11403"/>
  <c r="Y216" i="11403"/>
  <c r="Z216" i="11403"/>
  <c r="AA216" i="11403"/>
  <c r="AB216" i="11403"/>
  <c r="AC216" i="11403"/>
  <c r="AD216" i="11403"/>
  <c r="AE216" i="11403"/>
  <c r="AF216" i="11403"/>
  <c r="AG216" i="11403"/>
  <c r="AH216" i="11403"/>
  <c r="AI216" i="11403"/>
  <c r="AJ216" i="11403"/>
  <c r="AK216" i="11403"/>
  <c r="AL216" i="11403"/>
  <c r="AN216" i="11403"/>
  <c r="AO216" i="11403"/>
  <c r="B217" i="11403"/>
  <c r="C217" i="11403"/>
  <c r="D217" i="11403"/>
  <c r="E217" i="11403"/>
  <c r="F217" i="11403"/>
  <c r="G217" i="11403"/>
  <c r="H217" i="11403"/>
  <c r="I217" i="11403"/>
  <c r="J217" i="11403"/>
  <c r="K217" i="11403"/>
  <c r="L217" i="11403"/>
  <c r="M217" i="11403"/>
  <c r="N217" i="11403"/>
  <c r="O217" i="11403"/>
  <c r="P217" i="11403"/>
  <c r="Q217" i="11403"/>
  <c r="R217" i="11403"/>
  <c r="S217" i="11403"/>
  <c r="T217" i="11403"/>
  <c r="U217" i="11403"/>
  <c r="W217" i="11403"/>
  <c r="X217" i="11403"/>
  <c r="Y217" i="11403"/>
  <c r="Z217" i="11403"/>
  <c r="AA217" i="11403"/>
  <c r="AB217" i="11403"/>
  <c r="AC217" i="11403"/>
  <c r="AD217" i="11403"/>
  <c r="AE217" i="11403"/>
  <c r="AF217" i="11403"/>
  <c r="AG217" i="11403"/>
  <c r="AH217" i="11403"/>
  <c r="AI217" i="11403"/>
  <c r="AJ217" i="11403"/>
  <c r="AK217" i="11403"/>
  <c r="AL217" i="11403"/>
  <c r="AN217" i="11403"/>
  <c r="AO217" i="11403"/>
  <c r="B218" i="11403"/>
  <c r="C218" i="11403"/>
  <c r="D218" i="11403"/>
  <c r="E218" i="11403"/>
  <c r="F218" i="11403"/>
  <c r="G218" i="11403"/>
  <c r="H218" i="11403"/>
  <c r="I218" i="11403"/>
  <c r="J218" i="11403"/>
  <c r="K218" i="11403"/>
  <c r="L218" i="11403"/>
  <c r="M218" i="11403"/>
  <c r="N218" i="11403"/>
  <c r="O218" i="11403"/>
  <c r="P218" i="11403"/>
  <c r="Q218" i="11403"/>
  <c r="R218" i="11403"/>
  <c r="S218" i="11403"/>
  <c r="T218" i="11403"/>
  <c r="U218" i="11403"/>
  <c r="W218" i="11403"/>
  <c r="X218" i="11403"/>
  <c r="Y218" i="11403"/>
  <c r="Z218" i="11403"/>
  <c r="AA218" i="11403"/>
  <c r="AB218" i="11403"/>
  <c r="AC218" i="11403"/>
  <c r="AD218" i="11403"/>
  <c r="AE218" i="11403"/>
  <c r="AF218" i="11403"/>
  <c r="AG218" i="11403"/>
  <c r="AH218" i="11403"/>
  <c r="AI218" i="11403"/>
  <c r="AJ218" i="11403"/>
  <c r="AK218" i="11403"/>
  <c r="AL218" i="11403"/>
  <c r="AN218" i="11403"/>
  <c r="AO218" i="11403"/>
  <c r="B219" i="11403"/>
  <c r="C219" i="11403"/>
  <c r="D219" i="11403"/>
  <c r="E219" i="11403"/>
  <c r="F219" i="11403"/>
  <c r="G219" i="11403"/>
  <c r="H219" i="11403"/>
  <c r="I219" i="11403"/>
  <c r="J219" i="11403"/>
  <c r="K219" i="11403"/>
  <c r="L219" i="11403"/>
  <c r="M219" i="11403"/>
  <c r="N219" i="11403"/>
  <c r="O219" i="11403"/>
  <c r="P219" i="11403"/>
  <c r="Q219" i="11403"/>
  <c r="R219" i="11403"/>
  <c r="S219" i="11403"/>
  <c r="T219" i="11403"/>
  <c r="U219" i="11403"/>
  <c r="W219" i="11403"/>
  <c r="X219" i="11403"/>
  <c r="Y219" i="11403"/>
  <c r="Z219" i="11403"/>
  <c r="AA219" i="11403"/>
  <c r="AB219" i="11403"/>
  <c r="AC219" i="11403"/>
  <c r="AD219" i="11403"/>
  <c r="AE219" i="11403"/>
  <c r="AF219" i="11403"/>
  <c r="AG219" i="11403"/>
  <c r="AH219" i="11403"/>
  <c r="AI219" i="11403"/>
  <c r="AJ219" i="11403"/>
  <c r="AK219" i="11403"/>
  <c r="AL219" i="11403"/>
  <c r="AN219" i="11403"/>
  <c r="AO219" i="11403"/>
  <c r="B220" i="11403"/>
  <c r="C220" i="11403"/>
  <c r="D220" i="11403"/>
  <c r="E220" i="11403"/>
  <c r="F220" i="11403"/>
  <c r="G220" i="11403"/>
  <c r="H220" i="11403"/>
  <c r="I220" i="11403"/>
  <c r="J220" i="11403"/>
  <c r="K220" i="11403"/>
  <c r="L220" i="11403"/>
  <c r="M220" i="11403"/>
  <c r="N220" i="11403"/>
  <c r="O220" i="11403"/>
  <c r="P220" i="11403"/>
  <c r="Q220" i="11403"/>
  <c r="R220" i="11403"/>
  <c r="S220" i="11403"/>
  <c r="T220" i="11403"/>
  <c r="U220" i="11403"/>
  <c r="W220" i="11403"/>
  <c r="X220" i="11403"/>
  <c r="Y220" i="11403"/>
  <c r="Z220" i="11403"/>
  <c r="AA220" i="11403"/>
  <c r="AB220" i="11403"/>
  <c r="AC220" i="11403"/>
  <c r="AD220" i="11403"/>
  <c r="AE220" i="11403"/>
  <c r="AF220" i="11403"/>
  <c r="AG220" i="11403"/>
  <c r="AH220" i="11403"/>
  <c r="AI220" i="11403"/>
  <c r="AJ220" i="11403"/>
  <c r="AK220" i="11403"/>
  <c r="AL220" i="11403"/>
  <c r="AN220" i="11403"/>
  <c r="AO220" i="11403"/>
  <c r="B221" i="11403"/>
  <c r="C221" i="11403"/>
  <c r="D221" i="11403"/>
  <c r="E221" i="11403"/>
  <c r="F221" i="11403"/>
  <c r="G221" i="11403"/>
  <c r="H221" i="11403"/>
  <c r="I221" i="11403"/>
  <c r="J221" i="11403"/>
  <c r="K221" i="11403"/>
  <c r="L221" i="11403"/>
  <c r="M221" i="11403"/>
  <c r="N221" i="11403"/>
  <c r="O221" i="11403"/>
  <c r="P221" i="11403"/>
  <c r="Q221" i="11403"/>
  <c r="R221" i="11403"/>
  <c r="S221" i="11403"/>
  <c r="T221" i="11403"/>
  <c r="U221" i="11403"/>
  <c r="W221" i="11403"/>
  <c r="X221" i="11403"/>
  <c r="Y221" i="11403"/>
  <c r="Z221" i="11403"/>
  <c r="AA221" i="11403"/>
  <c r="AB221" i="11403"/>
  <c r="AC221" i="11403"/>
  <c r="AD221" i="11403"/>
  <c r="AE221" i="11403"/>
  <c r="AF221" i="11403"/>
  <c r="AG221" i="11403"/>
  <c r="AH221" i="11403"/>
  <c r="AI221" i="11403"/>
  <c r="AJ221" i="11403"/>
  <c r="AK221" i="11403"/>
  <c r="AL221" i="11403"/>
  <c r="AN221" i="11403"/>
  <c r="AO221" i="11403"/>
  <c r="B222" i="11403"/>
  <c r="C222" i="11403"/>
  <c r="D222" i="11403"/>
  <c r="E222" i="11403"/>
  <c r="F222" i="11403"/>
  <c r="G222" i="11403"/>
  <c r="H222" i="11403"/>
  <c r="I222" i="11403"/>
  <c r="J222" i="11403"/>
  <c r="K222" i="11403"/>
  <c r="L222" i="11403"/>
  <c r="M222" i="11403"/>
  <c r="N222" i="11403"/>
  <c r="O222" i="11403"/>
  <c r="P222" i="11403"/>
  <c r="Q222" i="11403"/>
  <c r="R222" i="11403"/>
  <c r="S222" i="11403"/>
  <c r="T222" i="11403"/>
  <c r="U222" i="11403"/>
  <c r="W222" i="11403"/>
  <c r="X222" i="11403"/>
  <c r="Y222" i="11403"/>
  <c r="Z222" i="11403"/>
  <c r="AA222" i="11403"/>
  <c r="AB222" i="11403"/>
  <c r="AC222" i="11403"/>
  <c r="AD222" i="11403"/>
  <c r="AE222" i="11403"/>
  <c r="AF222" i="11403"/>
  <c r="AG222" i="11403"/>
  <c r="AH222" i="11403"/>
  <c r="AI222" i="11403"/>
  <c r="AJ222" i="11403"/>
  <c r="AK222" i="11403"/>
  <c r="AL222" i="11403"/>
  <c r="AN222" i="11403"/>
  <c r="AO222" i="11403"/>
  <c r="B223" i="11403"/>
  <c r="C223" i="11403"/>
  <c r="D223" i="11403"/>
  <c r="E223" i="11403"/>
  <c r="F223" i="11403"/>
  <c r="G223" i="11403"/>
  <c r="H223" i="11403"/>
  <c r="I223" i="11403"/>
  <c r="J223" i="11403"/>
  <c r="K223" i="11403"/>
  <c r="L223" i="11403"/>
  <c r="M223" i="11403"/>
  <c r="N223" i="11403"/>
  <c r="O223" i="11403"/>
  <c r="P223" i="11403"/>
  <c r="Q223" i="11403"/>
  <c r="R223" i="11403"/>
  <c r="S223" i="11403"/>
  <c r="T223" i="11403"/>
  <c r="U223" i="11403"/>
  <c r="W223" i="11403"/>
  <c r="X223" i="11403"/>
  <c r="Y223" i="11403"/>
  <c r="Z223" i="11403"/>
  <c r="AA223" i="11403"/>
  <c r="AB223" i="11403"/>
  <c r="AC223" i="11403"/>
  <c r="AD223" i="11403"/>
  <c r="AE223" i="11403"/>
  <c r="AF223" i="11403"/>
  <c r="AG223" i="11403"/>
  <c r="AH223" i="11403"/>
  <c r="AI223" i="11403"/>
  <c r="AJ223" i="11403"/>
  <c r="AK223" i="11403"/>
  <c r="AL223" i="11403"/>
  <c r="AN223" i="11403"/>
  <c r="AO223" i="11403"/>
  <c r="B224" i="11403"/>
  <c r="C224" i="11403"/>
  <c r="D224" i="11403"/>
  <c r="E224" i="11403"/>
  <c r="F224" i="11403"/>
  <c r="G224" i="11403"/>
  <c r="H224" i="11403"/>
  <c r="I224" i="11403"/>
  <c r="J224" i="11403"/>
  <c r="K224" i="11403"/>
  <c r="L224" i="11403"/>
  <c r="M224" i="11403"/>
  <c r="N224" i="11403"/>
  <c r="O224" i="11403"/>
  <c r="P224" i="11403"/>
  <c r="Q224" i="11403"/>
  <c r="R224" i="11403"/>
  <c r="S224" i="11403"/>
  <c r="T224" i="11403"/>
  <c r="U224" i="11403"/>
  <c r="W224" i="11403"/>
  <c r="X224" i="11403"/>
  <c r="Y224" i="11403"/>
  <c r="Z224" i="11403"/>
  <c r="AA224" i="11403"/>
  <c r="AB224" i="11403"/>
  <c r="AC224" i="11403"/>
  <c r="AD224" i="11403"/>
  <c r="AE224" i="11403"/>
  <c r="AF224" i="11403"/>
  <c r="AG224" i="11403"/>
  <c r="AH224" i="11403"/>
  <c r="AI224" i="11403"/>
  <c r="AJ224" i="11403"/>
  <c r="AK224" i="11403"/>
  <c r="AL224" i="11403"/>
  <c r="AN224" i="11403"/>
  <c r="AO224" i="11403"/>
  <c r="B225" i="11403"/>
  <c r="C225" i="11403"/>
  <c r="D225" i="11403"/>
  <c r="E225" i="11403"/>
  <c r="F225" i="11403"/>
  <c r="G225" i="11403"/>
  <c r="H225" i="11403"/>
  <c r="I225" i="11403"/>
  <c r="J225" i="11403"/>
  <c r="K225" i="11403"/>
  <c r="L225" i="11403"/>
  <c r="M225" i="11403"/>
  <c r="N225" i="11403"/>
  <c r="O225" i="11403"/>
  <c r="P225" i="11403"/>
  <c r="Q225" i="11403"/>
  <c r="R225" i="11403"/>
  <c r="S225" i="11403"/>
  <c r="T225" i="11403"/>
  <c r="U225" i="11403"/>
  <c r="W225" i="11403"/>
  <c r="X225" i="11403"/>
  <c r="Y225" i="11403"/>
  <c r="Z225" i="11403"/>
  <c r="AA225" i="11403"/>
  <c r="AB225" i="11403"/>
  <c r="AC225" i="11403"/>
  <c r="AD225" i="11403"/>
  <c r="AE225" i="11403"/>
  <c r="AF225" i="11403"/>
  <c r="AG225" i="11403"/>
  <c r="AH225" i="11403"/>
  <c r="AI225" i="11403"/>
  <c r="AJ225" i="11403"/>
  <c r="AK225" i="11403"/>
  <c r="AL225" i="11403"/>
  <c r="AN225" i="11403"/>
  <c r="AO225" i="11403"/>
  <c r="B226" i="11403"/>
  <c r="C226" i="11403"/>
  <c r="D226" i="11403"/>
  <c r="E226" i="11403"/>
  <c r="F226" i="11403"/>
  <c r="G226" i="11403"/>
  <c r="H226" i="11403"/>
  <c r="I226" i="11403"/>
  <c r="J226" i="11403"/>
  <c r="K226" i="11403"/>
  <c r="L226" i="11403"/>
  <c r="M226" i="11403"/>
  <c r="N226" i="11403"/>
  <c r="O226" i="11403"/>
  <c r="P226" i="11403"/>
  <c r="Q226" i="11403"/>
  <c r="R226" i="11403"/>
  <c r="S226" i="11403"/>
  <c r="T226" i="11403"/>
  <c r="U226" i="11403"/>
  <c r="W226" i="11403"/>
  <c r="X226" i="11403"/>
  <c r="Y226" i="11403"/>
  <c r="Z226" i="11403"/>
  <c r="AA226" i="11403"/>
  <c r="AB226" i="11403"/>
  <c r="AC226" i="11403"/>
  <c r="AD226" i="11403"/>
  <c r="AE226" i="11403"/>
  <c r="AF226" i="11403"/>
  <c r="AG226" i="11403"/>
  <c r="AH226" i="11403"/>
  <c r="AI226" i="11403"/>
  <c r="AJ226" i="11403"/>
  <c r="AK226" i="11403"/>
  <c r="AL226" i="11403"/>
  <c r="AN226" i="11403"/>
  <c r="AO226" i="11403"/>
  <c r="B227" i="11403"/>
  <c r="C227" i="11403"/>
  <c r="D227" i="11403"/>
  <c r="E227" i="11403"/>
  <c r="F227" i="11403"/>
  <c r="G227" i="11403"/>
  <c r="H227" i="11403"/>
  <c r="I227" i="11403"/>
  <c r="J227" i="11403"/>
  <c r="K227" i="11403"/>
  <c r="L227" i="11403"/>
  <c r="M227" i="11403"/>
  <c r="N227" i="11403"/>
  <c r="O227" i="11403"/>
  <c r="P227" i="11403"/>
  <c r="Q227" i="11403"/>
  <c r="R227" i="11403"/>
  <c r="S227" i="11403"/>
  <c r="T227" i="11403"/>
  <c r="U227" i="11403"/>
  <c r="W227" i="11403"/>
  <c r="X227" i="11403"/>
  <c r="Y227" i="11403"/>
  <c r="Z227" i="11403"/>
  <c r="AA227" i="11403"/>
  <c r="AB227" i="11403"/>
  <c r="AC227" i="11403"/>
  <c r="AD227" i="11403"/>
  <c r="AE227" i="11403"/>
  <c r="AF227" i="11403"/>
  <c r="AG227" i="11403"/>
  <c r="AH227" i="11403"/>
  <c r="AI227" i="11403"/>
  <c r="AJ227" i="11403"/>
  <c r="AK227" i="11403"/>
  <c r="AL227" i="11403"/>
  <c r="AN227" i="11403"/>
  <c r="AO227" i="11403"/>
  <c r="B228" i="11403"/>
  <c r="C228" i="11403"/>
  <c r="D228" i="11403"/>
  <c r="E228" i="11403"/>
  <c r="F228" i="11403"/>
  <c r="G228" i="11403"/>
  <c r="H228" i="11403"/>
  <c r="I228" i="11403"/>
  <c r="J228" i="11403"/>
  <c r="K228" i="11403"/>
  <c r="L228" i="11403"/>
  <c r="M228" i="11403"/>
  <c r="N228" i="11403"/>
  <c r="O228" i="11403"/>
  <c r="P228" i="11403"/>
  <c r="Q228" i="11403"/>
  <c r="R228" i="11403"/>
  <c r="S228" i="11403"/>
  <c r="T228" i="11403"/>
  <c r="U228" i="11403"/>
  <c r="W228" i="11403"/>
  <c r="X228" i="11403"/>
  <c r="Y228" i="11403"/>
  <c r="Z228" i="11403"/>
  <c r="AA228" i="11403"/>
  <c r="AB228" i="11403"/>
  <c r="AC228" i="11403"/>
  <c r="AD228" i="11403"/>
  <c r="AE228" i="11403"/>
  <c r="AF228" i="11403"/>
  <c r="AG228" i="11403"/>
  <c r="AH228" i="11403"/>
  <c r="AI228" i="11403"/>
  <c r="AJ228" i="11403"/>
  <c r="AK228" i="11403"/>
  <c r="AL228" i="11403"/>
  <c r="AN228" i="11403"/>
  <c r="AO228" i="11403"/>
  <c r="B229" i="11403"/>
  <c r="C229" i="11403"/>
  <c r="D229" i="11403"/>
  <c r="E229" i="11403"/>
  <c r="F229" i="11403"/>
  <c r="G229" i="11403"/>
  <c r="H229" i="11403"/>
  <c r="I229" i="11403"/>
  <c r="J229" i="11403"/>
  <c r="K229" i="11403"/>
  <c r="L229" i="11403"/>
  <c r="M229" i="11403"/>
  <c r="N229" i="11403"/>
  <c r="O229" i="11403"/>
  <c r="P229" i="11403"/>
  <c r="Q229" i="11403"/>
  <c r="R229" i="11403"/>
  <c r="S229" i="11403"/>
  <c r="T229" i="11403"/>
  <c r="U229" i="11403"/>
  <c r="W229" i="11403"/>
  <c r="X229" i="11403"/>
  <c r="Y229" i="11403"/>
  <c r="Z229" i="11403"/>
  <c r="AA229" i="11403"/>
  <c r="AB229" i="11403"/>
  <c r="AC229" i="11403"/>
  <c r="AD229" i="11403"/>
  <c r="AE229" i="11403"/>
  <c r="AF229" i="11403"/>
  <c r="AG229" i="11403"/>
  <c r="AH229" i="11403"/>
  <c r="AI229" i="11403"/>
  <c r="AJ229" i="11403"/>
  <c r="AK229" i="11403"/>
  <c r="AL229" i="11403"/>
  <c r="AN229" i="11403"/>
  <c r="AO229" i="11403"/>
  <c r="B230" i="11403"/>
  <c r="C230" i="11403"/>
  <c r="D230" i="11403"/>
  <c r="E230" i="11403"/>
  <c r="F230" i="11403"/>
  <c r="G230" i="11403"/>
  <c r="H230" i="11403"/>
  <c r="I230" i="11403"/>
  <c r="J230" i="11403"/>
  <c r="K230" i="11403"/>
  <c r="L230" i="11403"/>
  <c r="M230" i="11403"/>
  <c r="N230" i="11403"/>
  <c r="O230" i="11403"/>
  <c r="P230" i="11403"/>
  <c r="Q230" i="11403"/>
  <c r="R230" i="11403"/>
  <c r="S230" i="11403"/>
  <c r="T230" i="11403"/>
  <c r="U230" i="11403"/>
  <c r="W230" i="11403"/>
  <c r="X230" i="11403"/>
  <c r="Y230" i="11403"/>
  <c r="Z230" i="11403"/>
  <c r="AA230" i="11403"/>
  <c r="AB230" i="11403"/>
  <c r="AC230" i="11403"/>
  <c r="AD230" i="11403"/>
  <c r="AE230" i="11403"/>
  <c r="AF230" i="11403"/>
  <c r="AG230" i="11403"/>
  <c r="AH230" i="11403"/>
  <c r="AI230" i="11403"/>
  <c r="AJ230" i="11403"/>
  <c r="AK230" i="11403"/>
  <c r="AL230" i="11403"/>
  <c r="AN230" i="11403"/>
  <c r="AO230" i="11403"/>
  <c r="B231" i="11403"/>
  <c r="C231" i="11403"/>
  <c r="D231" i="11403"/>
  <c r="E231" i="11403"/>
  <c r="F231" i="11403"/>
  <c r="G231" i="11403"/>
  <c r="H231" i="11403"/>
  <c r="I231" i="11403"/>
  <c r="J231" i="11403"/>
  <c r="K231" i="11403"/>
  <c r="L231" i="11403"/>
  <c r="M231" i="11403"/>
  <c r="N231" i="11403"/>
  <c r="O231" i="11403"/>
  <c r="P231" i="11403"/>
  <c r="Q231" i="11403"/>
  <c r="R231" i="11403"/>
  <c r="S231" i="11403"/>
  <c r="T231" i="11403"/>
  <c r="U231" i="11403"/>
  <c r="W231" i="11403"/>
  <c r="X231" i="11403"/>
  <c r="Y231" i="11403"/>
  <c r="Z231" i="11403"/>
  <c r="AA231" i="11403"/>
  <c r="AB231" i="11403"/>
  <c r="AC231" i="11403"/>
  <c r="AD231" i="11403"/>
  <c r="AE231" i="11403"/>
  <c r="AF231" i="11403"/>
  <c r="AG231" i="11403"/>
  <c r="AH231" i="11403"/>
  <c r="AI231" i="11403"/>
  <c r="AJ231" i="11403"/>
  <c r="AK231" i="11403"/>
  <c r="AL231" i="11403"/>
  <c r="AN231" i="11403"/>
  <c r="AO231" i="11403"/>
  <c r="B232" i="11403"/>
  <c r="C232" i="11403"/>
  <c r="D232" i="11403"/>
  <c r="E232" i="11403"/>
  <c r="F232" i="11403"/>
  <c r="G232" i="11403"/>
  <c r="H232" i="11403"/>
  <c r="I232" i="11403"/>
  <c r="J232" i="11403"/>
  <c r="K232" i="11403"/>
  <c r="L232" i="11403"/>
  <c r="M232" i="11403"/>
  <c r="N232" i="11403"/>
  <c r="O232" i="11403"/>
  <c r="P232" i="11403"/>
  <c r="Q232" i="11403"/>
  <c r="R232" i="11403"/>
  <c r="S232" i="11403"/>
  <c r="T232" i="11403"/>
  <c r="U232" i="11403"/>
  <c r="W232" i="11403"/>
  <c r="X232" i="11403"/>
  <c r="Y232" i="11403"/>
  <c r="Z232" i="11403"/>
  <c r="AA232" i="11403"/>
  <c r="AB232" i="11403"/>
  <c r="AC232" i="11403"/>
  <c r="AD232" i="11403"/>
  <c r="AE232" i="11403"/>
  <c r="AF232" i="11403"/>
  <c r="AG232" i="11403"/>
  <c r="AH232" i="11403"/>
  <c r="AI232" i="11403"/>
  <c r="AJ232" i="11403"/>
  <c r="AK232" i="11403"/>
  <c r="AL232" i="11403"/>
  <c r="AN232" i="11403"/>
  <c r="AO232" i="11403"/>
  <c r="B233" i="11403"/>
  <c r="C233" i="11403"/>
  <c r="D233" i="11403"/>
  <c r="E233" i="11403"/>
  <c r="F233" i="11403"/>
  <c r="G233" i="11403"/>
  <c r="H233" i="11403"/>
  <c r="I233" i="11403"/>
  <c r="J233" i="11403"/>
  <c r="K233" i="11403"/>
  <c r="L233" i="11403"/>
  <c r="M233" i="11403"/>
  <c r="N233" i="11403"/>
  <c r="O233" i="11403"/>
  <c r="P233" i="11403"/>
  <c r="Q233" i="11403"/>
  <c r="R233" i="11403"/>
  <c r="S233" i="11403"/>
  <c r="T233" i="11403"/>
  <c r="U233" i="11403"/>
  <c r="W233" i="11403"/>
  <c r="X233" i="11403"/>
  <c r="Y233" i="11403"/>
  <c r="Z233" i="11403"/>
  <c r="AA233" i="11403"/>
  <c r="AB233" i="11403"/>
  <c r="AC233" i="11403"/>
  <c r="AD233" i="11403"/>
  <c r="AE233" i="11403"/>
  <c r="AF233" i="11403"/>
  <c r="AG233" i="11403"/>
  <c r="AH233" i="11403"/>
  <c r="AI233" i="11403"/>
  <c r="AJ233" i="11403"/>
  <c r="AK233" i="11403"/>
  <c r="AL233" i="11403"/>
  <c r="AN233" i="11403"/>
  <c r="AO233" i="11403"/>
  <c r="B234" i="11403"/>
  <c r="C234" i="11403"/>
  <c r="D234" i="11403"/>
  <c r="E234" i="11403"/>
  <c r="F234" i="11403"/>
  <c r="G234" i="11403"/>
  <c r="H234" i="11403"/>
  <c r="I234" i="11403"/>
  <c r="J234" i="11403"/>
  <c r="K234" i="11403"/>
  <c r="L234" i="11403"/>
  <c r="M234" i="11403"/>
  <c r="N234" i="11403"/>
  <c r="O234" i="11403"/>
  <c r="P234" i="11403"/>
  <c r="Q234" i="11403"/>
  <c r="R234" i="11403"/>
  <c r="S234" i="11403"/>
  <c r="T234" i="11403"/>
  <c r="U234" i="11403"/>
  <c r="W234" i="11403"/>
  <c r="X234" i="11403"/>
  <c r="Y234" i="11403"/>
  <c r="Z234" i="11403"/>
  <c r="AA234" i="11403"/>
  <c r="AB234" i="11403"/>
  <c r="AC234" i="11403"/>
  <c r="AD234" i="11403"/>
  <c r="AE234" i="11403"/>
  <c r="AF234" i="11403"/>
  <c r="AG234" i="11403"/>
  <c r="AH234" i="11403"/>
  <c r="AI234" i="11403"/>
  <c r="AJ234" i="11403"/>
  <c r="AK234" i="11403"/>
  <c r="AL234" i="11403"/>
  <c r="AN234" i="11403"/>
  <c r="AO234" i="11403"/>
  <c r="B235" i="11403"/>
  <c r="C235" i="11403"/>
  <c r="D235" i="11403"/>
  <c r="E235" i="11403"/>
  <c r="F235" i="11403"/>
  <c r="G235" i="11403"/>
  <c r="H235" i="11403"/>
  <c r="I235" i="11403"/>
  <c r="J235" i="11403"/>
  <c r="K235" i="11403"/>
  <c r="L235" i="11403"/>
  <c r="M235" i="11403"/>
  <c r="N235" i="11403"/>
  <c r="O235" i="11403"/>
  <c r="P235" i="11403"/>
  <c r="Q235" i="11403"/>
  <c r="R235" i="11403"/>
  <c r="S235" i="11403"/>
  <c r="T235" i="11403"/>
  <c r="U235" i="11403"/>
  <c r="W235" i="11403"/>
  <c r="X235" i="11403"/>
  <c r="Y235" i="11403"/>
  <c r="Z235" i="11403"/>
  <c r="AA235" i="11403"/>
  <c r="AB235" i="11403"/>
  <c r="AC235" i="11403"/>
  <c r="AD235" i="11403"/>
  <c r="AE235" i="11403"/>
  <c r="AF235" i="11403"/>
  <c r="AG235" i="11403"/>
  <c r="AH235" i="11403"/>
  <c r="AI235" i="11403"/>
  <c r="AJ235" i="11403"/>
  <c r="AK235" i="11403"/>
  <c r="AL235" i="11403"/>
  <c r="AN235" i="11403"/>
  <c r="AO235" i="11403"/>
  <c r="B236" i="11403"/>
  <c r="C236" i="11403"/>
  <c r="D236" i="11403"/>
  <c r="E236" i="11403"/>
  <c r="F236" i="11403"/>
  <c r="G236" i="11403"/>
  <c r="H236" i="11403"/>
  <c r="I236" i="11403"/>
  <c r="J236" i="11403"/>
  <c r="K236" i="11403"/>
  <c r="L236" i="11403"/>
  <c r="M236" i="11403"/>
  <c r="N236" i="11403"/>
  <c r="O236" i="11403"/>
  <c r="P236" i="11403"/>
  <c r="Q236" i="11403"/>
  <c r="R236" i="11403"/>
  <c r="S236" i="11403"/>
  <c r="T236" i="11403"/>
  <c r="U236" i="11403"/>
  <c r="W236" i="11403"/>
  <c r="X236" i="11403"/>
  <c r="Y236" i="11403"/>
  <c r="Z236" i="11403"/>
  <c r="AA236" i="11403"/>
  <c r="AB236" i="11403"/>
  <c r="AC236" i="11403"/>
  <c r="AD236" i="11403"/>
  <c r="AE236" i="11403"/>
  <c r="AF236" i="11403"/>
  <c r="AG236" i="11403"/>
  <c r="AH236" i="11403"/>
  <c r="AI236" i="11403"/>
  <c r="AJ236" i="11403"/>
  <c r="AK236" i="11403"/>
  <c r="AL236" i="11403"/>
  <c r="AN236" i="11403"/>
  <c r="AO236" i="11403"/>
  <c r="B237" i="11403"/>
  <c r="C237" i="11403"/>
  <c r="D237" i="11403"/>
  <c r="E237" i="11403"/>
  <c r="F237" i="11403"/>
  <c r="G237" i="11403"/>
  <c r="H237" i="11403"/>
  <c r="I237" i="11403"/>
  <c r="J237" i="11403"/>
  <c r="K237" i="11403"/>
  <c r="L237" i="11403"/>
  <c r="M237" i="11403"/>
  <c r="N237" i="11403"/>
  <c r="O237" i="11403"/>
  <c r="P237" i="11403"/>
  <c r="Q237" i="11403"/>
  <c r="R237" i="11403"/>
  <c r="S237" i="11403"/>
  <c r="T237" i="11403"/>
  <c r="U237" i="11403"/>
  <c r="W237" i="11403"/>
  <c r="X237" i="11403"/>
  <c r="Y237" i="11403"/>
  <c r="Z237" i="11403"/>
  <c r="AA237" i="11403"/>
  <c r="AB237" i="11403"/>
  <c r="AC237" i="11403"/>
  <c r="AD237" i="11403"/>
  <c r="AE237" i="11403"/>
  <c r="AF237" i="11403"/>
  <c r="AG237" i="11403"/>
  <c r="AH237" i="11403"/>
  <c r="AI237" i="11403"/>
  <c r="AJ237" i="11403"/>
  <c r="AK237" i="11403"/>
  <c r="AL237" i="11403"/>
  <c r="AN237" i="11403"/>
  <c r="AO237" i="11403"/>
  <c r="B238" i="11403"/>
  <c r="C238" i="11403"/>
  <c r="D238" i="11403"/>
  <c r="E238" i="11403"/>
  <c r="F238" i="11403"/>
  <c r="G238" i="11403"/>
  <c r="H238" i="11403"/>
  <c r="I238" i="11403"/>
  <c r="J238" i="11403"/>
  <c r="K238" i="11403"/>
  <c r="L238" i="11403"/>
  <c r="M238" i="11403"/>
  <c r="N238" i="11403"/>
  <c r="O238" i="11403"/>
  <c r="P238" i="11403"/>
  <c r="Q238" i="11403"/>
  <c r="R238" i="11403"/>
  <c r="S238" i="11403"/>
  <c r="T238" i="11403"/>
  <c r="U238" i="11403"/>
  <c r="W238" i="11403"/>
  <c r="X238" i="11403"/>
  <c r="Y238" i="11403"/>
  <c r="Z238" i="11403"/>
  <c r="AA238" i="11403"/>
  <c r="AB238" i="11403"/>
  <c r="AC238" i="11403"/>
  <c r="AD238" i="11403"/>
  <c r="AE238" i="11403"/>
  <c r="AF238" i="11403"/>
  <c r="AG238" i="11403"/>
  <c r="AH238" i="11403"/>
  <c r="AI238" i="11403"/>
  <c r="AJ238" i="11403"/>
  <c r="AK238" i="11403"/>
  <c r="AL238" i="11403"/>
  <c r="AN238" i="11403"/>
  <c r="AO238" i="11403"/>
  <c r="B239" i="11403"/>
  <c r="C239" i="11403"/>
  <c r="D239" i="11403"/>
  <c r="E239" i="11403"/>
  <c r="F239" i="11403"/>
  <c r="G239" i="11403"/>
  <c r="H239" i="11403"/>
  <c r="I239" i="11403"/>
  <c r="J239" i="11403"/>
  <c r="K239" i="11403"/>
  <c r="L239" i="11403"/>
  <c r="M239" i="11403"/>
  <c r="N239" i="11403"/>
  <c r="O239" i="11403"/>
  <c r="P239" i="11403"/>
  <c r="Q239" i="11403"/>
  <c r="R239" i="11403"/>
  <c r="S239" i="11403"/>
  <c r="T239" i="11403"/>
  <c r="U239" i="11403"/>
  <c r="W239" i="11403"/>
  <c r="X239" i="11403"/>
  <c r="Y239" i="11403"/>
  <c r="Z239" i="11403"/>
  <c r="AA239" i="11403"/>
  <c r="AB239" i="11403"/>
  <c r="AC239" i="11403"/>
  <c r="AD239" i="11403"/>
  <c r="AE239" i="11403"/>
  <c r="AF239" i="11403"/>
  <c r="AG239" i="11403"/>
  <c r="AH239" i="11403"/>
  <c r="AI239" i="11403"/>
  <c r="AJ239" i="11403"/>
  <c r="AK239" i="11403"/>
  <c r="AL239" i="11403"/>
  <c r="AN239" i="11403"/>
  <c r="AO239" i="11403"/>
  <c r="B240" i="11403"/>
  <c r="C240" i="11403"/>
  <c r="D240" i="11403"/>
  <c r="E240" i="11403"/>
  <c r="F240" i="11403"/>
  <c r="G240" i="11403"/>
  <c r="H240" i="11403"/>
  <c r="I240" i="11403"/>
  <c r="J240" i="11403"/>
  <c r="K240" i="11403"/>
  <c r="L240" i="11403"/>
  <c r="M240" i="11403"/>
  <c r="N240" i="11403"/>
  <c r="O240" i="11403"/>
  <c r="P240" i="11403"/>
  <c r="Q240" i="11403"/>
  <c r="R240" i="11403"/>
  <c r="S240" i="11403"/>
  <c r="T240" i="11403"/>
  <c r="U240" i="11403"/>
  <c r="W240" i="11403"/>
  <c r="X240" i="11403"/>
  <c r="Y240" i="11403"/>
  <c r="Z240" i="11403"/>
  <c r="AA240" i="11403"/>
  <c r="AB240" i="11403"/>
  <c r="AC240" i="11403"/>
  <c r="AD240" i="11403"/>
  <c r="AE240" i="11403"/>
  <c r="AF240" i="11403"/>
  <c r="AG240" i="11403"/>
  <c r="AH240" i="11403"/>
  <c r="AI240" i="11403"/>
  <c r="AJ240" i="11403"/>
  <c r="AK240" i="11403"/>
  <c r="AL240" i="11403"/>
  <c r="AN240" i="11403"/>
  <c r="AO240" i="11403"/>
  <c r="B241" i="11403"/>
  <c r="C241" i="11403"/>
  <c r="D241" i="11403"/>
  <c r="E241" i="11403"/>
  <c r="F241" i="11403"/>
  <c r="G241" i="11403"/>
  <c r="H241" i="11403"/>
  <c r="I241" i="11403"/>
  <c r="J241" i="11403"/>
  <c r="K241" i="11403"/>
  <c r="L241" i="11403"/>
  <c r="M241" i="11403"/>
  <c r="N241" i="11403"/>
  <c r="O241" i="11403"/>
  <c r="P241" i="11403"/>
  <c r="Q241" i="11403"/>
  <c r="R241" i="11403"/>
  <c r="S241" i="11403"/>
  <c r="T241" i="11403"/>
  <c r="U241" i="11403"/>
  <c r="W241" i="11403"/>
  <c r="X241" i="11403"/>
  <c r="Y241" i="11403"/>
  <c r="Z241" i="11403"/>
  <c r="AA241" i="11403"/>
  <c r="AB241" i="11403"/>
  <c r="AC241" i="11403"/>
  <c r="AD241" i="11403"/>
  <c r="AE241" i="11403"/>
  <c r="AF241" i="11403"/>
  <c r="AG241" i="11403"/>
  <c r="AH241" i="11403"/>
  <c r="AI241" i="11403"/>
  <c r="AJ241" i="11403"/>
  <c r="AK241" i="11403"/>
  <c r="AL241" i="11403"/>
  <c r="AN241" i="11403"/>
  <c r="AO241" i="11403"/>
  <c r="B242" i="11403"/>
  <c r="C242" i="11403"/>
  <c r="D242" i="11403"/>
  <c r="E242" i="11403"/>
  <c r="F242" i="11403"/>
  <c r="G242" i="11403"/>
  <c r="H242" i="11403"/>
  <c r="I242" i="11403"/>
  <c r="J242" i="11403"/>
  <c r="K242" i="11403"/>
  <c r="L242" i="11403"/>
  <c r="M242" i="11403"/>
  <c r="N242" i="11403"/>
  <c r="O242" i="11403"/>
  <c r="P242" i="11403"/>
  <c r="Q242" i="11403"/>
  <c r="R242" i="11403"/>
  <c r="S242" i="11403"/>
  <c r="T242" i="11403"/>
  <c r="U242" i="11403"/>
  <c r="W242" i="11403"/>
  <c r="X242" i="11403"/>
  <c r="Y242" i="11403"/>
  <c r="Z242" i="11403"/>
  <c r="AA242" i="11403"/>
  <c r="AB242" i="11403"/>
  <c r="AC242" i="11403"/>
  <c r="AD242" i="11403"/>
  <c r="AE242" i="11403"/>
  <c r="AF242" i="11403"/>
  <c r="AG242" i="11403"/>
  <c r="AH242" i="11403"/>
  <c r="AI242" i="11403"/>
  <c r="AJ242" i="11403"/>
  <c r="AK242" i="11403"/>
  <c r="AL242" i="11403"/>
  <c r="AN242" i="11403"/>
  <c r="AO242" i="11403"/>
  <c r="B243" i="11403"/>
  <c r="C243" i="11403"/>
  <c r="D243" i="11403"/>
  <c r="E243" i="11403"/>
  <c r="F243" i="11403"/>
  <c r="G243" i="11403"/>
  <c r="H243" i="11403"/>
  <c r="I243" i="11403"/>
  <c r="J243" i="11403"/>
  <c r="K243" i="11403"/>
  <c r="L243" i="11403"/>
  <c r="M243" i="11403"/>
  <c r="N243" i="11403"/>
  <c r="O243" i="11403"/>
  <c r="P243" i="11403"/>
  <c r="Q243" i="11403"/>
  <c r="R243" i="11403"/>
  <c r="S243" i="11403"/>
  <c r="T243" i="11403"/>
  <c r="U243" i="11403"/>
  <c r="W243" i="11403"/>
  <c r="X243" i="11403"/>
  <c r="Y243" i="11403"/>
  <c r="Z243" i="11403"/>
  <c r="AA243" i="11403"/>
  <c r="AB243" i="11403"/>
  <c r="AC243" i="11403"/>
  <c r="AD243" i="11403"/>
  <c r="AE243" i="11403"/>
  <c r="AF243" i="11403"/>
  <c r="AG243" i="11403"/>
  <c r="AH243" i="11403"/>
  <c r="AI243" i="11403"/>
  <c r="AJ243" i="11403"/>
  <c r="AK243" i="11403"/>
  <c r="AL243" i="11403"/>
  <c r="AN243" i="11403"/>
  <c r="AO243" i="11403"/>
  <c r="B244" i="11403"/>
  <c r="C244" i="11403"/>
  <c r="D244" i="11403"/>
  <c r="E244" i="11403"/>
  <c r="F244" i="11403"/>
  <c r="G244" i="11403"/>
  <c r="H244" i="11403"/>
  <c r="I244" i="11403"/>
  <c r="J244" i="11403"/>
  <c r="K244" i="11403"/>
  <c r="L244" i="11403"/>
  <c r="M244" i="11403"/>
  <c r="N244" i="11403"/>
  <c r="O244" i="11403"/>
  <c r="P244" i="11403"/>
  <c r="Q244" i="11403"/>
  <c r="R244" i="11403"/>
  <c r="S244" i="11403"/>
  <c r="T244" i="11403"/>
  <c r="U244" i="11403"/>
  <c r="W244" i="11403"/>
  <c r="X244" i="11403"/>
  <c r="Y244" i="11403"/>
  <c r="Z244" i="11403"/>
  <c r="AA244" i="11403"/>
  <c r="AB244" i="11403"/>
  <c r="AC244" i="11403"/>
  <c r="AD244" i="11403"/>
  <c r="AE244" i="11403"/>
  <c r="AF244" i="11403"/>
  <c r="AG244" i="11403"/>
  <c r="AH244" i="11403"/>
  <c r="AI244" i="11403"/>
  <c r="AJ244" i="11403"/>
  <c r="AK244" i="11403"/>
  <c r="AL244" i="11403"/>
  <c r="AN244" i="11403"/>
  <c r="AO244" i="11403"/>
  <c r="B245" i="11403"/>
  <c r="C245" i="11403"/>
  <c r="D245" i="11403"/>
  <c r="E245" i="11403"/>
  <c r="F245" i="11403"/>
  <c r="G245" i="11403"/>
  <c r="H245" i="11403"/>
  <c r="I245" i="11403"/>
  <c r="J245" i="11403"/>
  <c r="K245" i="11403"/>
  <c r="L245" i="11403"/>
  <c r="M245" i="11403"/>
  <c r="N245" i="11403"/>
  <c r="O245" i="11403"/>
  <c r="P245" i="11403"/>
  <c r="Q245" i="11403"/>
  <c r="R245" i="11403"/>
  <c r="S245" i="11403"/>
  <c r="T245" i="11403"/>
  <c r="U245" i="11403"/>
  <c r="W245" i="11403"/>
  <c r="X245" i="11403"/>
  <c r="Y245" i="11403"/>
  <c r="Z245" i="11403"/>
  <c r="AA245" i="11403"/>
  <c r="AB245" i="11403"/>
  <c r="AC245" i="11403"/>
  <c r="AD245" i="11403"/>
  <c r="AE245" i="11403"/>
  <c r="AF245" i="11403"/>
  <c r="AG245" i="11403"/>
  <c r="AH245" i="11403"/>
  <c r="AI245" i="11403"/>
  <c r="AJ245" i="11403"/>
  <c r="AK245" i="11403"/>
  <c r="AL245" i="11403"/>
  <c r="AN245" i="11403"/>
  <c r="AO245" i="11403"/>
  <c r="B246" i="11403"/>
  <c r="C246" i="11403"/>
  <c r="D246" i="11403"/>
  <c r="E246" i="11403"/>
  <c r="F246" i="11403"/>
  <c r="G246" i="11403"/>
  <c r="H246" i="11403"/>
  <c r="I246" i="11403"/>
  <c r="J246" i="11403"/>
  <c r="K246" i="11403"/>
  <c r="L246" i="11403"/>
  <c r="M246" i="11403"/>
  <c r="N246" i="11403"/>
  <c r="O246" i="11403"/>
  <c r="P246" i="11403"/>
  <c r="Q246" i="11403"/>
  <c r="R246" i="11403"/>
  <c r="S246" i="11403"/>
  <c r="T246" i="11403"/>
  <c r="U246" i="11403"/>
  <c r="W246" i="11403"/>
  <c r="X246" i="11403"/>
  <c r="Y246" i="11403"/>
  <c r="Z246" i="11403"/>
  <c r="AA246" i="11403"/>
  <c r="AB246" i="11403"/>
  <c r="AC246" i="11403"/>
  <c r="AD246" i="11403"/>
  <c r="AE246" i="11403"/>
  <c r="AF246" i="11403"/>
  <c r="AG246" i="11403"/>
  <c r="AH246" i="11403"/>
  <c r="AI246" i="11403"/>
  <c r="AJ246" i="11403"/>
  <c r="AK246" i="11403"/>
  <c r="AL246" i="11403"/>
  <c r="AN246" i="11403"/>
  <c r="AO246" i="11403"/>
  <c r="B247" i="11403"/>
  <c r="C247" i="11403"/>
  <c r="D247" i="11403"/>
  <c r="E247" i="11403"/>
  <c r="F247" i="11403"/>
  <c r="G247" i="11403"/>
  <c r="H247" i="11403"/>
  <c r="I247" i="11403"/>
  <c r="J247" i="11403"/>
  <c r="K247" i="11403"/>
  <c r="L247" i="11403"/>
  <c r="M247" i="11403"/>
  <c r="N247" i="11403"/>
  <c r="O247" i="11403"/>
  <c r="P247" i="11403"/>
  <c r="Q247" i="11403"/>
  <c r="R247" i="11403"/>
  <c r="S247" i="11403"/>
  <c r="T247" i="11403"/>
  <c r="U247" i="11403"/>
  <c r="W247" i="11403"/>
  <c r="X247" i="11403"/>
  <c r="Y247" i="11403"/>
  <c r="Z247" i="11403"/>
  <c r="AA247" i="11403"/>
  <c r="AB247" i="11403"/>
  <c r="AC247" i="11403"/>
  <c r="AD247" i="11403"/>
  <c r="AE247" i="11403"/>
  <c r="AF247" i="11403"/>
  <c r="AG247" i="11403"/>
  <c r="AH247" i="11403"/>
  <c r="AI247" i="11403"/>
  <c r="AJ247" i="11403"/>
  <c r="AK247" i="11403"/>
  <c r="AL247" i="11403"/>
  <c r="AN247" i="11403"/>
  <c r="AO247" i="11403"/>
  <c r="B248" i="11403"/>
  <c r="C248" i="11403"/>
  <c r="D248" i="11403"/>
  <c r="E248" i="11403"/>
  <c r="F248" i="11403"/>
  <c r="G248" i="11403"/>
  <c r="H248" i="11403"/>
  <c r="I248" i="11403"/>
  <c r="J248" i="11403"/>
  <c r="K248" i="11403"/>
  <c r="L248" i="11403"/>
  <c r="M248" i="11403"/>
  <c r="N248" i="11403"/>
  <c r="O248" i="11403"/>
  <c r="P248" i="11403"/>
  <c r="Q248" i="11403"/>
  <c r="R248" i="11403"/>
  <c r="S248" i="11403"/>
  <c r="T248" i="11403"/>
  <c r="U248" i="11403"/>
  <c r="W248" i="11403"/>
  <c r="X248" i="11403"/>
  <c r="Y248" i="11403"/>
  <c r="Z248" i="11403"/>
  <c r="AA248" i="11403"/>
  <c r="AB248" i="11403"/>
  <c r="AC248" i="11403"/>
  <c r="AD248" i="11403"/>
  <c r="AE248" i="11403"/>
  <c r="AF248" i="11403"/>
  <c r="AG248" i="11403"/>
  <c r="AH248" i="11403"/>
  <c r="AI248" i="11403"/>
  <c r="AJ248" i="11403"/>
  <c r="AK248" i="11403"/>
  <c r="AL248" i="11403"/>
  <c r="AN248" i="11403"/>
  <c r="AO248" i="11403"/>
  <c r="B249" i="11403"/>
  <c r="C249" i="11403"/>
  <c r="D249" i="11403"/>
  <c r="E249" i="11403"/>
  <c r="F249" i="11403"/>
  <c r="G249" i="11403"/>
  <c r="H249" i="11403"/>
  <c r="I249" i="11403"/>
  <c r="J249" i="11403"/>
  <c r="K249" i="11403"/>
  <c r="L249" i="11403"/>
  <c r="M249" i="11403"/>
  <c r="N249" i="11403"/>
  <c r="O249" i="11403"/>
  <c r="P249" i="11403"/>
  <c r="Q249" i="11403"/>
  <c r="R249" i="11403"/>
  <c r="S249" i="11403"/>
  <c r="T249" i="11403"/>
  <c r="U249" i="11403"/>
  <c r="W249" i="11403"/>
  <c r="X249" i="11403"/>
  <c r="Y249" i="11403"/>
  <c r="Z249" i="11403"/>
  <c r="AA249" i="11403"/>
  <c r="AB249" i="11403"/>
  <c r="AC249" i="11403"/>
  <c r="AD249" i="11403"/>
  <c r="AE249" i="11403"/>
  <c r="AF249" i="11403"/>
  <c r="AG249" i="11403"/>
  <c r="AH249" i="11403"/>
  <c r="AI249" i="11403"/>
  <c r="AJ249" i="11403"/>
  <c r="AK249" i="11403"/>
  <c r="AL249" i="11403"/>
  <c r="AN249" i="11403"/>
  <c r="AO249" i="11403"/>
  <c r="B250" i="11403"/>
  <c r="C250" i="11403"/>
  <c r="D250" i="11403"/>
  <c r="E250" i="11403"/>
  <c r="F250" i="11403"/>
  <c r="G250" i="11403"/>
  <c r="H250" i="11403"/>
  <c r="I250" i="11403"/>
  <c r="J250" i="11403"/>
  <c r="K250" i="11403"/>
  <c r="L250" i="11403"/>
  <c r="M250" i="11403"/>
  <c r="N250" i="11403"/>
  <c r="O250" i="11403"/>
  <c r="P250" i="11403"/>
  <c r="Q250" i="11403"/>
  <c r="R250" i="11403"/>
  <c r="S250" i="11403"/>
  <c r="T250" i="11403"/>
  <c r="U250" i="11403"/>
  <c r="W250" i="11403"/>
  <c r="X250" i="11403"/>
  <c r="Y250" i="11403"/>
  <c r="Z250" i="11403"/>
  <c r="AA250" i="11403"/>
  <c r="AB250" i="11403"/>
  <c r="AC250" i="11403"/>
  <c r="AD250" i="11403"/>
  <c r="AE250" i="11403"/>
  <c r="AF250" i="11403"/>
  <c r="AG250" i="11403"/>
  <c r="AH250" i="11403"/>
  <c r="AI250" i="11403"/>
  <c r="AJ250" i="11403"/>
  <c r="AK250" i="11403"/>
  <c r="AL250" i="11403"/>
  <c r="AN250" i="11403"/>
  <c r="AO250" i="11403"/>
  <c r="B251" i="11403"/>
  <c r="C251" i="11403"/>
  <c r="D251" i="11403"/>
  <c r="E251" i="11403"/>
  <c r="F251" i="11403"/>
  <c r="G251" i="11403"/>
  <c r="H251" i="11403"/>
  <c r="I251" i="11403"/>
  <c r="J251" i="11403"/>
  <c r="K251" i="11403"/>
  <c r="L251" i="11403"/>
  <c r="M251" i="11403"/>
  <c r="N251" i="11403"/>
  <c r="O251" i="11403"/>
  <c r="P251" i="11403"/>
  <c r="Q251" i="11403"/>
  <c r="R251" i="11403"/>
  <c r="S251" i="11403"/>
  <c r="T251" i="11403"/>
  <c r="U251" i="11403"/>
  <c r="W251" i="11403"/>
  <c r="X251" i="11403"/>
  <c r="Y251" i="11403"/>
  <c r="Z251" i="11403"/>
  <c r="AA251" i="11403"/>
  <c r="AB251" i="11403"/>
  <c r="AC251" i="11403"/>
  <c r="AD251" i="11403"/>
  <c r="AE251" i="11403"/>
  <c r="AF251" i="11403"/>
  <c r="AG251" i="11403"/>
  <c r="AH251" i="11403"/>
  <c r="AI251" i="11403"/>
  <c r="AJ251" i="11403"/>
  <c r="AK251" i="11403"/>
  <c r="AL251" i="11403"/>
  <c r="AN251" i="11403"/>
  <c r="AO251" i="11403"/>
  <c r="B252" i="11403"/>
  <c r="C252" i="11403"/>
  <c r="D252" i="11403"/>
  <c r="E252" i="11403"/>
  <c r="F252" i="11403"/>
  <c r="G252" i="11403"/>
  <c r="H252" i="11403"/>
  <c r="I252" i="11403"/>
  <c r="J252" i="11403"/>
  <c r="K252" i="11403"/>
  <c r="L252" i="11403"/>
  <c r="M252" i="11403"/>
  <c r="N252" i="11403"/>
  <c r="O252" i="11403"/>
  <c r="P252" i="11403"/>
  <c r="Q252" i="11403"/>
  <c r="R252" i="11403"/>
  <c r="S252" i="11403"/>
  <c r="T252" i="11403"/>
  <c r="U252" i="11403"/>
  <c r="W252" i="11403"/>
  <c r="X252" i="11403"/>
  <c r="Y252" i="11403"/>
  <c r="Z252" i="11403"/>
  <c r="AA252" i="11403"/>
  <c r="AB252" i="11403"/>
  <c r="AC252" i="11403"/>
  <c r="AD252" i="11403"/>
  <c r="AE252" i="11403"/>
  <c r="AF252" i="11403"/>
  <c r="AG252" i="11403"/>
  <c r="AH252" i="11403"/>
  <c r="AI252" i="11403"/>
  <c r="AJ252" i="11403"/>
  <c r="AK252" i="11403"/>
  <c r="AL252" i="11403"/>
  <c r="AN252" i="11403"/>
  <c r="AO252" i="11403"/>
  <c r="B253" i="11403"/>
  <c r="C253" i="11403"/>
  <c r="D253" i="11403"/>
  <c r="E253" i="11403"/>
  <c r="F253" i="11403"/>
  <c r="G253" i="11403"/>
  <c r="H253" i="11403"/>
  <c r="I253" i="11403"/>
  <c r="J253" i="11403"/>
  <c r="K253" i="11403"/>
  <c r="L253" i="11403"/>
  <c r="M253" i="11403"/>
  <c r="N253" i="11403"/>
  <c r="O253" i="11403"/>
  <c r="P253" i="11403"/>
  <c r="Q253" i="11403"/>
  <c r="R253" i="11403"/>
  <c r="S253" i="11403"/>
  <c r="T253" i="11403"/>
  <c r="U253" i="11403"/>
  <c r="W253" i="11403"/>
  <c r="X253" i="11403"/>
  <c r="Y253" i="11403"/>
  <c r="Z253" i="11403"/>
  <c r="AA253" i="11403"/>
  <c r="AB253" i="11403"/>
  <c r="AC253" i="11403"/>
  <c r="AD253" i="11403"/>
  <c r="AE253" i="11403"/>
  <c r="AF253" i="11403"/>
  <c r="AG253" i="11403"/>
  <c r="AH253" i="11403"/>
  <c r="AI253" i="11403"/>
  <c r="AJ253" i="11403"/>
  <c r="AK253" i="11403"/>
  <c r="AL253" i="11403"/>
  <c r="AN253" i="11403"/>
  <c r="AO253" i="11403"/>
  <c r="B254" i="11403"/>
  <c r="C254" i="11403"/>
  <c r="D254" i="11403"/>
  <c r="E254" i="11403"/>
  <c r="F254" i="11403"/>
  <c r="G254" i="11403"/>
  <c r="H254" i="11403"/>
  <c r="I254" i="11403"/>
  <c r="J254" i="11403"/>
  <c r="K254" i="11403"/>
  <c r="L254" i="11403"/>
  <c r="M254" i="11403"/>
  <c r="N254" i="11403"/>
  <c r="O254" i="11403"/>
  <c r="P254" i="11403"/>
  <c r="Q254" i="11403"/>
  <c r="R254" i="11403"/>
  <c r="S254" i="11403"/>
  <c r="T254" i="11403"/>
  <c r="U254" i="11403"/>
  <c r="W254" i="11403"/>
  <c r="X254" i="11403"/>
  <c r="Y254" i="11403"/>
  <c r="Z254" i="11403"/>
  <c r="AA254" i="11403"/>
  <c r="AB254" i="11403"/>
  <c r="AC254" i="11403"/>
  <c r="AD254" i="11403"/>
  <c r="AE254" i="11403"/>
  <c r="AF254" i="11403"/>
  <c r="AG254" i="11403"/>
  <c r="AH254" i="11403"/>
  <c r="AI254" i="11403"/>
  <c r="AJ254" i="11403"/>
  <c r="AK254" i="11403"/>
  <c r="AL254" i="11403"/>
  <c r="AN254" i="11403"/>
  <c r="AO254" i="11403"/>
  <c r="B255" i="11403"/>
  <c r="C255" i="11403"/>
  <c r="D255" i="11403"/>
  <c r="E255" i="11403"/>
  <c r="F255" i="11403"/>
  <c r="G255" i="11403"/>
  <c r="H255" i="11403"/>
  <c r="I255" i="11403"/>
  <c r="J255" i="11403"/>
  <c r="K255" i="11403"/>
  <c r="L255" i="11403"/>
  <c r="M255" i="11403"/>
  <c r="N255" i="11403"/>
  <c r="O255" i="11403"/>
  <c r="P255" i="11403"/>
  <c r="Q255" i="11403"/>
  <c r="R255" i="11403"/>
  <c r="S255" i="11403"/>
  <c r="T255" i="11403"/>
  <c r="U255" i="11403"/>
  <c r="W255" i="11403"/>
  <c r="X255" i="11403"/>
  <c r="Y255" i="11403"/>
  <c r="Z255" i="11403"/>
  <c r="AA255" i="11403"/>
  <c r="AB255" i="11403"/>
  <c r="AC255" i="11403"/>
  <c r="AD255" i="11403"/>
  <c r="AE255" i="11403"/>
  <c r="AF255" i="11403"/>
  <c r="AG255" i="11403"/>
  <c r="AH255" i="11403"/>
  <c r="AI255" i="11403"/>
  <c r="AJ255" i="11403"/>
  <c r="AK255" i="11403"/>
  <c r="AL255" i="11403"/>
  <c r="AN255" i="11403"/>
  <c r="AO255" i="11403"/>
  <c r="B256" i="11403"/>
  <c r="C256" i="11403"/>
  <c r="D256" i="11403"/>
  <c r="E256" i="11403"/>
  <c r="F256" i="11403"/>
  <c r="G256" i="11403"/>
  <c r="H256" i="11403"/>
  <c r="I256" i="11403"/>
  <c r="J256" i="11403"/>
  <c r="K256" i="11403"/>
  <c r="L256" i="11403"/>
  <c r="M256" i="11403"/>
  <c r="N256" i="11403"/>
  <c r="O256" i="11403"/>
  <c r="P256" i="11403"/>
  <c r="Q256" i="11403"/>
  <c r="R256" i="11403"/>
  <c r="S256" i="11403"/>
  <c r="T256" i="11403"/>
  <c r="U256" i="11403"/>
  <c r="W256" i="11403"/>
  <c r="X256" i="11403"/>
  <c r="Y256" i="11403"/>
  <c r="Z256" i="11403"/>
  <c r="AA256" i="11403"/>
  <c r="AB256" i="11403"/>
  <c r="AC256" i="11403"/>
  <c r="AD256" i="11403"/>
  <c r="AE256" i="11403"/>
  <c r="AF256" i="11403"/>
  <c r="AG256" i="11403"/>
  <c r="AH256" i="11403"/>
  <c r="AI256" i="11403"/>
  <c r="AJ256" i="11403"/>
  <c r="AK256" i="11403"/>
  <c r="AL256" i="11403"/>
  <c r="AN256" i="11403"/>
  <c r="AO256" i="11403"/>
  <c r="B257" i="11403"/>
  <c r="C257" i="11403"/>
  <c r="D257" i="11403"/>
  <c r="E257" i="11403"/>
  <c r="F257" i="11403"/>
  <c r="G257" i="11403"/>
  <c r="H257" i="11403"/>
  <c r="I257" i="11403"/>
  <c r="J257" i="11403"/>
  <c r="K257" i="11403"/>
  <c r="L257" i="11403"/>
  <c r="M257" i="11403"/>
  <c r="N257" i="11403"/>
  <c r="O257" i="11403"/>
  <c r="P257" i="11403"/>
  <c r="Q257" i="11403"/>
  <c r="R257" i="11403"/>
  <c r="S257" i="11403"/>
  <c r="T257" i="11403"/>
  <c r="U257" i="11403"/>
  <c r="W257" i="11403"/>
  <c r="X257" i="11403"/>
  <c r="Y257" i="11403"/>
  <c r="Z257" i="11403"/>
  <c r="AA257" i="11403"/>
  <c r="AB257" i="11403"/>
  <c r="AC257" i="11403"/>
  <c r="AD257" i="11403"/>
  <c r="AE257" i="11403"/>
  <c r="AF257" i="11403"/>
  <c r="AG257" i="11403"/>
  <c r="AH257" i="11403"/>
  <c r="AI257" i="11403"/>
  <c r="AJ257" i="11403"/>
  <c r="AK257" i="11403"/>
  <c r="AL257" i="11403"/>
  <c r="AN257" i="11403"/>
  <c r="AO257" i="11403"/>
  <c r="B258" i="11403"/>
  <c r="C258" i="11403"/>
  <c r="D258" i="11403"/>
  <c r="E258" i="11403"/>
  <c r="F258" i="11403"/>
  <c r="G258" i="11403"/>
  <c r="H258" i="11403"/>
  <c r="I258" i="11403"/>
  <c r="J258" i="11403"/>
  <c r="K258" i="11403"/>
  <c r="L258" i="11403"/>
  <c r="M258" i="11403"/>
  <c r="N258" i="11403"/>
  <c r="O258" i="11403"/>
  <c r="P258" i="11403"/>
  <c r="Q258" i="11403"/>
  <c r="R258" i="11403"/>
  <c r="S258" i="11403"/>
  <c r="T258" i="11403"/>
  <c r="U258" i="11403"/>
  <c r="W258" i="11403"/>
  <c r="X258" i="11403"/>
  <c r="Y258" i="11403"/>
  <c r="Z258" i="11403"/>
  <c r="AA258" i="11403"/>
  <c r="AB258" i="11403"/>
  <c r="AC258" i="11403"/>
  <c r="AD258" i="11403"/>
  <c r="AE258" i="11403"/>
  <c r="AF258" i="11403"/>
  <c r="AG258" i="11403"/>
  <c r="AH258" i="11403"/>
  <c r="AI258" i="11403"/>
  <c r="AJ258" i="11403"/>
  <c r="AK258" i="11403"/>
  <c r="AL258" i="11403"/>
  <c r="AN258" i="11403"/>
  <c r="AO258" i="11403"/>
  <c r="B259" i="11403"/>
  <c r="C259" i="11403"/>
  <c r="D259" i="11403"/>
  <c r="E259" i="11403"/>
  <c r="F259" i="11403"/>
  <c r="G259" i="11403"/>
  <c r="H259" i="11403"/>
  <c r="I259" i="11403"/>
  <c r="J259" i="11403"/>
  <c r="K259" i="11403"/>
  <c r="L259" i="11403"/>
  <c r="M259" i="11403"/>
  <c r="N259" i="11403"/>
  <c r="O259" i="11403"/>
  <c r="P259" i="11403"/>
  <c r="Q259" i="11403"/>
  <c r="R259" i="11403"/>
  <c r="S259" i="11403"/>
  <c r="T259" i="11403"/>
  <c r="U259" i="11403"/>
  <c r="W259" i="11403"/>
  <c r="X259" i="11403"/>
  <c r="Y259" i="11403"/>
  <c r="Z259" i="11403"/>
  <c r="AA259" i="11403"/>
  <c r="AB259" i="11403"/>
  <c r="AC259" i="11403"/>
  <c r="AD259" i="11403"/>
  <c r="AE259" i="11403"/>
  <c r="AF259" i="11403"/>
  <c r="AG259" i="11403"/>
  <c r="AH259" i="11403"/>
  <c r="AI259" i="11403"/>
  <c r="AJ259" i="11403"/>
  <c r="AK259" i="11403"/>
  <c r="AL259" i="11403"/>
  <c r="AN259" i="11403"/>
  <c r="AO259" i="11403"/>
  <c r="B260" i="11403"/>
  <c r="C260" i="11403"/>
  <c r="D260" i="11403"/>
  <c r="E260" i="11403"/>
  <c r="F260" i="11403"/>
  <c r="G260" i="11403"/>
  <c r="H260" i="11403"/>
  <c r="I260" i="11403"/>
  <c r="J260" i="11403"/>
  <c r="K260" i="11403"/>
  <c r="L260" i="11403"/>
  <c r="M260" i="11403"/>
  <c r="N260" i="11403"/>
  <c r="O260" i="11403"/>
  <c r="P260" i="11403"/>
  <c r="Q260" i="11403"/>
  <c r="R260" i="11403"/>
  <c r="S260" i="11403"/>
  <c r="T260" i="11403"/>
  <c r="U260" i="11403"/>
  <c r="W260" i="11403"/>
  <c r="X260" i="11403"/>
  <c r="Y260" i="11403"/>
  <c r="Z260" i="11403"/>
  <c r="AA260" i="11403"/>
  <c r="AB260" i="11403"/>
  <c r="AC260" i="11403"/>
  <c r="AD260" i="11403"/>
  <c r="AE260" i="11403"/>
  <c r="AF260" i="11403"/>
  <c r="AG260" i="11403"/>
  <c r="AH260" i="11403"/>
  <c r="AI260" i="11403"/>
  <c r="AJ260" i="11403"/>
  <c r="AK260" i="11403"/>
  <c r="AL260" i="11403"/>
  <c r="AN260" i="11403"/>
  <c r="AO260" i="11403"/>
  <c r="B261" i="11403"/>
  <c r="C261" i="11403"/>
  <c r="D261" i="11403"/>
  <c r="E261" i="11403"/>
  <c r="F261" i="11403"/>
  <c r="G261" i="11403"/>
  <c r="H261" i="11403"/>
  <c r="I261" i="11403"/>
  <c r="J261" i="11403"/>
  <c r="K261" i="11403"/>
  <c r="L261" i="11403"/>
  <c r="M261" i="11403"/>
  <c r="N261" i="11403"/>
  <c r="O261" i="11403"/>
  <c r="P261" i="11403"/>
  <c r="Q261" i="11403"/>
  <c r="R261" i="11403"/>
  <c r="S261" i="11403"/>
  <c r="T261" i="11403"/>
  <c r="U261" i="11403"/>
  <c r="W261" i="11403"/>
  <c r="X261" i="11403"/>
  <c r="Y261" i="11403"/>
  <c r="Z261" i="11403"/>
  <c r="AA261" i="11403"/>
  <c r="AB261" i="11403"/>
  <c r="AC261" i="11403"/>
  <c r="AD261" i="11403"/>
  <c r="AE261" i="11403"/>
  <c r="AF261" i="11403"/>
  <c r="AG261" i="11403"/>
  <c r="AH261" i="11403"/>
  <c r="AI261" i="11403"/>
  <c r="AJ261" i="11403"/>
  <c r="AK261" i="11403"/>
  <c r="AL261" i="11403"/>
  <c r="AN261" i="11403"/>
  <c r="AO261" i="11403"/>
  <c r="B262" i="11403"/>
  <c r="C262" i="11403"/>
  <c r="D262" i="11403"/>
  <c r="E262" i="11403"/>
  <c r="F262" i="11403"/>
  <c r="G262" i="11403"/>
  <c r="H262" i="11403"/>
  <c r="I262" i="11403"/>
  <c r="J262" i="11403"/>
  <c r="K262" i="11403"/>
  <c r="L262" i="11403"/>
  <c r="M262" i="11403"/>
  <c r="N262" i="11403"/>
  <c r="O262" i="11403"/>
  <c r="P262" i="11403"/>
  <c r="Q262" i="11403"/>
  <c r="R262" i="11403"/>
  <c r="S262" i="11403"/>
  <c r="T262" i="11403"/>
  <c r="U262" i="11403"/>
  <c r="W262" i="11403"/>
  <c r="X262" i="11403"/>
  <c r="Y262" i="11403"/>
  <c r="Z262" i="11403"/>
  <c r="AA262" i="11403"/>
  <c r="AB262" i="11403"/>
  <c r="AC262" i="11403"/>
  <c r="AD262" i="11403"/>
  <c r="AE262" i="11403"/>
  <c r="AF262" i="11403"/>
  <c r="AG262" i="11403"/>
  <c r="AH262" i="11403"/>
  <c r="AI262" i="11403"/>
  <c r="AJ262" i="11403"/>
  <c r="AK262" i="11403"/>
  <c r="AL262" i="11403"/>
  <c r="AN262" i="11403"/>
  <c r="AO262" i="11403"/>
  <c r="B263" i="11403"/>
  <c r="C263" i="11403"/>
  <c r="D263" i="11403"/>
  <c r="E263" i="11403"/>
  <c r="F263" i="11403"/>
  <c r="G263" i="11403"/>
  <c r="H263" i="11403"/>
  <c r="I263" i="11403"/>
  <c r="J263" i="11403"/>
  <c r="K263" i="11403"/>
  <c r="L263" i="11403"/>
  <c r="M263" i="11403"/>
  <c r="N263" i="11403"/>
  <c r="O263" i="11403"/>
  <c r="P263" i="11403"/>
  <c r="Q263" i="11403"/>
  <c r="R263" i="11403"/>
  <c r="S263" i="11403"/>
  <c r="T263" i="11403"/>
  <c r="U263" i="11403"/>
  <c r="W263" i="11403"/>
  <c r="X263" i="11403"/>
  <c r="Y263" i="11403"/>
  <c r="Z263" i="11403"/>
  <c r="AA263" i="11403"/>
  <c r="AB263" i="11403"/>
  <c r="AC263" i="11403"/>
  <c r="AD263" i="11403"/>
  <c r="AE263" i="11403"/>
  <c r="AF263" i="11403"/>
  <c r="AG263" i="11403"/>
  <c r="AH263" i="11403"/>
  <c r="AI263" i="11403"/>
  <c r="AJ263" i="11403"/>
  <c r="AK263" i="11403"/>
  <c r="AL263" i="11403"/>
  <c r="AN263" i="11403"/>
  <c r="AO263" i="11403"/>
  <c r="B264" i="11403"/>
  <c r="C264" i="11403"/>
  <c r="D264" i="11403"/>
  <c r="E264" i="11403"/>
  <c r="F264" i="11403"/>
  <c r="G264" i="11403"/>
  <c r="H264" i="11403"/>
  <c r="I264" i="11403"/>
  <c r="J264" i="11403"/>
  <c r="K264" i="11403"/>
  <c r="L264" i="11403"/>
  <c r="M264" i="11403"/>
  <c r="N264" i="11403"/>
  <c r="O264" i="11403"/>
  <c r="P264" i="11403"/>
  <c r="Q264" i="11403"/>
  <c r="R264" i="11403"/>
  <c r="S264" i="11403"/>
  <c r="T264" i="11403"/>
  <c r="U264" i="11403"/>
  <c r="W264" i="11403"/>
  <c r="X264" i="11403"/>
  <c r="Y264" i="11403"/>
  <c r="Z264" i="11403"/>
  <c r="AA264" i="11403"/>
  <c r="AB264" i="11403"/>
  <c r="AC264" i="11403"/>
  <c r="AD264" i="11403"/>
  <c r="AE264" i="11403"/>
  <c r="AF264" i="11403"/>
  <c r="AG264" i="11403"/>
  <c r="AH264" i="11403"/>
  <c r="AI264" i="11403"/>
  <c r="AJ264" i="11403"/>
  <c r="AK264" i="11403"/>
  <c r="AL264" i="11403"/>
  <c r="AN264" i="11403"/>
  <c r="AO264" i="11403"/>
  <c r="B265" i="11403"/>
  <c r="C265" i="11403"/>
  <c r="D265" i="11403"/>
  <c r="E265" i="11403"/>
  <c r="F265" i="11403"/>
  <c r="G265" i="11403"/>
  <c r="H265" i="11403"/>
  <c r="I265" i="11403"/>
  <c r="J265" i="11403"/>
  <c r="K265" i="11403"/>
  <c r="L265" i="11403"/>
  <c r="M265" i="11403"/>
  <c r="N265" i="11403"/>
  <c r="O265" i="11403"/>
  <c r="P265" i="11403"/>
  <c r="Q265" i="11403"/>
  <c r="R265" i="11403"/>
  <c r="S265" i="11403"/>
  <c r="T265" i="11403"/>
  <c r="U265" i="11403"/>
  <c r="W265" i="11403"/>
  <c r="X265" i="11403"/>
  <c r="Y265" i="11403"/>
  <c r="Z265" i="11403"/>
  <c r="AA265" i="11403"/>
  <c r="AB265" i="11403"/>
  <c r="AC265" i="11403"/>
  <c r="AD265" i="11403"/>
  <c r="AE265" i="11403"/>
  <c r="AF265" i="11403"/>
  <c r="AG265" i="11403"/>
  <c r="AH265" i="11403"/>
  <c r="AI265" i="11403"/>
  <c r="AJ265" i="11403"/>
  <c r="AK265" i="11403"/>
  <c r="AL265" i="11403"/>
  <c r="AN265" i="11403"/>
  <c r="AO265" i="11403"/>
  <c r="B266" i="11403"/>
  <c r="C266" i="11403"/>
  <c r="D266" i="11403"/>
  <c r="E266" i="11403"/>
  <c r="F266" i="11403"/>
  <c r="G266" i="11403"/>
  <c r="H266" i="11403"/>
  <c r="I266" i="11403"/>
  <c r="J266" i="11403"/>
  <c r="K266" i="11403"/>
  <c r="L266" i="11403"/>
  <c r="M266" i="11403"/>
  <c r="N266" i="11403"/>
  <c r="O266" i="11403"/>
  <c r="P266" i="11403"/>
  <c r="Q266" i="11403"/>
  <c r="R266" i="11403"/>
  <c r="S266" i="11403"/>
  <c r="T266" i="11403"/>
  <c r="U266" i="11403"/>
  <c r="W266" i="11403"/>
  <c r="X266" i="11403"/>
  <c r="Y266" i="11403"/>
  <c r="Z266" i="11403"/>
  <c r="AA266" i="11403"/>
  <c r="AB266" i="11403"/>
  <c r="AC266" i="11403"/>
  <c r="AD266" i="11403"/>
  <c r="AE266" i="11403"/>
  <c r="AF266" i="11403"/>
  <c r="AG266" i="11403"/>
  <c r="AH266" i="11403"/>
  <c r="AI266" i="11403"/>
  <c r="AJ266" i="11403"/>
  <c r="AK266" i="11403"/>
  <c r="AL266" i="11403"/>
  <c r="AN266" i="11403"/>
  <c r="AO266" i="11403"/>
  <c r="B267" i="11403"/>
  <c r="C267" i="11403"/>
  <c r="D267" i="11403"/>
  <c r="E267" i="11403"/>
  <c r="F267" i="11403"/>
  <c r="G267" i="11403"/>
  <c r="H267" i="11403"/>
  <c r="I267" i="11403"/>
  <c r="J267" i="11403"/>
  <c r="K267" i="11403"/>
  <c r="L267" i="11403"/>
  <c r="M267" i="11403"/>
  <c r="N267" i="11403"/>
  <c r="O267" i="11403"/>
  <c r="P267" i="11403"/>
  <c r="Q267" i="11403"/>
  <c r="R267" i="11403"/>
  <c r="S267" i="11403"/>
  <c r="T267" i="11403"/>
  <c r="U267" i="11403"/>
  <c r="W267" i="11403"/>
  <c r="X267" i="11403"/>
  <c r="Y267" i="11403"/>
  <c r="Z267" i="11403"/>
  <c r="AA267" i="11403"/>
  <c r="AB267" i="11403"/>
  <c r="AC267" i="11403"/>
  <c r="AD267" i="11403"/>
  <c r="AE267" i="11403"/>
  <c r="AF267" i="11403"/>
  <c r="AG267" i="11403"/>
  <c r="AH267" i="11403"/>
  <c r="AI267" i="11403"/>
  <c r="AJ267" i="11403"/>
  <c r="AK267" i="11403"/>
  <c r="AL267" i="11403"/>
  <c r="AN267" i="11403"/>
  <c r="AO267" i="11403"/>
  <c r="B268" i="11403"/>
  <c r="C268" i="11403"/>
  <c r="D268" i="11403"/>
  <c r="E268" i="11403"/>
  <c r="F268" i="11403"/>
  <c r="G268" i="11403"/>
  <c r="H268" i="11403"/>
  <c r="I268" i="11403"/>
  <c r="J268" i="11403"/>
  <c r="K268" i="11403"/>
  <c r="L268" i="11403"/>
  <c r="M268" i="11403"/>
  <c r="N268" i="11403"/>
  <c r="O268" i="11403"/>
  <c r="P268" i="11403"/>
  <c r="Q268" i="11403"/>
  <c r="R268" i="11403"/>
  <c r="S268" i="11403"/>
  <c r="T268" i="11403"/>
  <c r="U268" i="11403"/>
  <c r="W268" i="11403"/>
  <c r="X268" i="11403"/>
  <c r="Y268" i="11403"/>
  <c r="Z268" i="11403"/>
  <c r="AA268" i="11403"/>
  <c r="AB268" i="11403"/>
  <c r="AC268" i="11403"/>
  <c r="AD268" i="11403"/>
  <c r="AE268" i="11403"/>
  <c r="AF268" i="11403"/>
  <c r="AG268" i="11403"/>
  <c r="AH268" i="11403"/>
  <c r="AI268" i="11403"/>
  <c r="AJ268" i="11403"/>
  <c r="AK268" i="11403"/>
  <c r="AL268" i="11403"/>
  <c r="AN268" i="11403"/>
  <c r="AO268" i="11403"/>
  <c r="B269" i="11403"/>
  <c r="C269" i="11403"/>
  <c r="D269" i="11403"/>
  <c r="E269" i="11403"/>
  <c r="F269" i="11403"/>
  <c r="G269" i="11403"/>
  <c r="H269" i="11403"/>
  <c r="I269" i="11403"/>
  <c r="J269" i="11403"/>
  <c r="K269" i="11403"/>
  <c r="L269" i="11403"/>
  <c r="M269" i="11403"/>
  <c r="N269" i="11403"/>
  <c r="O269" i="11403"/>
  <c r="P269" i="11403"/>
  <c r="Q269" i="11403"/>
  <c r="R269" i="11403"/>
  <c r="S269" i="11403"/>
  <c r="T269" i="11403"/>
  <c r="U269" i="11403"/>
  <c r="W269" i="11403"/>
  <c r="X269" i="11403"/>
  <c r="Y269" i="11403"/>
  <c r="Z269" i="11403"/>
  <c r="AA269" i="11403"/>
  <c r="AB269" i="11403"/>
  <c r="AC269" i="11403"/>
  <c r="AD269" i="11403"/>
  <c r="AE269" i="11403"/>
  <c r="AF269" i="11403"/>
  <c r="AG269" i="11403"/>
  <c r="AH269" i="11403"/>
  <c r="AI269" i="11403"/>
  <c r="AJ269" i="11403"/>
  <c r="AK269" i="11403"/>
  <c r="AL269" i="11403"/>
  <c r="AN269" i="11403"/>
  <c r="AO269" i="11403"/>
  <c r="B270" i="11403"/>
  <c r="C270" i="11403"/>
  <c r="D270" i="11403"/>
  <c r="E270" i="11403"/>
  <c r="F270" i="11403"/>
  <c r="G270" i="11403"/>
  <c r="H270" i="11403"/>
  <c r="I270" i="11403"/>
  <c r="J270" i="11403"/>
  <c r="K270" i="11403"/>
  <c r="L270" i="11403"/>
  <c r="M270" i="11403"/>
  <c r="N270" i="11403"/>
  <c r="O270" i="11403"/>
  <c r="P270" i="11403"/>
  <c r="Q270" i="11403"/>
  <c r="R270" i="11403"/>
  <c r="S270" i="11403"/>
  <c r="T270" i="11403"/>
  <c r="U270" i="11403"/>
  <c r="W270" i="11403"/>
  <c r="X270" i="11403"/>
  <c r="Y270" i="11403"/>
  <c r="Z270" i="11403"/>
  <c r="AA270" i="11403"/>
  <c r="AB270" i="11403"/>
  <c r="AC270" i="11403"/>
  <c r="AD270" i="11403"/>
  <c r="AE270" i="11403"/>
  <c r="AF270" i="11403"/>
  <c r="AG270" i="11403"/>
  <c r="AH270" i="11403"/>
  <c r="AI270" i="11403"/>
  <c r="AJ270" i="11403"/>
  <c r="AK270" i="11403"/>
  <c r="AL270" i="11403"/>
  <c r="AN270" i="11403"/>
  <c r="AO270" i="11403"/>
  <c r="B271" i="11403"/>
  <c r="C271" i="11403"/>
  <c r="D271" i="11403"/>
  <c r="E271" i="11403"/>
  <c r="F271" i="11403"/>
  <c r="G271" i="11403"/>
  <c r="H271" i="11403"/>
  <c r="I271" i="11403"/>
  <c r="J271" i="11403"/>
  <c r="K271" i="11403"/>
  <c r="L271" i="11403"/>
  <c r="M271" i="11403"/>
  <c r="N271" i="11403"/>
  <c r="O271" i="11403"/>
  <c r="P271" i="11403"/>
  <c r="Q271" i="11403"/>
  <c r="R271" i="11403"/>
  <c r="S271" i="11403"/>
  <c r="T271" i="11403"/>
  <c r="U271" i="11403"/>
  <c r="W271" i="11403"/>
  <c r="X271" i="11403"/>
  <c r="Y271" i="11403"/>
  <c r="Z271" i="11403"/>
  <c r="AA271" i="11403"/>
  <c r="AB271" i="11403"/>
  <c r="AC271" i="11403"/>
  <c r="AD271" i="11403"/>
  <c r="AE271" i="11403"/>
  <c r="AF271" i="11403"/>
  <c r="AG271" i="11403"/>
  <c r="AH271" i="11403"/>
  <c r="AI271" i="11403"/>
  <c r="AJ271" i="11403"/>
  <c r="AK271" i="11403"/>
  <c r="AL271" i="11403"/>
  <c r="AN271" i="11403"/>
  <c r="AO271" i="11403"/>
  <c r="B272" i="11403"/>
  <c r="C272" i="11403"/>
  <c r="D272" i="11403"/>
  <c r="E272" i="11403"/>
  <c r="F272" i="11403"/>
  <c r="G272" i="11403"/>
  <c r="H272" i="11403"/>
  <c r="I272" i="11403"/>
  <c r="J272" i="11403"/>
  <c r="K272" i="11403"/>
  <c r="L272" i="11403"/>
  <c r="M272" i="11403"/>
  <c r="N272" i="11403"/>
  <c r="O272" i="11403"/>
  <c r="P272" i="11403"/>
  <c r="Q272" i="11403"/>
  <c r="R272" i="11403"/>
  <c r="S272" i="11403"/>
  <c r="T272" i="11403"/>
  <c r="U272" i="11403"/>
  <c r="W272" i="11403"/>
  <c r="X272" i="11403"/>
  <c r="Y272" i="11403"/>
  <c r="Z272" i="11403"/>
  <c r="AA272" i="11403"/>
  <c r="AB272" i="11403"/>
  <c r="AC272" i="11403"/>
  <c r="AD272" i="11403"/>
  <c r="AE272" i="11403"/>
  <c r="AF272" i="11403"/>
  <c r="AG272" i="11403"/>
  <c r="AH272" i="11403"/>
  <c r="AI272" i="11403"/>
  <c r="AJ272" i="11403"/>
  <c r="AK272" i="11403"/>
  <c r="AL272" i="11403"/>
  <c r="AN272" i="11403"/>
  <c r="AO272" i="11403"/>
  <c r="B273" i="11403"/>
  <c r="C273" i="11403"/>
  <c r="D273" i="11403"/>
  <c r="E273" i="11403"/>
  <c r="F273" i="11403"/>
  <c r="G273" i="11403"/>
  <c r="H273" i="11403"/>
  <c r="I273" i="11403"/>
  <c r="J273" i="11403"/>
  <c r="K273" i="11403"/>
  <c r="L273" i="11403"/>
  <c r="M273" i="11403"/>
  <c r="N273" i="11403"/>
  <c r="O273" i="11403"/>
  <c r="P273" i="11403"/>
  <c r="Q273" i="11403"/>
  <c r="R273" i="11403"/>
  <c r="S273" i="11403"/>
  <c r="T273" i="11403"/>
  <c r="U273" i="11403"/>
  <c r="W273" i="11403"/>
  <c r="X273" i="11403"/>
  <c r="Y273" i="11403"/>
  <c r="Z273" i="11403"/>
  <c r="AA273" i="11403"/>
  <c r="AB273" i="11403"/>
  <c r="AC273" i="11403"/>
  <c r="AD273" i="11403"/>
  <c r="AE273" i="11403"/>
  <c r="AF273" i="11403"/>
  <c r="AG273" i="11403"/>
  <c r="AH273" i="11403"/>
  <c r="AI273" i="11403"/>
  <c r="AJ273" i="11403"/>
  <c r="AK273" i="11403"/>
  <c r="AL273" i="11403"/>
  <c r="AN273" i="11403"/>
  <c r="AO273" i="11403"/>
  <c r="B274" i="11403"/>
  <c r="C274" i="11403"/>
  <c r="D274" i="11403"/>
  <c r="E274" i="11403"/>
  <c r="F274" i="11403"/>
  <c r="G274" i="11403"/>
  <c r="H274" i="11403"/>
  <c r="I274" i="11403"/>
  <c r="J274" i="11403"/>
  <c r="K274" i="11403"/>
  <c r="L274" i="11403"/>
  <c r="M274" i="11403"/>
  <c r="N274" i="11403"/>
  <c r="O274" i="11403"/>
  <c r="P274" i="11403"/>
  <c r="Q274" i="11403"/>
  <c r="R274" i="11403"/>
  <c r="S274" i="11403"/>
  <c r="T274" i="11403"/>
  <c r="U274" i="11403"/>
  <c r="W274" i="11403"/>
  <c r="X274" i="11403"/>
  <c r="Y274" i="11403"/>
  <c r="Z274" i="11403"/>
  <c r="AA274" i="11403"/>
  <c r="AB274" i="11403"/>
  <c r="AC274" i="11403"/>
  <c r="AD274" i="11403"/>
  <c r="AE274" i="11403"/>
  <c r="AF274" i="11403"/>
  <c r="AG274" i="11403"/>
  <c r="AH274" i="11403"/>
  <c r="AI274" i="11403"/>
  <c r="AJ274" i="11403"/>
  <c r="AK274" i="11403"/>
  <c r="AL274" i="11403"/>
  <c r="AN274" i="11403"/>
  <c r="AO274" i="11403"/>
  <c r="B275" i="11403"/>
  <c r="C275" i="11403"/>
  <c r="D275" i="11403"/>
  <c r="E275" i="11403"/>
  <c r="F275" i="11403"/>
  <c r="G275" i="11403"/>
  <c r="H275" i="11403"/>
  <c r="I275" i="11403"/>
  <c r="J275" i="11403"/>
  <c r="K275" i="11403"/>
  <c r="L275" i="11403"/>
  <c r="M275" i="11403"/>
  <c r="N275" i="11403"/>
  <c r="O275" i="11403"/>
  <c r="P275" i="11403"/>
  <c r="Q275" i="11403"/>
  <c r="R275" i="11403"/>
  <c r="S275" i="11403"/>
  <c r="T275" i="11403"/>
  <c r="U275" i="11403"/>
  <c r="W275" i="11403"/>
  <c r="X275" i="11403"/>
  <c r="Y275" i="11403"/>
  <c r="Z275" i="11403"/>
  <c r="AA275" i="11403"/>
  <c r="AB275" i="11403"/>
  <c r="AC275" i="11403"/>
  <c r="AD275" i="11403"/>
  <c r="AE275" i="11403"/>
  <c r="AF275" i="11403"/>
  <c r="AG275" i="11403"/>
  <c r="AH275" i="11403"/>
  <c r="AI275" i="11403"/>
  <c r="AJ275" i="11403"/>
  <c r="AK275" i="11403"/>
  <c r="AL275" i="11403"/>
  <c r="AN275" i="11403"/>
  <c r="AO275" i="11403"/>
  <c r="D278" i="11403"/>
  <c r="E278" i="11403"/>
  <c r="F278" i="11403"/>
  <c r="G278" i="11403"/>
  <c r="H278" i="11403"/>
  <c r="I278" i="11403"/>
  <c r="J278" i="11403"/>
  <c r="K278" i="11403"/>
  <c r="L278" i="11403"/>
  <c r="M278" i="11403"/>
  <c r="N278" i="11403"/>
  <c r="O278" i="11403"/>
  <c r="P278" i="11403"/>
  <c r="Q278" i="11403"/>
  <c r="R278" i="11403"/>
  <c r="S278" i="11403"/>
  <c r="T278" i="11403"/>
  <c r="U278" i="11403"/>
  <c r="V278" i="11403"/>
  <c r="W278" i="11403"/>
  <c r="X278" i="11403"/>
  <c r="Y278" i="11403"/>
  <c r="Z278" i="11403"/>
  <c r="AA278" i="11403"/>
  <c r="AB278" i="11403"/>
  <c r="AC278" i="11403"/>
  <c r="AD278" i="11403"/>
  <c r="AE278" i="11403"/>
  <c r="AF278" i="11403"/>
  <c r="AG278" i="11403"/>
  <c r="AH278" i="11403"/>
  <c r="AI278" i="11403"/>
  <c r="AJ278" i="11403"/>
  <c r="AK278" i="11403"/>
  <c r="AL278" i="11403"/>
  <c r="AM278" i="11403"/>
  <c r="AN278" i="11403"/>
  <c r="C4" i="11404"/>
  <c r="E4" i="11404"/>
  <c r="G4" i="11404"/>
  <c r="I4" i="11404"/>
  <c r="K4" i="11404"/>
  <c r="N4" i="11404"/>
  <c r="B5" i="11404"/>
  <c r="C5" i="11404"/>
  <c r="E5" i="11404"/>
  <c r="G5" i="11404"/>
  <c r="I5" i="11404"/>
  <c r="K5" i="11404"/>
  <c r="N5" i="11404"/>
  <c r="B6" i="11404"/>
  <c r="C6" i="11404"/>
  <c r="E6" i="11404"/>
  <c r="G6" i="11404"/>
  <c r="I6" i="11404"/>
  <c r="K6" i="11404"/>
  <c r="N6" i="11404"/>
  <c r="B7" i="11404"/>
  <c r="C7" i="11404"/>
  <c r="E7" i="11404"/>
  <c r="G7" i="11404"/>
  <c r="I7" i="11404"/>
  <c r="K7" i="11404"/>
  <c r="N7" i="11404"/>
  <c r="B8" i="11404"/>
  <c r="C8" i="11404"/>
  <c r="E8" i="11404"/>
  <c r="G8" i="11404"/>
  <c r="I8" i="11404"/>
  <c r="K8" i="11404"/>
  <c r="N8" i="11404"/>
  <c r="B9" i="11404"/>
  <c r="C9" i="11404"/>
  <c r="E9" i="11404"/>
  <c r="G9" i="11404"/>
  <c r="I9" i="11404"/>
  <c r="K9" i="11404"/>
  <c r="N9" i="11404"/>
  <c r="B10" i="11404"/>
  <c r="C10" i="11404"/>
  <c r="E10" i="11404"/>
  <c r="G10" i="11404"/>
  <c r="I10" i="11404"/>
  <c r="K10" i="11404"/>
  <c r="N10" i="11404"/>
  <c r="B11" i="11404"/>
  <c r="C11" i="11404"/>
  <c r="E11" i="11404"/>
  <c r="G11" i="11404"/>
  <c r="I11" i="11404"/>
  <c r="K11" i="11404"/>
  <c r="N11" i="11404"/>
  <c r="B12" i="11404"/>
  <c r="C12" i="11404"/>
  <c r="E12" i="11404"/>
  <c r="G12" i="11404"/>
  <c r="I12" i="11404"/>
  <c r="K12" i="11404"/>
  <c r="N12" i="11404"/>
  <c r="B13" i="11404"/>
  <c r="C13" i="11404"/>
  <c r="E13" i="11404"/>
  <c r="G13" i="11404"/>
  <c r="I13" i="11404"/>
  <c r="K13" i="11404"/>
  <c r="N13" i="11404"/>
  <c r="B14" i="11404"/>
  <c r="C14" i="11404"/>
  <c r="E14" i="11404"/>
  <c r="G14" i="11404"/>
  <c r="I14" i="11404"/>
  <c r="K14" i="11404"/>
  <c r="N14" i="11404"/>
  <c r="B15" i="11404"/>
  <c r="C15" i="11404"/>
  <c r="E15" i="11404"/>
  <c r="G15" i="11404"/>
  <c r="I15" i="11404"/>
  <c r="K15" i="11404"/>
  <c r="N15" i="11404"/>
  <c r="B16" i="11404"/>
  <c r="C16" i="11404"/>
  <c r="E16" i="11404"/>
  <c r="G16" i="11404"/>
  <c r="I16" i="11404"/>
  <c r="K16" i="11404"/>
  <c r="N16" i="11404"/>
  <c r="B17" i="11404"/>
  <c r="C17" i="11404"/>
  <c r="E17" i="11404"/>
  <c r="G17" i="11404"/>
  <c r="I17" i="11404"/>
  <c r="K17" i="11404"/>
  <c r="N17" i="11404"/>
  <c r="B18" i="11404"/>
  <c r="C18" i="11404"/>
  <c r="E18" i="11404"/>
  <c r="G18" i="11404"/>
  <c r="I18" i="11404"/>
  <c r="K18" i="11404"/>
  <c r="N18" i="11404"/>
  <c r="B19" i="11404"/>
  <c r="C19" i="11404"/>
  <c r="E19" i="11404"/>
  <c r="G19" i="11404"/>
  <c r="I19" i="11404"/>
  <c r="K19" i="11404"/>
  <c r="N19" i="11404"/>
  <c r="B20" i="11404"/>
  <c r="C20" i="11404"/>
  <c r="E20" i="11404"/>
  <c r="G20" i="11404"/>
  <c r="I20" i="11404"/>
  <c r="K20" i="11404"/>
  <c r="N20" i="11404"/>
  <c r="B21" i="11404"/>
  <c r="C21" i="11404"/>
  <c r="E21" i="11404"/>
  <c r="G21" i="11404"/>
  <c r="I21" i="11404"/>
  <c r="K21" i="11404"/>
  <c r="N21" i="11404"/>
  <c r="B22" i="11404"/>
  <c r="C22" i="11404"/>
  <c r="E22" i="11404"/>
  <c r="G22" i="11404"/>
  <c r="I22" i="11404"/>
  <c r="K22" i="11404"/>
  <c r="N22" i="11404"/>
  <c r="B23" i="11404"/>
  <c r="C23" i="11404"/>
  <c r="E23" i="11404"/>
  <c r="G23" i="11404"/>
  <c r="I23" i="11404"/>
  <c r="K23" i="11404"/>
  <c r="N23" i="11404"/>
  <c r="B24" i="11404"/>
  <c r="C24" i="11404"/>
  <c r="E24" i="11404"/>
  <c r="G24" i="11404"/>
  <c r="I24" i="11404"/>
  <c r="K24" i="11404"/>
  <c r="N24" i="11404"/>
  <c r="B25" i="11404"/>
  <c r="C25" i="11404"/>
  <c r="E25" i="11404"/>
  <c r="G25" i="11404"/>
  <c r="I25" i="11404"/>
  <c r="K25" i="11404"/>
  <c r="N25" i="11404"/>
  <c r="B26" i="11404"/>
  <c r="C26" i="11404"/>
  <c r="E26" i="11404"/>
  <c r="G26" i="11404"/>
  <c r="I26" i="11404"/>
  <c r="K26" i="11404"/>
  <c r="N26" i="11404"/>
  <c r="B27" i="11404"/>
  <c r="C27" i="11404"/>
  <c r="E27" i="11404"/>
  <c r="G27" i="11404"/>
  <c r="I27" i="11404"/>
  <c r="K27" i="11404"/>
  <c r="N27" i="11404"/>
  <c r="B28" i="11404"/>
  <c r="C28" i="11404"/>
  <c r="E28" i="11404"/>
  <c r="G28" i="11404"/>
  <c r="I28" i="11404"/>
  <c r="K28" i="11404"/>
  <c r="N28" i="11404"/>
  <c r="B29" i="11404"/>
  <c r="C29" i="11404"/>
  <c r="E29" i="11404"/>
  <c r="G29" i="11404"/>
  <c r="I29" i="11404"/>
  <c r="K29" i="11404"/>
  <c r="N29" i="11404"/>
  <c r="B30" i="11404"/>
  <c r="C30" i="11404"/>
  <c r="E30" i="11404"/>
  <c r="G30" i="11404"/>
  <c r="I30" i="11404"/>
  <c r="K30" i="11404"/>
  <c r="N30" i="11404"/>
  <c r="B31" i="11404"/>
  <c r="C31" i="11404"/>
  <c r="E31" i="11404"/>
  <c r="G31" i="11404"/>
  <c r="I31" i="11404"/>
  <c r="K31" i="11404"/>
  <c r="N31" i="11404"/>
  <c r="B32" i="11404"/>
  <c r="C32" i="11404"/>
  <c r="E32" i="11404"/>
  <c r="G32" i="11404"/>
  <c r="I32" i="11404"/>
  <c r="K32" i="11404"/>
  <c r="N32" i="11404"/>
  <c r="B33" i="11404"/>
  <c r="C33" i="11404"/>
  <c r="E33" i="11404"/>
  <c r="G33" i="11404"/>
  <c r="I33" i="11404"/>
  <c r="K33" i="11404"/>
  <c r="N33" i="11404"/>
  <c r="B34" i="11404"/>
  <c r="C34" i="11404"/>
  <c r="E34" i="11404"/>
  <c r="G34" i="11404"/>
  <c r="I34" i="11404"/>
  <c r="K34" i="11404"/>
  <c r="N34" i="11404"/>
  <c r="B35" i="11404"/>
  <c r="C35" i="11404"/>
  <c r="E35" i="11404"/>
  <c r="G35" i="11404"/>
  <c r="I35" i="11404"/>
  <c r="K35" i="11404"/>
  <c r="N35" i="11404"/>
  <c r="B36" i="11404"/>
  <c r="C36" i="11404"/>
  <c r="E36" i="11404"/>
  <c r="G36" i="11404"/>
  <c r="I36" i="11404"/>
  <c r="K36" i="11404"/>
  <c r="N36" i="11404"/>
  <c r="B37" i="11404"/>
  <c r="C37" i="11404"/>
  <c r="E37" i="11404"/>
  <c r="G37" i="11404"/>
  <c r="I37" i="11404"/>
  <c r="K37" i="11404"/>
  <c r="N37" i="11404"/>
  <c r="B38" i="11404"/>
  <c r="C38" i="11404"/>
  <c r="E38" i="11404"/>
  <c r="G38" i="11404"/>
  <c r="I38" i="11404"/>
  <c r="K38" i="11404"/>
  <c r="N38" i="11404"/>
  <c r="B39" i="11404"/>
  <c r="C39" i="11404"/>
  <c r="E39" i="11404"/>
  <c r="G39" i="11404"/>
  <c r="I39" i="11404"/>
  <c r="K39" i="11404"/>
  <c r="N39" i="11404"/>
  <c r="B40" i="11404"/>
  <c r="C40" i="11404"/>
  <c r="E40" i="11404"/>
  <c r="G40" i="11404"/>
  <c r="I40" i="11404"/>
  <c r="K40" i="11404"/>
  <c r="N40" i="11404"/>
  <c r="B41" i="11404"/>
  <c r="C41" i="11404"/>
  <c r="E41" i="11404"/>
  <c r="G41" i="11404"/>
  <c r="I41" i="11404"/>
  <c r="K41" i="11404"/>
  <c r="N41" i="11404"/>
  <c r="B42" i="11404"/>
  <c r="C42" i="11404"/>
  <c r="E42" i="11404"/>
  <c r="G42" i="11404"/>
  <c r="I42" i="11404"/>
  <c r="K42" i="11404"/>
  <c r="N42" i="11404"/>
  <c r="B43" i="11404"/>
  <c r="C43" i="11404"/>
  <c r="E43" i="11404"/>
  <c r="G43" i="11404"/>
  <c r="I43" i="11404"/>
  <c r="K43" i="11404"/>
  <c r="N43" i="11404"/>
  <c r="B44" i="11404"/>
  <c r="C44" i="11404"/>
  <c r="E44" i="11404"/>
  <c r="G44" i="11404"/>
  <c r="I44" i="11404"/>
  <c r="K44" i="11404"/>
  <c r="N44" i="11404"/>
  <c r="B45" i="11404"/>
  <c r="C45" i="11404"/>
  <c r="E45" i="11404"/>
  <c r="G45" i="11404"/>
  <c r="I45" i="11404"/>
  <c r="K45" i="11404"/>
  <c r="N45" i="11404"/>
  <c r="B46" i="11404"/>
  <c r="C46" i="11404"/>
  <c r="E46" i="11404"/>
  <c r="G46" i="11404"/>
  <c r="I46" i="11404"/>
  <c r="K46" i="11404"/>
  <c r="N46" i="11404"/>
  <c r="B47" i="11404"/>
  <c r="C47" i="11404"/>
  <c r="E47" i="11404"/>
  <c r="G47" i="11404"/>
  <c r="I47" i="11404"/>
  <c r="K47" i="11404"/>
  <c r="N47" i="11404"/>
  <c r="B48" i="11404"/>
  <c r="C48" i="11404"/>
  <c r="E48" i="11404"/>
  <c r="G48" i="11404"/>
  <c r="I48" i="11404"/>
  <c r="K48" i="11404"/>
  <c r="N48" i="11404"/>
  <c r="B49" i="11404"/>
  <c r="C49" i="11404"/>
  <c r="E49" i="11404"/>
  <c r="G49" i="11404"/>
  <c r="I49" i="11404"/>
  <c r="K49" i="11404"/>
  <c r="N49" i="11404"/>
  <c r="B50" i="11404"/>
  <c r="C50" i="11404"/>
  <c r="E50" i="11404"/>
  <c r="G50" i="11404"/>
  <c r="I50" i="11404"/>
  <c r="K50" i="11404"/>
  <c r="N50" i="11404"/>
  <c r="B51" i="11404"/>
  <c r="C51" i="11404"/>
  <c r="E51" i="11404"/>
  <c r="G51" i="11404"/>
  <c r="I51" i="11404"/>
  <c r="K51" i="11404"/>
  <c r="N51" i="11404"/>
  <c r="B52" i="11404"/>
  <c r="C52" i="11404"/>
  <c r="E52" i="11404"/>
  <c r="G52" i="11404"/>
  <c r="I52" i="11404"/>
  <c r="K52" i="11404"/>
  <c r="N52" i="11404"/>
  <c r="B53" i="11404"/>
  <c r="C53" i="11404"/>
  <c r="E53" i="11404"/>
  <c r="G53" i="11404"/>
  <c r="I53" i="11404"/>
  <c r="K53" i="11404"/>
  <c r="N53" i="11404"/>
  <c r="B54" i="11404"/>
  <c r="C54" i="11404"/>
  <c r="E54" i="11404"/>
  <c r="G54" i="11404"/>
  <c r="I54" i="11404"/>
  <c r="K54" i="11404"/>
  <c r="N54" i="11404"/>
  <c r="B55" i="11404"/>
  <c r="C55" i="11404"/>
  <c r="E55" i="11404"/>
  <c r="G55" i="11404"/>
  <c r="I55" i="11404"/>
  <c r="K55" i="11404"/>
  <c r="N55" i="11404"/>
  <c r="B56" i="11404"/>
  <c r="C56" i="11404"/>
  <c r="E56" i="11404"/>
  <c r="G56" i="11404"/>
  <c r="I56" i="11404"/>
  <c r="K56" i="11404"/>
  <c r="N56" i="11404"/>
  <c r="B57" i="11404"/>
  <c r="C57" i="11404"/>
  <c r="E57" i="11404"/>
  <c r="G57" i="11404"/>
  <c r="I57" i="11404"/>
  <c r="K57" i="11404"/>
  <c r="N57" i="11404"/>
  <c r="B58" i="11404"/>
  <c r="C58" i="11404"/>
  <c r="E58" i="11404"/>
  <c r="G58" i="11404"/>
  <c r="I58" i="11404"/>
  <c r="K58" i="11404"/>
  <c r="N58" i="11404"/>
  <c r="B59" i="11404"/>
  <c r="C59" i="11404"/>
  <c r="E59" i="11404"/>
  <c r="G59" i="11404"/>
  <c r="I59" i="11404"/>
  <c r="K59" i="11404"/>
  <c r="N59" i="11404"/>
  <c r="B60" i="11404"/>
  <c r="C60" i="11404"/>
  <c r="E60" i="11404"/>
  <c r="G60" i="11404"/>
  <c r="I60" i="11404"/>
  <c r="K60" i="11404"/>
  <c r="N60" i="11404"/>
  <c r="B61" i="11404"/>
  <c r="C61" i="11404"/>
  <c r="E61" i="11404"/>
  <c r="G61" i="11404"/>
  <c r="I61" i="11404"/>
  <c r="K61" i="11404"/>
  <c r="N61" i="11404"/>
  <c r="B62" i="11404"/>
  <c r="C62" i="11404"/>
  <c r="E62" i="11404"/>
  <c r="G62" i="11404"/>
  <c r="I62" i="11404"/>
  <c r="K62" i="11404"/>
  <c r="N62" i="11404"/>
  <c r="B63" i="11404"/>
  <c r="C63" i="11404"/>
  <c r="E63" i="11404"/>
  <c r="G63" i="11404"/>
  <c r="I63" i="11404"/>
  <c r="K63" i="11404"/>
  <c r="N63" i="11404"/>
  <c r="B64" i="11404"/>
  <c r="C64" i="11404"/>
  <c r="E64" i="11404"/>
  <c r="G64" i="11404"/>
  <c r="I64" i="11404"/>
  <c r="K64" i="11404"/>
  <c r="N64" i="11404"/>
  <c r="B65" i="11404"/>
  <c r="C65" i="11404"/>
  <c r="E65" i="11404"/>
  <c r="G65" i="11404"/>
  <c r="I65" i="11404"/>
  <c r="K65" i="11404"/>
  <c r="N65" i="11404"/>
  <c r="B66" i="11404"/>
  <c r="C66" i="11404"/>
  <c r="E66" i="11404"/>
  <c r="G66" i="11404"/>
  <c r="I66" i="11404"/>
  <c r="K66" i="11404"/>
  <c r="N66" i="11404"/>
  <c r="B67" i="11404"/>
  <c r="C67" i="11404"/>
  <c r="E67" i="11404"/>
  <c r="G67" i="11404"/>
  <c r="I67" i="11404"/>
  <c r="K67" i="11404"/>
  <c r="N67" i="11404"/>
  <c r="B68" i="11404"/>
  <c r="C68" i="11404"/>
  <c r="E68" i="11404"/>
  <c r="G68" i="11404"/>
  <c r="I68" i="11404"/>
  <c r="K68" i="11404"/>
  <c r="N68" i="11404"/>
  <c r="B69" i="11404"/>
  <c r="C69" i="11404"/>
  <c r="E69" i="11404"/>
  <c r="G69" i="11404"/>
  <c r="I69" i="11404"/>
  <c r="K69" i="11404"/>
  <c r="N69" i="11404"/>
  <c r="B70" i="11404"/>
  <c r="C70" i="11404"/>
  <c r="E70" i="11404"/>
  <c r="G70" i="11404"/>
  <c r="I70" i="11404"/>
  <c r="K70" i="11404"/>
  <c r="N70" i="11404"/>
  <c r="B71" i="11404"/>
  <c r="C71" i="11404"/>
  <c r="E71" i="11404"/>
  <c r="G71" i="11404"/>
  <c r="I71" i="11404"/>
  <c r="K71" i="11404"/>
  <c r="N71" i="11404"/>
  <c r="B72" i="11404"/>
  <c r="C72" i="11404"/>
  <c r="E72" i="11404"/>
  <c r="G72" i="11404"/>
  <c r="I72" i="11404"/>
  <c r="K72" i="11404"/>
  <c r="N72" i="11404"/>
  <c r="B73" i="11404"/>
  <c r="C73" i="11404"/>
  <c r="E73" i="11404"/>
  <c r="G73" i="11404"/>
  <c r="I73" i="11404"/>
  <c r="K73" i="11404"/>
  <c r="N73" i="11404"/>
  <c r="B74" i="11404"/>
  <c r="C74" i="11404"/>
  <c r="E74" i="11404"/>
  <c r="G74" i="11404"/>
  <c r="I74" i="11404"/>
  <c r="K74" i="11404"/>
  <c r="N74" i="11404"/>
  <c r="B75" i="11404"/>
  <c r="C75" i="11404"/>
  <c r="E75" i="11404"/>
  <c r="G75" i="11404"/>
  <c r="I75" i="11404"/>
  <c r="K75" i="11404"/>
  <c r="N75" i="11404"/>
  <c r="B76" i="11404"/>
  <c r="C76" i="11404"/>
  <c r="E76" i="11404"/>
  <c r="G76" i="11404"/>
  <c r="I76" i="11404"/>
  <c r="K76" i="11404"/>
  <c r="N76" i="11404"/>
  <c r="B77" i="11404"/>
  <c r="C77" i="11404"/>
  <c r="E77" i="11404"/>
  <c r="G77" i="11404"/>
  <c r="I77" i="11404"/>
  <c r="K77" i="11404"/>
  <c r="N77" i="11404"/>
  <c r="B78" i="11404"/>
  <c r="C78" i="11404"/>
  <c r="E78" i="11404"/>
  <c r="G78" i="11404"/>
  <c r="I78" i="11404"/>
  <c r="K78" i="11404"/>
  <c r="N78" i="11404"/>
  <c r="B79" i="11404"/>
  <c r="C79" i="11404"/>
  <c r="E79" i="11404"/>
  <c r="G79" i="11404"/>
  <c r="I79" i="11404"/>
  <c r="K79" i="11404"/>
  <c r="N79" i="11404"/>
  <c r="B80" i="11404"/>
  <c r="C80" i="11404"/>
  <c r="E80" i="11404"/>
  <c r="G80" i="11404"/>
  <c r="I80" i="11404"/>
  <c r="K80" i="11404"/>
  <c r="N80" i="11404"/>
  <c r="B81" i="11404"/>
  <c r="C81" i="11404"/>
  <c r="E81" i="11404"/>
  <c r="G81" i="11404"/>
  <c r="I81" i="11404"/>
  <c r="K81" i="11404"/>
  <c r="N81" i="11404"/>
  <c r="B82" i="11404"/>
  <c r="C82" i="11404"/>
  <c r="E82" i="11404"/>
  <c r="G82" i="11404"/>
  <c r="I82" i="11404"/>
  <c r="K82" i="11404"/>
  <c r="N82" i="11404"/>
  <c r="B83" i="11404"/>
  <c r="C83" i="11404"/>
  <c r="E83" i="11404"/>
  <c r="G83" i="11404"/>
  <c r="I83" i="11404"/>
  <c r="K83" i="11404"/>
  <c r="N83" i="11404"/>
  <c r="B84" i="11404"/>
  <c r="C84" i="11404"/>
  <c r="E84" i="11404"/>
  <c r="G84" i="11404"/>
  <c r="I84" i="11404"/>
  <c r="K84" i="11404"/>
  <c r="N84" i="11404"/>
  <c r="B85" i="11404"/>
  <c r="C85" i="11404"/>
  <c r="E85" i="11404"/>
  <c r="G85" i="11404"/>
  <c r="I85" i="11404"/>
  <c r="K85" i="11404"/>
  <c r="N85" i="11404"/>
  <c r="B86" i="11404"/>
  <c r="C86" i="11404"/>
  <c r="E86" i="11404"/>
  <c r="G86" i="11404"/>
  <c r="I86" i="11404"/>
  <c r="K86" i="11404"/>
  <c r="N86" i="11404"/>
  <c r="B87" i="11404"/>
  <c r="C87" i="11404"/>
  <c r="E87" i="11404"/>
  <c r="G87" i="11404"/>
  <c r="I87" i="11404"/>
  <c r="K87" i="11404"/>
  <c r="N87" i="11404"/>
  <c r="B88" i="11404"/>
  <c r="C88" i="11404"/>
  <c r="E88" i="11404"/>
  <c r="G88" i="11404"/>
  <c r="I88" i="11404"/>
  <c r="K88" i="11404"/>
  <c r="N88" i="11404"/>
  <c r="B89" i="11404"/>
  <c r="C89" i="11404"/>
  <c r="E89" i="11404"/>
  <c r="G89" i="11404"/>
  <c r="I89" i="11404"/>
  <c r="K89" i="11404"/>
  <c r="N89" i="11404"/>
  <c r="B90" i="11404"/>
  <c r="C90" i="11404"/>
  <c r="E90" i="11404"/>
  <c r="G90" i="11404"/>
  <c r="I90" i="11404"/>
  <c r="K90" i="11404"/>
  <c r="N90" i="11404"/>
  <c r="B91" i="11404"/>
  <c r="C91" i="11404"/>
  <c r="E91" i="11404"/>
  <c r="G91" i="11404"/>
  <c r="I91" i="11404"/>
  <c r="K91" i="11404"/>
  <c r="N91" i="11404"/>
  <c r="B92" i="11404"/>
  <c r="C92" i="11404"/>
  <c r="E92" i="11404"/>
  <c r="G92" i="11404"/>
  <c r="I92" i="11404"/>
  <c r="K92" i="11404"/>
  <c r="N92" i="11404"/>
  <c r="B93" i="11404"/>
  <c r="C93" i="11404"/>
  <c r="E93" i="11404"/>
  <c r="G93" i="11404"/>
  <c r="I93" i="11404"/>
  <c r="K93" i="11404"/>
  <c r="N93" i="11404"/>
  <c r="B94" i="11404"/>
  <c r="C94" i="11404"/>
  <c r="E94" i="11404"/>
  <c r="G94" i="11404"/>
  <c r="I94" i="11404"/>
  <c r="K94" i="11404"/>
  <c r="N94" i="11404"/>
  <c r="B95" i="11404"/>
  <c r="C95" i="11404"/>
  <c r="E95" i="11404"/>
  <c r="G95" i="11404"/>
  <c r="I95" i="11404"/>
  <c r="K95" i="11404"/>
  <c r="N95" i="11404"/>
  <c r="B96" i="11404"/>
  <c r="C96" i="11404"/>
  <c r="E96" i="11404"/>
  <c r="G96" i="11404"/>
  <c r="I96" i="11404"/>
  <c r="K96" i="11404"/>
  <c r="N96" i="11404"/>
  <c r="B97" i="11404"/>
  <c r="C97" i="11404"/>
  <c r="E97" i="11404"/>
  <c r="G97" i="11404"/>
  <c r="I97" i="11404"/>
  <c r="K97" i="11404"/>
  <c r="N97" i="11404"/>
  <c r="B98" i="11404"/>
  <c r="C98" i="11404"/>
  <c r="E98" i="11404"/>
  <c r="G98" i="11404"/>
  <c r="I98" i="11404"/>
  <c r="K98" i="11404"/>
  <c r="N98" i="11404"/>
  <c r="B99" i="11404"/>
  <c r="C99" i="11404"/>
  <c r="E99" i="11404"/>
  <c r="G99" i="11404"/>
  <c r="I99" i="11404"/>
  <c r="K99" i="11404"/>
  <c r="N99" i="11404"/>
  <c r="B100" i="11404"/>
  <c r="C100" i="11404"/>
  <c r="E100" i="11404"/>
  <c r="G100" i="11404"/>
  <c r="I100" i="11404"/>
  <c r="K100" i="11404"/>
  <c r="N100" i="11404"/>
  <c r="B101" i="11404"/>
  <c r="C101" i="11404"/>
  <c r="E101" i="11404"/>
  <c r="G101" i="11404"/>
  <c r="I101" i="11404"/>
  <c r="K101" i="11404"/>
  <c r="N101" i="11404"/>
  <c r="B102" i="11404"/>
  <c r="C102" i="11404"/>
  <c r="E102" i="11404"/>
  <c r="G102" i="11404"/>
  <c r="I102" i="11404"/>
  <c r="K102" i="11404"/>
  <c r="N102" i="11404"/>
  <c r="B103" i="11404"/>
  <c r="C103" i="11404"/>
  <c r="E103" i="11404"/>
  <c r="G103" i="11404"/>
  <c r="I103" i="11404"/>
  <c r="K103" i="11404"/>
  <c r="N103" i="11404"/>
  <c r="B104" i="11404"/>
  <c r="C104" i="11404"/>
  <c r="E104" i="11404"/>
  <c r="G104" i="11404"/>
  <c r="I104" i="11404"/>
  <c r="K104" i="11404"/>
  <c r="N104" i="11404"/>
  <c r="B105" i="11404"/>
  <c r="C105" i="11404"/>
  <c r="E105" i="11404"/>
  <c r="G105" i="11404"/>
  <c r="I105" i="11404"/>
  <c r="K105" i="11404"/>
  <c r="N105" i="11404"/>
  <c r="B106" i="11404"/>
  <c r="C106" i="11404"/>
  <c r="E106" i="11404"/>
  <c r="G106" i="11404"/>
  <c r="I106" i="11404"/>
  <c r="K106" i="11404"/>
  <c r="N106" i="11404"/>
  <c r="B107" i="11404"/>
  <c r="C107" i="11404"/>
  <c r="E107" i="11404"/>
  <c r="G107" i="11404"/>
  <c r="I107" i="11404"/>
  <c r="K107" i="11404"/>
  <c r="N107" i="11404"/>
  <c r="B108" i="11404"/>
  <c r="C108" i="11404"/>
  <c r="E108" i="11404"/>
  <c r="G108" i="11404"/>
  <c r="I108" i="11404"/>
  <c r="K108" i="11404"/>
  <c r="N108" i="11404"/>
  <c r="B109" i="11404"/>
  <c r="C109" i="11404"/>
  <c r="E109" i="11404"/>
  <c r="G109" i="11404"/>
  <c r="I109" i="11404"/>
  <c r="K109" i="11404"/>
  <c r="N109" i="11404"/>
  <c r="B110" i="11404"/>
  <c r="C110" i="11404"/>
  <c r="E110" i="11404"/>
  <c r="G110" i="11404"/>
  <c r="I110" i="11404"/>
  <c r="K110" i="11404"/>
  <c r="N110" i="11404"/>
  <c r="B111" i="11404"/>
  <c r="C111" i="11404"/>
  <c r="E111" i="11404"/>
  <c r="G111" i="11404"/>
  <c r="I111" i="11404"/>
  <c r="K111" i="11404"/>
  <c r="N111" i="11404"/>
  <c r="B112" i="11404"/>
  <c r="C112" i="11404"/>
  <c r="E112" i="11404"/>
  <c r="G112" i="11404"/>
  <c r="I112" i="11404"/>
  <c r="K112" i="11404"/>
  <c r="N112" i="11404"/>
  <c r="B113" i="11404"/>
  <c r="C113" i="11404"/>
  <c r="E113" i="11404"/>
  <c r="G113" i="11404"/>
  <c r="I113" i="11404"/>
  <c r="K113" i="11404"/>
  <c r="N113" i="11404"/>
  <c r="B114" i="11404"/>
  <c r="C114" i="11404"/>
  <c r="E114" i="11404"/>
  <c r="G114" i="11404"/>
  <c r="I114" i="11404"/>
  <c r="K114" i="11404"/>
  <c r="N114" i="11404"/>
  <c r="B115" i="11404"/>
  <c r="C115" i="11404"/>
  <c r="E115" i="11404"/>
  <c r="G115" i="11404"/>
  <c r="I115" i="11404"/>
  <c r="K115" i="11404"/>
  <c r="N115" i="11404"/>
  <c r="B116" i="11404"/>
  <c r="C116" i="11404"/>
  <c r="E116" i="11404"/>
  <c r="G116" i="11404"/>
  <c r="I116" i="11404"/>
  <c r="K116" i="11404"/>
  <c r="N116" i="11404"/>
  <c r="B117" i="11404"/>
  <c r="C117" i="11404"/>
  <c r="E117" i="11404"/>
  <c r="G117" i="11404"/>
  <c r="I117" i="11404"/>
  <c r="K117" i="11404"/>
  <c r="N117" i="11404"/>
  <c r="B118" i="11404"/>
  <c r="C118" i="11404"/>
  <c r="E118" i="11404"/>
  <c r="G118" i="11404"/>
  <c r="I118" i="11404"/>
  <c r="K118" i="11404"/>
  <c r="N118" i="11404"/>
  <c r="B119" i="11404"/>
  <c r="C119" i="11404"/>
  <c r="E119" i="11404"/>
  <c r="G119" i="11404"/>
  <c r="I119" i="11404"/>
  <c r="K119" i="11404"/>
  <c r="N119" i="11404"/>
  <c r="B120" i="11404"/>
  <c r="C120" i="11404"/>
  <c r="E120" i="11404"/>
  <c r="G120" i="11404"/>
  <c r="I120" i="11404"/>
  <c r="K120" i="11404"/>
  <c r="N120" i="11404"/>
  <c r="B121" i="11404"/>
  <c r="C121" i="11404"/>
  <c r="E121" i="11404"/>
  <c r="G121" i="11404"/>
  <c r="I121" i="11404"/>
  <c r="K121" i="11404"/>
  <c r="N121" i="11404"/>
  <c r="B122" i="11404"/>
  <c r="C122" i="11404"/>
  <c r="E122" i="11404"/>
  <c r="G122" i="11404"/>
  <c r="I122" i="11404"/>
  <c r="K122" i="11404"/>
  <c r="N122" i="11404"/>
  <c r="B123" i="11404"/>
  <c r="C123" i="11404"/>
  <c r="E123" i="11404"/>
  <c r="G123" i="11404"/>
  <c r="I123" i="11404"/>
  <c r="K123" i="11404"/>
  <c r="N123" i="11404"/>
  <c r="B124" i="11404"/>
  <c r="C124" i="11404"/>
  <c r="E124" i="11404"/>
  <c r="G124" i="11404"/>
  <c r="I124" i="11404"/>
  <c r="K124" i="11404"/>
  <c r="N124" i="11404"/>
  <c r="B125" i="11404"/>
  <c r="C125" i="11404"/>
  <c r="E125" i="11404"/>
  <c r="G125" i="11404"/>
  <c r="I125" i="11404"/>
  <c r="K125" i="11404"/>
  <c r="N125" i="11404"/>
  <c r="B126" i="11404"/>
  <c r="C126" i="11404"/>
  <c r="E126" i="11404"/>
  <c r="G126" i="11404"/>
  <c r="I126" i="11404"/>
  <c r="K126" i="11404"/>
  <c r="N126" i="11404"/>
  <c r="B127" i="11404"/>
  <c r="C127" i="11404"/>
  <c r="E127" i="11404"/>
  <c r="G127" i="11404"/>
  <c r="I127" i="11404"/>
  <c r="K127" i="11404"/>
  <c r="N127" i="11404"/>
  <c r="B128" i="11404"/>
  <c r="C128" i="11404"/>
  <c r="E128" i="11404"/>
  <c r="G128" i="11404"/>
  <c r="I128" i="11404"/>
  <c r="K128" i="11404"/>
  <c r="N128" i="11404"/>
  <c r="B129" i="11404"/>
  <c r="C129" i="11404"/>
  <c r="E129" i="11404"/>
  <c r="G129" i="11404"/>
  <c r="I129" i="11404"/>
  <c r="K129" i="11404"/>
  <c r="N129" i="11404"/>
  <c r="B130" i="11404"/>
  <c r="C130" i="11404"/>
  <c r="E130" i="11404"/>
  <c r="G130" i="11404"/>
  <c r="I130" i="11404"/>
  <c r="K130" i="11404"/>
  <c r="N130" i="11404"/>
  <c r="B131" i="11404"/>
  <c r="C131" i="11404"/>
  <c r="E131" i="11404"/>
  <c r="G131" i="11404"/>
  <c r="I131" i="11404"/>
  <c r="K131" i="11404"/>
  <c r="N131" i="11404"/>
  <c r="B132" i="11404"/>
  <c r="C132" i="11404"/>
  <c r="E132" i="11404"/>
  <c r="G132" i="11404"/>
  <c r="I132" i="11404"/>
  <c r="K132" i="11404"/>
  <c r="N132" i="11404"/>
  <c r="B133" i="11404"/>
  <c r="C133" i="11404"/>
  <c r="E133" i="11404"/>
  <c r="G133" i="11404"/>
  <c r="I133" i="11404"/>
  <c r="K133" i="11404"/>
  <c r="N133" i="11404"/>
  <c r="B134" i="11404"/>
  <c r="C134" i="11404"/>
  <c r="E134" i="11404"/>
  <c r="G134" i="11404"/>
  <c r="I134" i="11404"/>
  <c r="K134" i="11404"/>
  <c r="N134" i="11404"/>
  <c r="B135" i="11404"/>
  <c r="C135" i="11404"/>
  <c r="E135" i="11404"/>
  <c r="G135" i="11404"/>
  <c r="I135" i="11404"/>
  <c r="K135" i="11404"/>
  <c r="N135" i="11404"/>
  <c r="B136" i="11404"/>
  <c r="C136" i="11404"/>
  <c r="E136" i="11404"/>
  <c r="G136" i="11404"/>
  <c r="I136" i="11404"/>
  <c r="K136" i="11404"/>
  <c r="N136" i="11404"/>
  <c r="B137" i="11404"/>
  <c r="C137" i="11404"/>
  <c r="E137" i="11404"/>
  <c r="G137" i="11404"/>
  <c r="I137" i="11404"/>
  <c r="K137" i="11404"/>
  <c r="N137" i="11404"/>
  <c r="B138" i="11404"/>
  <c r="C138" i="11404"/>
  <c r="E138" i="11404"/>
  <c r="G138" i="11404"/>
  <c r="I138" i="11404"/>
  <c r="K138" i="11404"/>
  <c r="N138" i="11404"/>
  <c r="B139" i="11404"/>
  <c r="C139" i="11404"/>
  <c r="E139" i="11404"/>
  <c r="G139" i="11404"/>
  <c r="I139" i="11404"/>
  <c r="K139" i="11404"/>
  <c r="N139" i="11404"/>
  <c r="B140" i="11404"/>
  <c r="C140" i="11404"/>
  <c r="E140" i="11404"/>
  <c r="G140" i="11404"/>
  <c r="I140" i="11404"/>
  <c r="K140" i="11404"/>
  <c r="N140" i="11404"/>
  <c r="B141" i="11404"/>
  <c r="C141" i="11404"/>
  <c r="E141" i="11404"/>
  <c r="G141" i="11404"/>
  <c r="I141" i="11404"/>
  <c r="K141" i="11404"/>
  <c r="N141" i="11404"/>
  <c r="B142" i="11404"/>
  <c r="C142" i="11404"/>
  <c r="E142" i="11404"/>
  <c r="G142" i="11404"/>
  <c r="I142" i="11404"/>
  <c r="K142" i="11404"/>
  <c r="N142" i="11404"/>
  <c r="B143" i="11404"/>
  <c r="C143" i="11404"/>
  <c r="E143" i="11404"/>
  <c r="G143" i="11404"/>
  <c r="I143" i="11404"/>
  <c r="K143" i="11404"/>
  <c r="N143" i="11404"/>
  <c r="B144" i="11404"/>
  <c r="C144" i="11404"/>
  <c r="E144" i="11404"/>
  <c r="G144" i="11404"/>
  <c r="I144" i="11404"/>
  <c r="K144" i="11404"/>
  <c r="N144" i="11404"/>
  <c r="B145" i="11404"/>
  <c r="C145" i="11404"/>
  <c r="E145" i="11404"/>
  <c r="G145" i="11404"/>
  <c r="I145" i="11404"/>
  <c r="K145" i="11404"/>
  <c r="N145" i="11404"/>
  <c r="B146" i="11404"/>
  <c r="C146" i="11404"/>
  <c r="E146" i="11404"/>
  <c r="G146" i="11404"/>
  <c r="I146" i="11404"/>
  <c r="K146" i="11404"/>
  <c r="N146" i="11404"/>
  <c r="B147" i="11404"/>
  <c r="C147" i="11404"/>
  <c r="E147" i="11404"/>
  <c r="G147" i="11404"/>
  <c r="I147" i="11404"/>
  <c r="K147" i="11404"/>
  <c r="N147" i="11404"/>
  <c r="B148" i="11404"/>
  <c r="C148" i="11404"/>
  <c r="E148" i="11404"/>
  <c r="G148" i="11404"/>
  <c r="I148" i="11404"/>
  <c r="K148" i="11404"/>
  <c r="N148" i="11404"/>
  <c r="B149" i="11404"/>
  <c r="C149" i="11404"/>
  <c r="E149" i="11404"/>
  <c r="G149" i="11404"/>
  <c r="I149" i="11404"/>
  <c r="K149" i="11404"/>
  <c r="N149" i="11404"/>
  <c r="B150" i="11404"/>
  <c r="C150" i="11404"/>
  <c r="E150" i="11404"/>
  <c r="G150" i="11404"/>
  <c r="I150" i="11404"/>
  <c r="K150" i="11404"/>
  <c r="N150" i="11404"/>
  <c r="B151" i="11404"/>
  <c r="C151" i="11404"/>
  <c r="E151" i="11404"/>
  <c r="G151" i="11404"/>
  <c r="I151" i="11404"/>
  <c r="K151" i="11404"/>
  <c r="N151" i="11404"/>
  <c r="B152" i="11404"/>
  <c r="C152" i="11404"/>
  <c r="E152" i="11404"/>
  <c r="G152" i="11404"/>
  <c r="I152" i="11404"/>
  <c r="K152" i="11404"/>
  <c r="N152" i="11404"/>
  <c r="B153" i="11404"/>
  <c r="C153" i="11404"/>
  <c r="E153" i="11404"/>
  <c r="G153" i="11404"/>
  <c r="I153" i="11404"/>
  <c r="K153" i="11404"/>
  <c r="N153" i="11404"/>
  <c r="B154" i="11404"/>
  <c r="C154" i="11404"/>
  <c r="E154" i="11404"/>
  <c r="G154" i="11404"/>
  <c r="I154" i="11404"/>
  <c r="K154" i="11404"/>
  <c r="N154" i="11404"/>
  <c r="B155" i="11404"/>
  <c r="C155" i="11404"/>
  <c r="E155" i="11404"/>
  <c r="G155" i="11404"/>
  <c r="I155" i="11404"/>
  <c r="K155" i="11404"/>
  <c r="N155" i="11404"/>
  <c r="B156" i="11404"/>
  <c r="C156" i="11404"/>
  <c r="E156" i="11404"/>
  <c r="G156" i="11404"/>
  <c r="I156" i="11404"/>
  <c r="K156" i="11404"/>
  <c r="N156" i="11404"/>
  <c r="B157" i="11404"/>
  <c r="C157" i="11404"/>
  <c r="E157" i="11404"/>
  <c r="G157" i="11404"/>
  <c r="I157" i="11404"/>
  <c r="K157" i="11404"/>
  <c r="N157" i="11404"/>
  <c r="B158" i="11404"/>
  <c r="C158" i="11404"/>
  <c r="E158" i="11404"/>
  <c r="G158" i="11404"/>
  <c r="I158" i="11404"/>
  <c r="K158" i="11404"/>
  <c r="N158" i="11404"/>
  <c r="B159" i="11404"/>
  <c r="C159" i="11404"/>
  <c r="E159" i="11404"/>
  <c r="G159" i="11404"/>
  <c r="I159" i="11404"/>
  <c r="K159" i="11404"/>
  <c r="N159" i="11404"/>
  <c r="B160" i="11404"/>
  <c r="C160" i="11404"/>
  <c r="E160" i="11404"/>
  <c r="G160" i="11404"/>
  <c r="I160" i="11404"/>
  <c r="K160" i="11404"/>
  <c r="N160" i="11404"/>
  <c r="B161" i="11404"/>
  <c r="C161" i="11404"/>
  <c r="E161" i="11404"/>
  <c r="G161" i="11404"/>
  <c r="I161" i="11404"/>
  <c r="K161" i="11404"/>
  <c r="N161" i="11404"/>
  <c r="B162" i="11404"/>
  <c r="C162" i="11404"/>
  <c r="E162" i="11404"/>
  <c r="G162" i="11404"/>
  <c r="I162" i="11404"/>
  <c r="K162" i="11404"/>
  <c r="N162" i="11404"/>
  <c r="B163" i="11404"/>
  <c r="C163" i="11404"/>
  <c r="E163" i="11404"/>
  <c r="G163" i="11404"/>
  <c r="I163" i="11404"/>
  <c r="K163" i="11404"/>
  <c r="N163" i="11404"/>
  <c r="B164" i="11404"/>
  <c r="C164" i="11404"/>
  <c r="E164" i="11404"/>
  <c r="G164" i="11404"/>
  <c r="I164" i="11404"/>
  <c r="K164" i="11404"/>
  <c r="N164" i="11404"/>
  <c r="B165" i="11404"/>
  <c r="C165" i="11404"/>
  <c r="E165" i="11404"/>
  <c r="G165" i="11404"/>
  <c r="I165" i="11404"/>
  <c r="K165" i="11404"/>
  <c r="N165" i="11404"/>
  <c r="B166" i="11404"/>
  <c r="C166" i="11404"/>
  <c r="E166" i="11404"/>
  <c r="G166" i="11404"/>
  <c r="I166" i="11404"/>
  <c r="K166" i="11404"/>
  <c r="N166" i="11404"/>
  <c r="B167" i="11404"/>
  <c r="C167" i="11404"/>
  <c r="E167" i="11404"/>
  <c r="G167" i="11404"/>
  <c r="I167" i="11404"/>
  <c r="K167" i="11404"/>
  <c r="N167" i="11404"/>
  <c r="B168" i="11404"/>
  <c r="C168" i="11404"/>
  <c r="E168" i="11404"/>
  <c r="G168" i="11404"/>
  <c r="I168" i="11404"/>
  <c r="K168" i="11404"/>
  <c r="N168" i="11404"/>
  <c r="B169" i="11404"/>
  <c r="C169" i="11404"/>
  <c r="E169" i="11404"/>
  <c r="G169" i="11404"/>
  <c r="I169" i="11404"/>
  <c r="K169" i="11404"/>
  <c r="N169" i="11404"/>
  <c r="B170" i="11404"/>
  <c r="C170" i="11404"/>
  <c r="E170" i="11404"/>
  <c r="G170" i="11404"/>
  <c r="I170" i="11404"/>
  <c r="K170" i="11404"/>
  <c r="N170" i="11404"/>
  <c r="B171" i="11404"/>
  <c r="C171" i="11404"/>
  <c r="E171" i="11404"/>
  <c r="G171" i="11404"/>
  <c r="I171" i="11404"/>
  <c r="K171" i="11404"/>
  <c r="N171" i="11404"/>
  <c r="B172" i="11404"/>
  <c r="C172" i="11404"/>
  <c r="E172" i="11404"/>
  <c r="G172" i="11404"/>
  <c r="I172" i="11404"/>
  <c r="K172" i="11404"/>
  <c r="N172" i="11404"/>
  <c r="B173" i="11404"/>
  <c r="C173" i="11404"/>
  <c r="E173" i="11404"/>
  <c r="G173" i="11404"/>
  <c r="I173" i="11404"/>
  <c r="K173" i="11404"/>
  <c r="N173" i="11404"/>
  <c r="B174" i="11404"/>
  <c r="C174" i="11404"/>
  <c r="E174" i="11404"/>
  <c r="G174" i="11404"/>
  <c r="I174" i="11404"/>
  <c r="K174" i="11404"/>
  <c r="N174" i="11404"/>
  <c r="B175" i="11404"/>
  <c r="C175" i="11404"/>
  <c r="E175" i="11404"/>
  <c r="G175" i="11404"/>
  <c r="I175" i="11404"/>
  <c r="K175" i="11404"/>
  <c r="N175" i="11404"/>
  <c r="B176" i="11404"/>
  <c r="C176" i="11404"/>
  <c r="E176" i="11404"/>
  <c r="G176" i="11404"/>
  <c r="I176" i="11404"/>
  <c r="K176" i="11404"/>
  <c r="N176" i="11404"/>
  <c r="B177" i="11404"/>
  <c r="C177" i="11404"/>
  <c r="E177" i="11404"/>
  <c r="G177" i="11404"/>
  <c r="I177" i="11404"/>
  <c r="K177" i="11404"/>
  <c r="N177" i="11404"/>
  <c r="B178" i="11404"/>
  <c r="C178" i="11404"/>
  <c r="E178" i="11404"/>
  <c r="G178" i="11404"/>
  <c r="I178" i="11404"/>
  <c r="K178" i="11404"/>
  <c r="N178" i="11404"/>
  <c r="B179" i="11404"/>
  <c r="C179" i="11404"/>
  <c r="E179" i="11404"/>
  <c r="G179" i="11404"/>
  <c r="I179" i="11404"/>
  <c r="K179" i="11404"/>
  <c r="N179" i="11404"/>
  <c r="B180" i="11404"/>
  <c r="C180" i="11404"/>
  <c r="E180" i="11404"/>
  <c r="G180" i="11404"/>
  <c r="I180" i="11404"/>
  <c r="K180" i="11404"/>
  <c r="N180" i="11404"/>
  <c r="B181" i="11404"/>
  <c r="C181" i="11404"/>
  <c r="E181" i="11404"/>
  <c r="G181" i="11404"/>
  <c r="I181" i="11404"/>
  <c r="K181" i="11404"/>
  <c r="N181" i="11404"/>
  <c r="B182" i="11404"/>
  <c r="C182" i="11404"/>
  <c r="E182" i="11404"/>
  <c r="G182" i="11404"/>
  <c r="I182" i="11404"/>
  <c r="K182" i="11404"/>
  <c r="N182" i="11404"/>
  <c r="B183" i="11404"/>
  <c r="C183" i="11404"/>
  <c r="E183" i="11404"/>
  <c r="G183" i="11404"/>
  <c r="I183" i="11404"/>
  <c r="K183" i="11404"/>
  <c r="N183" i="11404"/>
  <c r="B184" i="11404"/>
  <c r="C184" i="11404"/>
  <c r="E184" i="11404"/>
  <c r="G184" i="11404"/>
  <c r="I184" i="11404"/>
  <c r="K184" i="11404"/>
  <c r="N184" i="11404"/>
  <c r="B185" i="11404"/>
  <c r="C185" i="11404"/>
  <c r="E185" i="11404"/>
  <c r="G185" i="11404"/>
  <c r="I185" i="11404"/>
  <c r="K185" i="11404"/>
  <c r="N185" i="11404"/>
  <c r="B186" i="11404"/>
  <c r="C186" i="11404"/>
  <c r="E186" i="11404"/>
  <c r="G186" i="11404"/>
  <c r="I186" i="11404"/>
  <c r="K186" i="11404"/>
  <c r="N186" i="11404"/>
  <c r="B187" i="11404"/>
  <c r="C187" i="11404"/>
  <c r="E187" i="11404"/>
  <c r="G187" i="11404"/>
  <c r="I187" i="11404"/>
  <c r="K187" i="11404"/>
  <c r="N187" i="11404"/>
  <c r="B188" i="11404"/>
  <c r="C188" i="11404"/>
  <c r="E188" i="11404"/>
  <c r="G188" i="11404"/>
  <c r="I188" i="11404"/>
  <c r="K188" i="11404"/>
  <c r="N188" i="11404"/>
  <c r="B189" i="11404"/>
  <c r="C189" i="11404"/>
  <c r="E189" i="11404"/>
  <c r="G189" i="11404"/>
  <c r="I189" i="11404"/>
  <c r="K189" i="11404"/>
  <c r="N189" i="11404"/>
  <c r="B190" i="11404"/>
  <c r="C190" i="11404"/>
  <c r="E190" i="11404"/>
  <c r="G190" i="11404"/>
  <c r="I190" i="11404"/>
  <c r="K190" i="11404"/>
  <c r="N190" i="11404"/>
  <c r="B191" i="11404"/>
  <c r="C191" i="11404"/>
  <c r="E191" i="11404"/>
  <c r="G191" i="11404"/>
  <c r="I191" i="11404"/>
  <c r="K191" i="11404"/>
  <c r="N191" i="11404"/>
  <c r="B192" i="11404"/>
  <c r="C192" i="11404"/>
  <c r="E192" i="11404"/>
  <c r="G192" i="11404"/>
  <c r="I192" i="11404"/>
  <c r="K192" i="11404"/>
  <c r="N192" i="11404"/>
  <c r="B193" i="11404"/>
  <c r="C193" i="11404"/>
  <c r="E193" i="11404"/>
  <c r="G193" i="11404"/>
  <c r="I193" i="11404"/>
  <c r="K193" i="11404"/>
  <c r="N193" i="11404"/>
  <c r="B194" i="11404"/>
  <c r="C194" i="11404"/>
  <c r="E194" i="11404"/>
  <c r="G194" i="11404"/>
  <c r="I194" i="11404"/>
  <c r="K194" i="11404"/>
  <c r="N194" i="11404"/>
  <c r="B195" i="11404"/>
  <c r="C195" i="11404"/>
  <c r="E195" i="11404"/>
  <c r="G195" i="11404"/>
  <c r="I195" i="11404"/>
  <c r="K195" i="11404"/>
  <c r="N195" i="11404"/>
  <c r="B196" i="11404"/>
  <c r="C196" i="11404"/>
  <c r="E196" i="11404"/>
  <c r="G196" i="11404"/>
  <c r="I196" i="11404"/>
  <c r="K196" i="11404"/>
  <c r="N196" i="11404"/>
  <c r="B197" i="11404"/>
  <c r="C197" i="11404"/>
  <c r="E197" i="11404"/>
  <c r="G197" i="11404"/>
  <c r="I197" i="11404"/>
  <c r="K197" i="11404"/>
  <c r="N197" i="11404"/>
  <c r="B198" i="11404"/>
  <c r="C198" i="11404"/>
  <c r="E198" i="11404"/>
  <c r="G198" i="11404"/>
  <c r="I198" i="11404"/>
  <c r="K198" i="11404"/>
  <c r="N198" i="11404"/>
  <c r="B199" i="11404"/>
  <c r="C199" i="11404"/>
  <c r="E199" i="11404"/>
  <c r="G199" i="11404"/>
  <c r="I199" i="11404"/>
  <c r="K199" i="11404"/>
  <c r="N199" i="11404"/>
  <c r="B200" i="11404"/>
  <c r="C200" i="11404"/>
  <c r="E200" i="11404"/>
  <c r="G200" i="11404"/>
  <c r="I200" i="11404"/>
  <c r="K200" i="11404"/>
  <c r="N200" i="11404"/>
  <c r="B201" i="11404"/>
  <c r="C201" i="11404"/>
  <c r="E201" i="11404"/>
  <c r="G201" i="11404"/>
  <c r="I201" i="11404"/>
  <c r="K201" i="11404"/>
  <c r="N201" i="11404"/>
  <c r="B202" i="11404"/>
  <c r="C202" i="11404"/>
  <c r="E202" i="11404"/>
  <c r="G202" i="11404"/>
  <c r="I202" i="11404"/>
  <c r="K202" i="11404"/>
  <c r="N202" i="11404"/>
  <c r="B203" i="11404"/>
  <c r="C203" i="11404"/>
  <c r="E203" i="11404"/>
  <c r="G203" i="11404"/>
  <c r="I203" i="11404"/>
  <c r="K203" i="11404"/>
  <c r="N203" i="11404"/>
  <c r="B204" i="11404"/>
  <c r="C204" i="11404"/>
  <c r="E204" i="11404"/>
  <c r="G204" i="11404"/>
  <c r="I204" i="11404"/>
  <c r="K204" i="11404"/>
  <c r="N204" i="11404"/>
  <c r="B205" i="11404"/>
  <c r="C205" i="11404"/>
  <c r="E205" i="11404"/>
  <c r="G205" i="11404"/>
  <c r="I205" i="11404"/>
  <c r="K205" i="11404"/>
  <c r="N205" i="11404"/>
  <c r="B206" i="11404"/>
  <c r="C206" i="11404"/>
  <c r="E206" i="11404"/>
  <c r="G206" i="11404"/>
  <c r="I206" i="11404"/>
  <c r="K206" i="11404"/>
  <c r="N206" i="11404"/>
  <c r="B207" i="11404"/>
  <c r="C207" i="11404"/>
  <c r="E207" i="11404"/>
  <c r="G207" i="11404"/>
  <c r="I207" i="11404"/>
  <c r="K207" i="11404"/>
  <c r="N207" i="11404"/>
  <c r="B208" i="11404"/>
  <c r="C208" i="11404"/>
  <c r="E208" i="11404"/>
  <c r="G208" i="11404"/>
  <c r="I208" i="11404"/>
  <c r="K208" i="11404"/>
  <c r="N208" i="11404"/>
  <c r="B209" i="11404"/>
  <c r="C209" i="11404"/>
  <c r="E209" i="11404"/>
  <c r="G209" i="11404"/>
  <c r="I209" i="11404"/>
  <c r="K209" i="11404"/>
  <c r="N209" i="11404"/>
  <c r="B210" i="11404"/>
  <c r="C210" i="11404"/>
  <c r="E210" i="11404"/>
  <c r="G210" i="11404"/>
  <c r="I210" i="11404"/>
  <c r="K210" i="11404"/>
  <c r="N210" i="11404"/>
  <c r="B211" i="11404"/>
  <c r="C211" i="11404"/>
  <c r="E211" i="11404"/>
  <c r="G211" i="11404"/>
  <c r="I211" i="11404"/>
  <c r="K211" i="11404"/>
  <c r="N211" i="11404"/>
  <c r="B212" i="11404"/>
  <c r="C212" i="11404"/>
  <c r="E212" i="11404"/>
  <c r="G212" i="11404"/>
  <c r="I212" i="11404"/>
  <c r="K212" i="11404"/>
  <c r="N212" i="11404"/>
  <c r="B213" i="11404"/>
  <c r="C213" i="11404"/>
  <c r="E213" i="11404"/>
  <c r="G213" i="11404"/>
  <c r="I213" i="11404"/>
  <c r="K213" i="11404"/>
  <c r="N213" i="11404"/>
  <c r="B214" i="11404"/>
  <c r="C214" i="11404"/>
  <c r="E214" i="11404"/>
  <c r="G214" i="11404"/>
  <c r="I214" i="11404"/>
  <c r="K214" i="11404"/>
  <c r="N214" i="11404"/>
  <c r="B215" i="11404"/>
  <c r="C215" i="11404"/>
  <c r="E215" i="11404"/>
  <c r="G215" i="11404"/>
  <c r="I215" i="11404"/>
  <c r="K215" i="11404"/>
  <c r="N215" i="11404"/>
  <c r="B216" i="11404"/>
  <c r="C216" i="11404"/>
  <c r="E216" i="11404"/>
  <c r="G216" i="11404"/>
  <c r="I216" i="11404"/>
  <c r="K216" i="11404"/>
  <c r="N216" i="11404"/>
  <c r="B217" i="11404"/>
  <c r="C217" i="11404"/>
  <c r="E217" i="11404"/>
  <c r="G217" i="11404"/>
  <c r="I217" i="11404"/>
  <c r="K217" i="11404"/>
  <c r="N217" i="11404"/>
  <c r="B218" i="11404"/>
  <c r="C218" i="11404"/>
  <c r="E218" i="11404"/>
  <c r="G218" i="11404"/>
  <c r="I218" i="11404"/>
  <c r="K218" i="11404"/>
  <c r="N218" i="11404"/>
  <c r="B219" i="11404"/>
  <c r="C219" i="11404"/>
  <c r="E219" i="11404"/>
  <c r="G219" i="11404"/>
  <c r="I219" i="11404"/>
  <c r="K219" i="11404"/>
  <c r="N219" i="11404"/>
  <c r="B220" i="11404"/>
  <c r="C220" i="11404"/>
  <c r="E220" i="11404"/>
  <c r="G220" i="11404"/>
  <c r="I220" i="11404"/>
  <c r="K220" i="11404"/>
  <c r="N220" i="11404"/>
  <c r="B221" i="11404"/>
  <c r="C221" i="11404"/>
  <c r="E221" i="11404"/>
  <c r="G221" i="11404"/>
  <c r="I221" i="11404"/>
  <c r="K221" i="11404"/>
  <c r="N221" i="11404"/>
  <c r="B222" i="11404"/>
  <c r="C222" i="11404"/>
  <c r="E222" i="11404"/>
  <c r="G222" i="11404"/>
  <c r="I222" i="11404"/>
  <c r="K222" i="11404"/>
  <c r="N222" i="11404"/>
  <c r="B223" i="11404"/>
  <c r="C223" i="11404"/>
  <c r="E223" i="11404"/>
  <c r="G223" i="11404"/>
  <c r="I223" i="11404"/>
  <c r="K223" i="11404"/>
  <c r="N223" i="11404"/>
  <c r="B224" i="11404"/>
  <c r="C224" i="11404"/>
  <c r="E224" i="11404"/>
  <c r="G224" i="11404"/>
  <c r="I224" i="11404"/>
  <c r="K224" i="11404"/>
  <c r="N224" i="11404"/>
  <c r="B225" i="11404"/>
  <c r="C225" i="11404"/>
  <c r="E225" i="11404"/>
  <c r="G225" i="11404"/>
  <c r="I225" i="11404"/>
  <c r="K225" i="11404"/>
  <c r="N225" i="11404"/>
  <c r="C228" i="11404"/>
  <c r="C229" i="11404"/>
  <c r="C230" i="11404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AE5" authorId="0" shapeId="0">
      <text>
        <r>
          <rPr>
            <sz val="8"/>
            <color indexed="81"/>
            <rFont val="Tahoma"/>
          </rPr>
          <t>Carlos</t>
        </r>
      </text>
    </comment>
  </commentList>
</comments>
</file>

<file path=xl/sharedStrings.xml><?xml version="1.0" encoding="utf-8"?>
<sst xmlns="http://schemas.openxmlformats.org/spreadsheetml/2006/main" count="1372" uniqueCount="322">
  <si>
    <t>Heat Rate</t>
  </si>
  <si>
    <t>Converted Gas</t>
  </si>
  <si>
    <t>Capacity</t>
  </si>
  <si>
    <t>Total</t>
  </si>
  <si>
    <t>Price- to $/MWH</t>
  </si>
  <si>
    <t>Vols</t>
  </si>
  <si>
    <t>Peak Curve</t>
  </si>
  <si>
    <t>MW</t>
  </si>
  <si>
    <t>MWH/Mo.</t>
  </si>
  <si>
    <t>DF</t>
  </si>
  <si>
    <t>Fuel Curve</t>
  </si>
  <si>
    <t>PJM</t>
  </si>
  <si>
    <t>Monthly Volatilities</t>
  </si>
  <si>
    <t>Intra-Month Volatilties</t>
  </si>
  <si>
    <t>PEAK</t>
  </si>
  <si>
    <t>OFF-PEAK</t>
  </si>
  <si>
    <t>Saturday</t>
  </si>
  <si>
    <t>Sunday</t>
  </si>
  <si>
    <t>Peak</t>
  </si>
  <si>
    <t>OffPeak</t>
  </si>
  <si>
    <t>Group</t>
  </si>
  <si>
    <t>Prudent</t>
  </si>
  <si>
    <t>Correlation</t>
  </si>
  <si>
    <t>Bid</t>
  </si>
  <si>
    <t>Mid</t>
  </si>
  <si>
    <t>Offer</t>
  </si>
  <si>
    <t>Code</t>
  </si>
  <si>
    <t>Factor</t>
  </si>
  <si>
    <t>Start</t>
  </si>
  <si>
    <t>End</t>
  </si>
  <si>
    <t>Gas-Power</t>
  </si>
  <si>
    <t>($/MWH)</t>
  </si>
  <si>
    <t>Month</t>
  </si>
  <si>
    <t>Daily Price Profile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</si>
  <si>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</si>
  <si>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</si>
  <si>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</si>
  <si>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</si>
  <si>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</si>
  <si>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</si>
  <si>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</si>
  <si>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</si>
  <si>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</si>
  <si>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</si>
  <si>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</si>
  <si>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</si>
  <si>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HR</t>
  </si>
  <si>
    <t>P/OP</t>
  </si>
  <si>
    <t>2</t>
  </si>
  <si>
    <t>1</t>
  </si>
  <si>
    <t>Volatility Smile</t>
  </si>
  <si>
    <t>Price Sensitivies</t>
  </si>
  <si>
    <t>AA Curve</t>
  </si>
  <si>
    <t>Risk Free</t>
  </si>
  <si>
    <t>AA</t>
  </si>
  <si>
    <t>Curve Code</t>
  </si>
  <si>
    <t>Curve Type</t>
  </si>
  <si>
    <t>Off-Peak</t>
  </si>
  <si>
    <t># of Months</t>
  </si>
  <si>
    <t>Leap Year</t>
  </si>
  <si>
    <t>Date</t>
  </si>
  <si>
    <t>Days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</si>
  <si>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</si>
  <si>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</si>
  <si>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</si>
  <si>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</si>
  <si>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</si>
  <si>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</si>
  <si>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</si>
  <si>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</si>
  <si>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</si>
  <si>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</si>
  <si>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</si>
  <si>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REGION 1D</t>
  </si>
  <si>
    <t>East Hub</t>
  </si>
  <si>
    <t>Year</t>
  </si>
  <si>
    <t>Months</t>
  </si>
  <si>
    <t>Total MWhs</t>
  </si>
  <si>
    <t>Max</t>
  </si>
  <si>
    <t>Low Sulfur HO</t>
  </si>
  <si>
    <t>Basis DelMarva</t>
  </si>
  <si>
    <t>PriceCurve</t>
  </si>
  <si>
    <t>Vol Curve</t>
  </si>
  <si>
    <t>Trucking from Phily</t>
  </si>
  <si>
    <t>Book Type</t>
  </si>
  <si>
    <t>Basis NYH</t>
  </si>
  <si>
    <t>$.03/gal over NYH</t>
  </si>
  <si>
    <t>MMBTU/Bbl</t>
  </si>
  <si>
    <t>Gas Equiv. Price</t>
  </si>
  <si>
    <t>VOM</t>
  </si>
  <si>
    <t>$/Kwh</t>
  </si>
  <si>
    <t>Settlement Days</t>
  </si>
  <si>
    <t>Company</t>
  </si>
  <si>
    <t>Projections</t>
  </si>
  <si>
    <t>Base Case</t>
  </si>
  <si>
    <t>Inflation</t>
  </si>
  <si>
    <t>Fee</t>
  </si>
  <si>
    <t>Costs</t>
  </si>
  <si>
    <t>Maintenance</t>
  </si>
  <si>
    <t>O&amp;M</t>
  </si>
  <si>
    <t>TBS</t>
  </si>
  <si>
    <t>Parts Co.</t>
  </si>
  <si>
    <t>Mgmt. Fee</t>
  </si>
  <si>
    <t>Years</t>
  </si>
  <si>
    <t>Net Installed Capacity</t>
  </si>
  <si>
    <t>Installed Capacity (MW)</t>
  </si>
  <si>
    <t>Reserve</t>
  </si>
  <si>
    <t>Mkt. Fee</t>
  </si>
  <si>
    <t>Propty. Tax</t>
  </si>
  <si>
    <t>Oper. Ins.</t>
  </si>
  <si>
    <t>Charges</t>
  </si>
  <si>
    <t>Option</t>
  </si>
  <si>
    <t>Revenue</t>
  </si>
  <si>
    <t>Spot Revenue</t>
  </si>
  <si>
    <t>Spot</t>
  </si>
  <si>
    <t>Simulated</t>
  </si>
  <si>
    <t>PJM Curve</t>
  </si>
  <si>
    <t>Fuel</t>
  </si>
  <si>
    <t>Oper. Exp.</t>
  </si>
  <si>
    <t>EBITDA</t>
  </si>
  <si>
    <t>Capacity Charges</t>
  </si>
  <si>
    <t>Option Revenue</t>
  </si>
  <si>
    <t>Total Revenues</t>
  </si>
  <si>
    <t>Fuel Charges</t>
  </si>
  <si>
    <t>Operating Expenses</t>
  </si>
  <si>
    <t>Total Expenses</t>
  </si>
  <si>
    <t>EOM</t>
  </si>
  <si>
    <t>Spread Over Treasuries</t>
  </si>
  <si>
    <t>All-in-Rate</t>
  </si>
  <si>
    <t>Beginning Balance</t>
  </si>
  <si>
    <t>Principal Payment</t>
  </si>
  <si>
    <t>Ending Balance</t>
  </si>
  <si>
    <t>Interest rate</t>
  </si>
  <si>
    <t>Interest Expense</t>
  </si>
  <si>
    <t>Project Years</t>
  </si>
  <si>
    <t xml:space="preserve"> Debt Amort</t>
  </si>
  <si>
    <t>Interest Exp./Income:</t>
  </si>
  <si>
    <t xml:space="preserve">  Long-term Debt</t>
  </si>
  <si>
    <t xml:space="preserve">  Interest Income</t>
  </si>
  <si>
    <t xml:space="preserve">  LC Charge on DSRF</t>
  </si>
  <si>
    <t>Long-Term Debt</t>
  </si>
  <si>
    <t>DSRF Maintenance</t>
  </si>
  <si>
    <t>Requirement</t>
  </si>
  <si>
    <t>LC Fee</t>
  </si>
  <si>
    <t>Principal &amp; Interest</t>
  </si>
  <si>
    <t>Depr. &amp; Amortization</t>
  </si>
  <si>
    <t>Earnings Before Taxes</t>
  </si>
  <si>
    <t xml:space="preserve">  Virginia Income Taxes</t>
  </si>
  <si>
    <t>Income Statement</t>
  </si>
  <si>
    <t>Cash Flow Statement</t>
  </si>
  <si>
    <t>Net Income</t>
  </si>
  <si>
    <t>Traditional Cash Flow</t>
  </si>
  <si>
    <t>Working Capital Req.</t>
  </si>
  <si>
    <t xml:space="preserve">  O&amp;M</t>
  </si>
  <si>
    <t xml:space="preserve">  Fuel</t>
  </si>
  <si>
    <t>Deferred Tax Calculation</t>
  </si>
  <si>
    <t>Earnings Before Dep. &amp; Taxes</t>
  </si>
  <si>
    <t>Tax Depreciation</t>
  </si>
  <si>
    <t>Earnings after State Income Taxes</t>
  </si>
  <si>
    <t>Taxable Income</t>
  </si>
  <si>
    <t>NOL Carryforward</t>
  </si>
  <si>
    <t xml:space="preserve">  Beginning Balance of NOL</t>
  </si>
  <si>
    <t xml:space="preserve">  Additions</t>
  </si>
  <si>
    <t xml:space="preserve">  NOL Caryforwards Used</t>
  </si>
  <si>
    <t xml:space="preserve">  Ending Balance of NOL</t>
  </si>
  <si>
    <t>Net Tax Rate</t>
  </si>
  <si>
    <t>Tax Liability</t>
  </si>
  <si>
    <t>Net Cash Flow</t>
  </si>
  <si>
    <t>Beginning Cash Balance</t>
  </si>
  <si>
    <t>Ending Cash Balance</t>
  </si>
  <si>
    <t>Curve</t>
  </si>
  <si>
    <t>AA Rate</t>
  </si>
  <si>
    <t>NP15</t>
  </si>
  <si>
    <t>Day Count</t>
  </si>
  <si>
    <t>Sq. Root</t>
  </si>
  <si>
    <t>Mu-Sigma</t>
  </si>
  <si>
    <t>Shifted</t>
  </si>
  <si>
    <t>Random Variable</t>
  </si>
  <si>
    <t>Enron</t>
  </si>
  <si>
    <t>Variance</t>
  </si>
  <si>
    <t>Power</t>
  </si>
  <si>
    <t>Hour</t>
  </si>
  <si>
    <t>1100</t>
  </si>
  <si>
    <t>1200</t>
  </si>
  <si>
    <t>1300</t>
  </si>
  <si>
    <t>1400</t>
  </si>
  <si>
    <t>1500</t>
  </si>
  <si>
    <t>1600</t>
  </si>
  <si>
    <t>1700</t>
  </si>
  <si>
    <t>1800</t>
  </si>
  <si>
    <t>1900</t>
  </si>
  <si>
    <t>2000</t>
  </si>
  <si>
    <t>2100</t>
  </si>
  <si>
    <t>2200</t>
  </si>
  <si>
    <t>2300</t>
  </si>
  <si>
    <t>2400</t>
  </si>
  <si>
    <t>Totals</t>
  </si>
  <si>
    <t>Check</t>
  </si>
  <si>
    <t>Price</t>
  </si>
  <si>
    <t>Super Peak</t>
  </si>
  <si>
    <t>5x16 (Super Peak)</t>
  </si>
  <si>
    <t>Daily Volatility</t>
  </si>
  <si>
    <t xml:space="preserve">Daily </t>
  </si>
  <si>
    <t>Monthly</t>
  </si>
  <si>
    <t>Std Dev</t>
  </si>
  <si>
    <t>PJM Region 1D</t>
  </si>
  <si>
    <t>Forecast</t>
  </si>
  <si>
    <t>Daily Price Profile - Scalars</t>
  </si>
  <si>
    <t>Strike</t>
  </si>
  <si>
    <t>$/MWh</t>
  </si>
  <si>
    <t># of time</t>
  </si>
  <si>
    <t>PJM &gt;Strike</t>
  </si>
  <si>
    <t>MWh</t>
  </si>
  <si>
    <t>Revenues</t>
  </si>
  <si>
    <t>Flag</t>
  </si>
  <si>
    <t>EBITDA/P&amp;I</t>
  </si>
  <si>
    <t xml:space="preserve"> 1- 5</t>
  </si>
  <si>
    <t xml:space="preserve"> 6- 10</t>
  </si>
  <si>
    <t xml:space="preserve"> 11- 15</t>
  </si>
  <si>
    <t xml:space="preserve"> 15- 20</t>
  </si>
  <si>
    <t>Default %</t>
  </si>
  <si>
    <t>Less: Interest Expense</t>
  </si>
  <si>
    <t xml:space="preserve">         Principal</t>
  </si>
  <si>
    <t>Fixed</t>
  </si>
  <si>
    <t>Super</t>
  </si>
  <si>
    <t>Principal</t>
  </si>
  <si>
    <t>Payment</t>
  </si>
  <si>
    <t>"AA" PV</t>
  </si>
  <si>
    <t>Principal Value</t>
  </si>
  <si>
    <t>Spread Option Valuation</t>
  </si>
  <si>
    <t>Yield</t>
  </si>
  <si>
    <t>Time to</t>
  </si>
  <si>
    <t>Expiry</t>
  </si>
  <si>
    <t>Volumes</t>
  </si>
  <si>
    <t>(MWh/Month)</t>
  </si>
  <si>
    <t>Call</t>
  </si>
  <si>
    <t>Value</t>
  </si>
  <si>
    <t>less Fuel</t>
  </si>
  <si>
    <t>Call Value in Excess of Gross Margin</t>
  </si>
  <si>
    <t>Call Value</t>
  </si>
  <si>
    <t>Remaining</t>
  </si>
  <si>
    <t>Outstanding</t>
  </si>
  <si>
    <t>Debt</t>
  </si>
  <si>
    <t>a</t>
  </si>
  <si>
    <t>b</t>
  </si>
  <si>
    <t>Net Value</t>
  </si>
  <si>
    <t>(a - b + SV)</t>
  </si>
  <si>
    <t>Total Project Cost</t>
  </si>
  <si>
    <t xml:space="preserve">  Hard Costs</t>
  </si>
  <si>
    <t xml:space="preserve">  Soft Costs</t>
  </si>
  <si>
    <t>Equity</t>
  </si>
  <si>
    <t>Total Debt/Capital</t>
  </si>
  <si>
    <t>n/a</t>
  </si>
  <si>
    <t>Total Dispatched Volumes</t>
  </si>
  <si>
    <t>PV Dispatched Volumes</t>
  </si>
  <si>
    <t>Mid-Market Price of Power</t>
  </si>
  <si>
    <t>EBITDA/P&amp;I:</t>
  </si>
  <si>
    <t>Converted</t>
  </si>
  <si>
    <t>AA PV Value of Mid Curve</t>
  </si>
  <si>
    <t>Funded Debt</t>
  </si>
  <si>
    <t xml:space="preserve">  Total Capital</t>
  </si>
  <si>
    <t>Mid-Market Strike Price</t>
  </si>
  <si>
    <t>Advance Ratio against Margin</t>
  </si>
  <si>
    <t>Advance Ratio against Mid Curve</t>
  </si>
  <si>
    <t>Salvage Value</t>
  </si>
  <si>
    <t>TECO/Delmarva Merchant Plant Operating Statistics and Financial Summary</t>
  </si>
  <si>
    <t>Margin</t>
  </si>
  <si>
    <t>AA PV Value of Margin</t>
  </si>
  <si>
    <t xml:space="preserve">Today = </t>
  </si>
  <si>
    <t>Recovery %</t>
  </si>
  <si>
    <t>From</t>
  </si>
  <si>
    <t>To</t>
  </si>
  <si>
    <t># of Days</t>
  </si>
  <si>
    <t>Project Default</t>
  </si>
  <si>
    <t>MTM Value     of Calls</t>
  </si>
  <si>
    <t>Outstanding Debt</t>
  </si>
  <si>
    <t>RF Rate</t>
  </si>
  <si>
    <t>Int. Exp.</t>
  </si>
  <si>
    <t>Project Finance Debt:</t>
  </si>
  <si>
    <t>Loan Amount</t>
  </si>
  <si>
    <t>Interest Rate</t>
  </si>
  <si>
    <t>Term (Years)</t>
  </si>
  <si>
    <t>PVIFA</t>
  </si>
  <si>
    <t>Payment Amount (P&amp;I)</t>
  </si>
  <si>
    <t>Interest Payment</t>
  </si>
  <si>
    <t>315,000 KW/Month</t>
  </si>
  <si>
    <t>P&amp;I/KW per Month</t>
  </si>
  <si>
    <t>Dis. Outst. Debt</t>
  </si>
  <si>
    <t>Potenial Loss Buy Contract</t>
  </si>
  <si>
    <t>Potenial Loss Sell Contract</t>
  </si>
  <si>
    <t>AA DF</t>
  </si>
  <si>
    <t>Credit Reserve Buy</t>
  </si>
  <si>
    <t>Credit Reserve Sell</t>
  </si>
  <si>
    <t>Monthly P&amp;I ($45.55/KW Yr.)</t>
  </si>
  <si>
    <t>Discounted</t>
  </si>
  <si>
    <t>MTM Value</t>
  </si>
  <si>
    <t>Operational Data</t>
  </si>
  <si>
    <t>Mid-Market Price</t>
  </si>
  <si>
    <t>Strike Price</t>
  </si>
  <si>
    <t>Annual</t>
  </si>
  <si>
    <t>Notional MWh</t>
  </si>
  <si>
    <t>PV MWH</t>
  </si>
  <si>
    <t>PV MWh</t>
  </si>
  <si>
    <t>PV Revenues</t>
  </si>
  <si>
    <t>PV Fuel &amp; O&amp;M</t>
  </si>
  <si>
    <t>Mid-Mrkt Price.</t>
  </si>
  <si>
    <t>Margin Over Strike</t>
  </si>
  <si>
    <t>Notional MWH</t>
  </si>
  <si>
    <t>Notional</t>
  </si>
  <si>
    <t>PV</t>
  </si>
  <si>
    <t>Mid-Mkt. Price</t>
  </si>
  <si>
    <t>Fuel &amp; VOM</t>
  </si>
  <si>
    <t>Revenue Variance</t>
  </si>
  <si>
    <t>EBITDA Variance</t>
  </si>
  <si>
    <t>Fuel Charge Variance</t>
  </si>
  <si>
    <t>Project Base Case PV MWH</t>
  </si>
  <si>
    <t>Project Base Case</t>
  </si>
  <si>
    <t>Project Base Case Fuel Charge</t>
  </si>
  <si>
    <t>Project Base Case EBITDA:</t>
  </si>
  <si>
    <t>Project EBITDA/P&amp;I</t>
  </si>
  <si>
    <t>Project Base Case P&amp;I</t>
  </si>
  <si>
    <t>CRM Base Case P &amp;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</si>
</sst>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6" formatCode="_(* #,##0.000_);_(* \(#,##0.000\);_(* &quot;-&quot;??_);_(@_)"/>
    <numFmt numFmtId="167" formatCode="_(* #,##0.000_);_(* \(#,##0.000\);_(* &quot;-&quot;???_);_(@_)"/>
    <numFmt numFmtId="168" formatCode="dd\-mmm\-yy_);[Red]dd\-mmm\-yy_)"/>
    <numFmt numFmtId="169" formatCode="0_);[Red]\-0_)"/>
    <numFmt numFmtId="170" formatCode="mmm\-yy_)"/>
    <numFmt numFmtId="171" formatCode="#,##0.0000_);\(#,##0.0000\)"/>
    <numFmt numFmtId="173" formatCode="0.0%"/>
    <numFmt numFmtId="174" formatCode="_(* #,##0.0000_);_(* \(#,##0.0000\);_(* &quot;-&quot;??_);_(@_)"/>
    <numFmt numFmtId="175" formatCode="_(* #,##0.00000_);_(* \(#,##0.00000\);_(* &quot;-&quot;??_);_(@_)"/>
    <numFmt numFmtId="177" formatCode="0.000"/>
    <numFmt numFmtId="178" formatCode="mm/dd/yy"/>
    <numFmt numFmtId="180" formatCode="&quot;$&quot;#,##0"/>
    <numFmt numFmtId="181" formatCode="&quot;$&quot;#,##0.00"/>
    <numFmt numFmtId="182" formatCode="&quot;$&quot;#,##0.000"/>
    <numFmt numFmtId="183" formatCode="_(* #,##0.000000_);_(* \(#,##0.000000\);_(* &quot;-&quot;??_);_(@_)"/>
    <numFmt numFmtId="184" formatCode="0.000%"/>
    <numFmt numFmtId="185" formatCode="0.0000%"/>
    <numFmt numFmtId="186" formatCode="0.00000%"/>
    <numFmt numFmtId="195" formatCode="0.0000"/>
    <numFmt numFmtId="196" formatCode="&quot;$&quot;#,##0.000_);[Red]\(&quot;$&quot;#,##0.000\)"/>
    <numFmt numFmtId="198" formatCode="_(&quot;$&quot;* #,##0.0000_);_(&quot;$&quot;* \(#,##0.0000\);_(&quot;$&quot;* &quot;-&quot;??_);_(@_)"/>
    <numFmt numFmtId="200" formatCode="_(&quot;$&quot;* #,##0.00000_);_(&quot;$&quot;* \(#,##0.00000\);_(&quot;$&quot;* &quot;-&quot;??_);_(@_)"/>
    <numFmt numFmtId="202" formatCode="_(&quot;$&quot;* #,##0_);_(&quot;$&quot;* \(#,##0\);_(&quot;$&quot;* &quot;-&quot;??_);_(@_)"/>
    <numFmt numFmtId="204" formatCode="0.000000"/>
    <numFmt numFmtId="211" formatCode="_(&quot;£&quot;* #,##0_);_(&quot;£&quot;* \(#,##0\);_(&quot;£&quot;* &quot;-&quot;_);_(@_)"/>
    <numFmt numFmtId="212" formatCode="_(&quot;£&quot;* #,##0.00_);_(&quot;£&quot;* \(#,##0.00\);_(&quot;£&quot;* &quot;-&quot;??_);_(@_)"/>
    <numFmt numFmtId="227" formatCode="0.0"/>
    <numFmt numFmtId="237" formatCode="&quot;$&quot;#,##0.000_);\(&quot;$&quot;#,##0.000\)"/>
    <numFmt numFmtId="243" formatCode="&quot;$&quot;#,##0.0000_);\(&quot;$&quot;#,##0.0000\)"/>
    <numFmt numFmtId="271" formatCode="#,##0;\(#,##0\)"/>
    <numFmt numFmtId="287" formatCode="_(* #,##0.00000_);_(* \(#,##0.00000\);_(* &quot;-&quot;?????_);_(@_)"/>
    <numFmt numFmtId="292" formatCode="#,##0.0000;\(#,##0.0000\)"/>
  </numFmts>
  <fonts count="56">
    <font>
      <sz val="10"/>
      <name val="Arial"/>
    </font>
    <font>
      <sz val="10"/>
      <name val="Arial"/>
    </font>
    <font>
      <b/>
      <sz val="11"/>
      <name val="Arial Narrow"/>
      <family val="2"/>
    </font>
    <font>
      <b/>
      <sz val="10"/>
      <color indexed="18"/>
      <name val="Arial"/>
      <family val="2"/>
    </font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Courier"/>
    </font>
    <font>
      <sz val="10"/>
      <color indexed="8"/>
      <name val="Courier"/>
      <family val="3"/>
    </font>
    <font>
      <b/>
      <sz val="11"/>
      <color indexed="18"/>
      <name val="Arial Narrow"/>
      <family val="2"/>
    </font>
    <font>
      <sz val="12"/>
      <name val="Times New Roman"/>
    </font>
    <font>
      <b/>
      <sz val="12"/>
      <name val="Times New Roman"/>
    </font>
    <font>
      <sz val="8"/>
      <color indexed="81"/>
      <name val="Tahoma"/>
    </font>
    <font>
      <sz val="5"/>
      <name val="Times New Roman"/>
      <family val="1"/>
    </font>
    <font>
      <b/>
      <sz val="11"/>
      <color indexed="8"/>
      <name val="Arial Narrow"/>
      <family val="2"/>
    </font>
    <font>
      <b/>
      <sz val="12"/>
      <name val="Arial Narrow"/>
      <family val="2"/>
    </font>
    <font>
      <b/>
      <sz val="12"/>
      <color indexed="18"/>
      <name val="Arial Narrow"/>
      <family val="2"/>
    </font>
    <font>
      <sz val="12"/>
      <name val="Arial Narrow"/>
      <family val="2"/>
    </font>
    <font>
      <sz val="11"/>
      <color indexed="18"/>
      <name val="Arial Narrow"/>
      <family val="2"/>
    </font>
    <font>
      <sz val="8"/>
      <color indexed="18"/>
      <name val="Arial Narrow"/>
      <family val="2"/>
    </font>
    <font>
      <sz val="6"/>
      <color indexed="18"/>
      <name val="Arial"/>
      <family val="2"/>
    </font>
    <font>
      <sz val="12"/>
      <color indexed="18"/>
      <name val="Arial Narrow"/>
      <family val="2"/>
    </font>
    <font>
      <sz val="10"/>
      <color indexed="18"/>
      <name val="Arial"/>
      <family val="2"/>
    </font>
    <font>
      <b/>
      <sz val="6"/>
      <color indexed="18"/>
      <name val="Arial"/>
      <family val="2"/>
    </font>
    <font>
      <sz val="12"/>
      <name val="P-TIMES"/>
    </font>
    <font>
      <sz val="10"/>
      <name val="Univers"/>
    </font>
    <font>
      <sz val="10"/>
      <color indexed="8"/>
      <name val="MS Sans Serif"/>
    </font>
    <font>
      <sz val="11"/>
      <name val="Times New Roman"/>
    </font>
    <font>
      <sz val="11"/>
      <name val="Arial"/>
    </font>
    <font>
      <sz val="10"/>
      <name val="Arial"/>
    </font>
    <font>
      <sz val="10"/>
      <name val="Arial"/>
    </font>
    <font>
      <sz val="9.5"/>
      <name val="Arial"/>
    </font>
    <font>
      <sz val="9.5"/>
      <name val="Arial"/>
    </font>
    <font>
      <sz val="11"/>
      <color indexed="18"/>
      <name val="Times New Roman"/>
      <family val="1"/>
    </font>
    <font>
      <b/>
      <sz val="11"/>
      <color indexed="18"/>
      <name val="Times New Roman"/>
      <family val="1"/>
    </font>
    <font>
      <b/>
      <sz val="11"/>
      <color indexed="9"/>
      <name val="Arial Narrow"/>
      <family val="2"/>
    </font>
    <font>
      <sz val="9"/>
      <color indexed="18"/>
      <name val="Arial"/>
      <family val="2"/>
    </font>
    <font>
      <b/>
      <sz val="8"/>
      <color indexed="18"/>
      <name val="Arial Narrow"/>
      <family val="2"/>
    </font>
    <font>
      <b/>
      <sz val="14"/>
      <color indexed="18"/>
      <name val="Times New Roman"/>
      <family val="1"/>
    </font>
    <font>
      <sz val="7"/>
      <color indexed="18"/>
      <name val="Arial"/>
      <family val="2"/>
    </font>
    <font>
      <b/>
      <sz val="7"/>
      <color indexed="18"/>
      <name val="Arial"/>
      <family val="2"/>
    </font>
    <font>
      <b/>
      <sz val="10"/>
      <color indexed="10"/>
      <name val="Arial"/>
      <family val="2"/>
    </font>
    <font>
      <b/>
      <sz val="11"/>
      <color indexed="10"/>
      <name val="Arial Narrow"/>
      <family val="2"/>
    </font>
    <font>
      <sz val="12"/>
      <color indexed="10"/>
      <name val="Arial Narrow"/>
      <family val="2"/>
    </font>
    <font>
      <b/>
      <sz val="12"/>
      <color indexed="10"/>
      <name val="Arial Narrow"/>
      <family val="2"/>
    </font>
    <font>
      <b/>
      <sz val="16"/>
      <name val="Arial Narrow"/>
      <family val="2"/>
    </font>
    <font>
      <b/>
      <u/>
      <sz val="12"/>
      <color indexed="12"/>
      <name val="Arial"/>
    </font>
    <font>
      <b/>
      <sz val="10"/>
      <color indexed="12"/>
      <name val="Arial"/>
    </font>
    <font>
      <b/>
      <sz val="8"/>
      <color indexed="12"/>
      <name val="Arial"/>
    </font>
    <font>
      <b/>
      <sz val="11"/>
      <color indexed="12"/>
      <name val="Arial"/>
    </font>
    <font>
      <sz val="11"/>
      <name val="Arial Narrow"/>
      <family val="2"/>
    </font>
    <font>
      <sz val="10"/>
      <name val="Arial"/>
    </font>
    <font>
      <b/>
      <sz val="8"/>
      <color indexed="18"/>
      <name val="Arial"/>
      <family val="2"/>
    </font>
    <font>
      <b/>
      <sz val="10"/>
      <color indexed="18"/>
      <name val="Arial Narrow"/>
      <family val="2"/>
    </font>
    <font>
      <b/>
      <sz val="2"/>
      <color indexed="18"/>
      <name val="Arial Narrow"/>
      <family val="2"/>
    </font>
    <font>
      <b/>
      <sz val="7"/>
      <color indexed="18"/>
      <name val="Arial Narrow"/>
      <family val="2"/>
    </font>
    <font>
      <b/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9"/>
      </patternFill>
    </fill>
    <fill>
      <patternFill patternType="solid">
        <fgColor indexed="8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47"/>
        <bgColor indexed="9"/>
      </patternFill>
    </fill>
    <fill>
      <patternFill patternType="solid">
        <fgColor indexed="18"/>
        <bgColor indexed="9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9" fontId="1" fillId="0" borderId="0" applyFont="0" applyFill="0" applyBorder="0" applyAlignment="0" applyProtection="0"/>
  </cellStyleXfs>
  <cellXfs count="758">
    <xf numFmtId="0" fontId="0" fillId="0" borderId="0" xfId="0"/>
    <xf numFmtId="0" fontId="3" fillId="2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4" fillId="0" borderId="0" xfId="0" applyFont="1" applyFill="1" applyBorder="1"/>
    <xf numFmtId="14" fontId="0" fillId="0" borderId="0" xfId="0" applyNumberFormat="1" applyFill="1" applyBorder="1"/>
    <xf numFmtId="14" fontId="4" fillId="0" borderId="0" xfId="0" applyNumberFormat="1" applyFont="1" applyFill="1" applyBorder="1"/>
    <xf numFmtId="17" fontId="5" fillId="0" borderId="0" xfId="0" applyNumberFormat="1" applyFont="1" applyFill="1" applyBorder="1"/>
    <xf numFmtId="0" fontId="5" fillId="0" borderId="0" xfId="0" applyFont="1" applyFill="1" applyBorder="1"/>
    <xf numFmtId="0" fontId="4" fillId="0" borderId="0" xfId="0" applyFont="1" applyFill="1" applyBorder="1" applyAlignment="1">
      <alignment horizontal="centerContinuous"/>
    </xf>
    <xf numFmtId="43" fontId="5" fillId="0" borderId="0" xfId="1" applyFont="1" applyFill="1" applyBorder="1" applyAlignment="1" applyProtection="1">
      <alignment horizontal="centerContinuous"/>
      <protection locked="0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Continuous"/>
    </xf>
    <xf numFmtId="0" fontId="6" fillId="0" borderId="0" xfId="0" applyFont="1" applyFill="1" applyBorder="1" applyProtection="1">
      <protection locked="0"/>
    </xf>
    <xf numFmtId="0" fontId="3" fillId="2" borderId="0" xfId="0" applyFont="1" applyFill="1" applyBorder="1" applyAlignment="1">
      <alignment horizontal="center"/>
    </xf>
    <xf numFmtId="168" fontId="7" fillId="0" borderId="0" xfId="0" applyNumberFormat="1" applyFont="1" applyFill="1" applyBorder="1" applyAlignment="1" applyProtection="1">
      <alignment horizontal="centerContinuous"/>
      <protection locked="0"/>
    </xf>
    <xf numFmtId="169" fontId="4" fillId="0" borderId="0" xfId="0" applyNumberFormat="1" applyFont="1" applyFill="1" applyBorder="1" applyAlignment="1" applyProtection="1">
      <alignment horizontal="centerContinuous"/>
    </xf>
    <xf numFmtId="14" fontId="4" fillId="0" borderId="0" xfId="0" applyNumberFormat="1" applyFont="1" applyFill="1" applyBorder="1" applyProtection="1"/>
    <xf numFmtId="43" fontId="3" fillId="2" borderId="0" xfId="0" applyNumberFormat="1" applyFont="1" applyFill="1" applyBorder="1"/>
    <xf numFmtId="43" fontId="5" fillId="0" borderId="0" xfId="0" applyNumberFormat="1" applyFont="1" applyFill="1" applyBorder="1"/>
    <xf numFmtId="2" fontId="0" fillId="0" borderId="0" xfId="0" applyNumberFormat="1" applyFill="1" applyBorder="1"/>
    <xf numFmtId="43" fontId="4" fillId="0" borderId="0" xfId="0" applyNumberFormat="1" applyFont="1" applyFill="1" applyBorder="1"/>
    <xf numFmtId="170" fontId="5" fillId="0" borderId="0" xfId="0" applyNumberFormat="1" applyFont="1" applyFill="1" applyBorder="1" applyAlignment="1" applyProtection="1">
      <alignment horizontal="center"/>
    </xf>
    <xf numFmtId="10" fontId="4" fillId="0" borderId="0" xfId="0" applyNumberFormat="1" applyFont="1" applyFill="1" applyBorder="1"/>
    <xf numFmtId="171" fontId="7" fillId="0" borderId="0" xfId="0" applyNumberFormat="1" applyFont="1" applyFill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43" fontId="5" fillId="0" borderId="0" xfId="1" applyFont="1" applyFill="1" applyBorder="1" applyAlignment="1">
      <alignment horizontal="center"/>
    </xf>
    <xf numFmtId="173" fontId="0" fillId="0" borderId="0" xfId="4" applyNumberFormat="1" applyFont="1" applyFill="1" applyBorder="1"/>
    <xf numFmtId="173" fontId="4" fillId="0" borderId="0" xfId="4" applyNumberFormat="1" applyFont="1" applyFill="1" applyBorder="1"/>
    <xf numFmtId="0" fontId="3" fillId="2" borderId="2" xfId="0" applyFont="1" applyFill="1" applyBorder="1"/>
    <xf numFmtId="173" fontId="3" fillId="2" borderId="3" xfId="4" applyNumberFormat="1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173" fontId="3" fillId="2" borderId="0" xfId="4" applyNumberFormat="1" applyFont="1" applyFill="1" applyBorder="1"/>
    <xf numFmtId="0" fontId="3" fillId="2" borderId="6" xfId="0" applyFont="1" applyFill="1" applyBorder="1"/>
    <xf numFmtId="43" fontId="3" fillId="2" borderId="7" xfId="1" applyFont="1" applyFill="1" applyBorder="1" applyAlignment="1" applyProtection="1">
      <alignment horizontal="centerContinuous"/>
      <protection locked="0"/>
    </xf>
    <xf numFmtId="173" fontId="3" fillId="2" borderId="8" xfId="4" applyNumberFormat="1" applyFont="1" applyFill="1" applyBorder="1" applyAlignment="1" applyProtection="1">
      <alignment horizontal="centerContinuous"/>
      <protection locked="0"/>
    </xf>
    <xf numFmtId="0" fontId="3" fillId="2" borderId="9" xfId="0" applyFont="1" applyFill="1" applyBorder="1" applyAlignment="1">
      <alignment horizontal="centerContinuous"/>
    </xf>
    <xf numFmtId="173" fontId="3" fillId="2" borderId="10" xfId="4" applyNumberFormat="1" applyFont="1" applyFill="1" applyBorder="1"/>
    <xf numFmtId="173" fontId="3" fillId="2" borderId="11" xfId="4" applyNumberFormat="1" applyFont="1" applyFill="1" applyBorder="1"/>
    <xf numFmtId="173" fontId="3" fillId="2" borderId="12" xfId="4" applyNumberFormat="1" applyFont="1" applyFill="1" applyBorder="1"/>
    <xf numFmtId="0" fontId="9" fillId="0" borderId="0" xfId="3" applyAlignment="1"/>
    <xf numFmtId="0" fontId="10" fillId="0" borderId="0" xfId="3" applyNumberFormat="1" applyFont="1" applyAlignment="1"/>
    <xf numFmtId="0" fontId="10" fillId="0" borderId="0" xfId="3" applyNumberFormat="1" applyFont="1" applyAlignment="1">
      <alignment horizontal="center"/>
    </xf>
    <xf numFmtId="3" fontId="9" fillId="0" borderId="0" xfId="3" applyNumberFormat="1"/>
    <xf numFmtId="0" fontId="9" fillId="0" borderId="0" xfId="3" applyNumberFormat="1" applyFont="1" applyAlignment="1"/>
    <xf numFmtId="0" fontId="10" fillId="0" borderId="13" xfId="3" applyNumberFormat="1" applyFont="1" applyBorder="1" applyAlignment="1">
      <alignment horizontal="center"/>
    </xf>
    <xf numFmtId="0" fontId="12" fillId="0" borderId="0" xfId="3" applyFont="1" applyAlignment="1"/>
    <xf numFmtId="3" fontId="9" fillId="0" borderId="0" xfId="3" applyNumberFormat="1" applyAlignment="1"/>
    <xf numFmtId="3" fontId="9" fillId="0" borderId="0" xfId="3" applyNumberFormat="1" applyBorder="1"/>
    <xf numFmtId="3" fontId="9" fillId="0" borderId="14" xfId="3" applyNumberFormat="1" applyBorder="1" applyAlignment="1"/>
    <xf numFmtId="178" fontId="0" fillId="0" borderId="0" xfId="0" applyNumberFormat="1"/>
    <xf numFmtId="178" fontId="13" fillId="0" borderId="0" xfId="0" applyNumberFormat="1" applyFont="1" applyFill="1" applyBorder="1" applyProtection="1"/>
    <xf numFmtId="178" fontId="2" fillId="0" borderId="0" xfId="0" applyNumberFormat="1" applyFont="1"/>
    <xf numFmtId="0" fontId="3" fillId="0" borderId="0" xfId="0" applyFont="1"/>
    <xf numFmtId="0" fontId="3" fillId="2" borderId="3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2" borderId="7" xfId="0" applyFont="1" applyFill="1" applyBorder="1"/>
    <xf numFmtId="0" fontId="3" fillId="2" borderId="8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17" fontId="3" fillId="4" borderId="0" xfId="0" applyNumberFormat="1" applyFont="1" applyFill="1"/>
    <xf numFmtId="0" fontId="3" fillId="3" borderId="11" xfId="0" applyFont="1" applyFill="1" applyBorder="1"/>
    <xf numFmtId="17" fontId="3" fillId="0" borderId="0" xfId="0" applyNumberFormat="1" applyFont="1"/>
    <xf numFmtId="196" fontId="3" fillId="0" borderId="0" xfId="0" applyNumberFormat="1" applyFont="1" applyAlignment="1">
      <alignment horizontal="center"/>
    </xf>
    <xf numFmtId="173" fontId="3" fillId="0" borderId="0" xfId="0" applyNumberFormat="1" applyFont="1" applyAlignment="1">
      <alignment horizontal="center"/>
    </xf>
    <xf numFmtId="196" fontId="3" fillId="3" borderId="11" xfId="0" applyNumberFormat="1" applyFont="1" applyFill="1" applyBorder="1" applyAlignment="1">
      <alignment horizontal="center"/>
    </xf>
    <xf numFmtId="196" fontId="3" fillId="3" borderId="12" xfId="0" applyNumberFormat="1" applyFont="1" applyFill="1" applyBorder="1" applyAlignment="1">
      <alignment horizontal="center"/>
    </xf>
    <xf numFmtId="195" fontId="3" fillId="0" borderId="0" xfId="0" applyNumberFormat="1" applyFont="1" applyAlignment="1">
      <alignment horizontal="center"/>
    </xf>
    <xf numFmtId="0" fontId="14" fillId="0" borderId="0" xfId="0" applyFont="1"/>
    <xf numFmtId="0" fontId="16" fillId="0" borderId="0" xfId="0" applyFont="1"/>
    <xf numFmtId="178" fontId="14" fillId="0" borderId="0" xfId="0" applyNumberFormat="1" applyFont="1"/>
    <xf numFmtId="43" fontId="16" fillId="0" borderId="0" xfId="1" applyFont="1"/>
    <xf numFmtId="0" fontId="14" fillId="0" borderId="8" xfId="0" applyFont="1" applyBorder="1" applyAlignment="1">
      <alignment horizontal="center"/>
    </xf>
    <xf numFmtId="43" fontId="14" fillId="0" borderId="8" xfId="1" applyFont="1" applyBorder="1" applyAlignment="1">
      <alignment horizontal="center"/>
    </xf>
    <xf numFmtId="0" fontId="17" fillId="0" borderId="0" xfId="0" applyFont="1"/>
    <xf numFmtId="0" fontId="17" fillId="0" borderId="0" xfId="0" applyFont="1" applyBorder="1"/>
    <xf numFmtId="0" fontId="17" fillId="0" borderId="0" xfId="0" applyFont="1" applyFill="1" applyBorder="1"/>
    <xf numFmtId="164" fontId="17" fillId="0" borderId="0" xfId="1" applyNumberFormat="1" applyFont="1" applyBorder="1"/>
    <xf numFmtId="185" fontId="17" fillId="0" borderId="0" xfId="4" applyNumberFormat="1" applyFont="1"/>
    <xf numFmtId="0" fontId="17" fillId="0" borderId="0" xfId="0" applyFont="1" applyFill="1"/>
    <xf numFmtId="164" fontId="17" fillId="0" borderId="0" xfId="0" applyNumberFormat="1" applyFont="1"/>
    <xf numFmtId="164" fontId="17" fillId="0" borderId="0" xfId="1" applyNumberFormat="1" applyFont="1"/>
    <xf numFmtId="5" fontId="17" fillId="0" borderId="0" xfId="2" applyNumberFormat="1" applyFont="1"/>
    <xf numFmtId="185" fontId="17" fillId="0" borderId="0" xfId="4" applyNumberFormat="1" applyFont="1" applyFill="1" applyBorder="1"/>
    <xf numFmtId="164" fontId="17" fillId="0" borderId="0" xfId="1" applyNumberFormat="1" applyFont="1" applyFill="1" applyBorder="1"/>
    <xf numFmtId="178" fontId="17" fillId="0" borderId="0" xfId="0" applyNumberFormat="1" applyFont="1" applyFill="1" applyBorder="1" applyAlignment="1">
      <alignment horizontal="center"/>
    </xf>
    <xf numFmtId="178" fontId="17" fillId="2" borderId="1" xfId="0" applyNumberFormat="1" applyFont="1" applyFill="1" applyBorder="1"/>
    <xf numFmtId="0" fontId="18" fillId="3" borderId="0" xfId="0" applyFont="1" applyFill="1"/>
    <xf numFmtId="164" fontId="18" fillId="3" borderId="0" xfId="1" applyNumberFormat="1" applyFont="1" applyFill="1"/>
    <xf numFmtId="178" fontId="17" fillId="0" borderId="0" xfId="0" applyNumberFormat="1" applyFont="1"/>
    <xf numFmtId="0" fontId="18" fillId="3" borderId="0" xfId="0" applyFont="1" applyFill="1" applyBorder="1" applyAlignment="1">
      <alignment horizontal="center"/>
    </xf>
    <xf numFmtId="164" fontId="18" fillId="3" borderId="0" xfId="1" applyNumberFormat="1" applyFont="1" applyFill="1" applyBorder="1"/>
    <xf numFmtId="5" fontId="17" fillId="0" borderId="0" xfId="2" applyNumberFormat="1" applyFont="1" applyFill="1" applyBorder="1"/>
    <xf numFmtId="178" fontId="17" fillId="0" borderId="0" xfId="0" applyNumberFormat="1" applyFont="1" applyFill="1" applyBorder="1"/>
    <xf numFmtId="0" fontId="18" fillId="3" borderId="0" xfId="0" applyFont="1" applyFill="1" applyBorder="1"/>
    <xf numFmtId="9" fontId="18" fillId="3" borderId="0" xfId="4" applyFont="1" applyFill="1" applyBorder="1"/>
    <xf numFmtId="164" fontId="17" fillId="0" borderId="0" xfId="1" applyNumberFormat="1" applyFont="1" applyFill="1" applyBorder="1" applyAlignment="1">
      <alignment horizontal="centerContinuous"/>
    </xf>
    <xf numFmtId="164" fontId="17" fillId="0" borderId="0" xfId="1" applyNumberFormat="1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Fill="1" applyBorder="1" applyAlignment="1">
      <alignment horizontal="center"/>
    </xf>
    <xf numFmtId="173" fontId="17" fillId="3" borderId="15" xfId="4" applyNumberFormat="1" applyFont="1" applyFill="1" applyBorder="1" applyAlignment="1">
      <alignment horizontal="center"/>
    </xf>
    <xf numFmtId="164" fontId="17" fillId="0" borderId="0" xfId="1" applyNumberFormat="1" applyFont="1" applyFill="1" applyBorder="1" applyAlignment="1">
      <alignment horizontal="center"/>
    </xf>
    <xf numFmtId="0" fontId="17" fillId="2" borderId="8" xfId="0" quotePrefix="1" applyFont="1" applyFill="1" applyBorder="1"/>
    <xf numFmtId="0" fontId="17" fillId="2" borderId="1" xfId="0" applyFont="1" applyFill="1" applyBorder="1"/>
    <xf numFmtId="0" fontId="17" fillId="0" borderId="8" xfId="0" applyFont="1" applyBorder="1" applyAlignment="1">
      <alignment horizontal="center"/>
    </xf>
    <xf numFmtId="164" fontId="17" fillId="0" borderId="8" xfId="1" applyNumberFormat="1" applyFont="1" applyBorder="1" applyAlignment="1">
      <alignment horizontal="center"/>
    </xf>
    <xf numFmtId="185" fontId="17" fillId="0" borderId="0" xfId="4" applyNumberFormat="1" applyFont="1" applyFill="1" applyBorder="1" applyAlignment="1">
      <alignment horizontal="center"/>
    </xf>
    <xf numFmtId="0" fontId="17" fillId="2" borderId="2" xfId="0" applyFont="1" applyFill="1" applyBorder="1"/>
    <xf numFmtId="0" fontId="17" fillId="2" borderId="4" xfId="0" applyFont="1" applyFill="1" applyBorder="1"/>
    <xf numFmtId="14" fontId="17" fillId="0" borderId="0" xfId="0" applyNumberFormat="1" applyFont="1"/>
    <xf numFmtId="178" fontId="17" fillId="0" borderId="13" xfId="0" applyNumberFormat="1" applyFont="1" applyFill="1" applyBorder="1" applyAlignment="1">
      <alignment horizontal="center"/>
    </xf>
    <xf numFmtId="0" fontId="17" fillId="0" borderId="13" xfId="0" applyFont="1" applyFill="1" applyBorder="1" applyAlignment="1">
      <alignment horizontal="center"/>
    </xf>
    <xf numFmtId="185" fontId="17" fillId="0" borderId="13" xfId="4" applyNumberFormat="1" applyFont="1" applyFill="1" applyBorder="1" applyAlignment="1">
      <alignment horizontal="center"/>
    </xf>
    <xf numFmtId="164" fontId="17" fillId="0" borderId="13" xfId="1" applyNumberFormat="1" applyFont="1" applyFill="1" applyBorder="1" applyAlignment="1">
      <alignment horizontal="center"/>
    </xf>
    <xf numFmtId="43" fontId="17" fillId="3" borderId="16" xfId="1" applyFont="1" applyFill="1" applyBorder="1"/>
    <xf numFmtId="0" fontId="17" fillId="3" borderId="17" xfId="0" applyFont="1" applyFill="1" applyBorder="1" applyAlignment="1">
      <alignment horizontal="center"/>
    </xf>
    <xf numFmtId="0" fontId="17" fillId="3" borderId="18" xfId="0" applyFont="1" applyFill="1" applyBorder="1" applyAlignment="1">
      <alignment horizontal="center"/>
    </xf>
    <xf numFmtId="175" fontId="16" fillId="0" borderId="0" xfId="1" applyNumberFormat="1" applyFont="1"/>
    <xf numFmtId="183" fontId="9" fillId="0" borderId="19" xfId="1" applyNumberFormat="1" applyFont="1" applyBorder="1" applyAlignment="1"/>
    <xf numFmtId="14" fontId="16" fillId="0" borderId="0" xfId="1" applyNumberFormat="1" applyFont="1"/>
    <xf numFmtId="14" fontId="16" fillId="0" borderId="0" xfId="0" applyNumberFormat="1" applyFont="1"/>
    <xf numFmtId="174" fontId="15" fillId="0" borderId="0" xfId="1" applyNumberFormat="1" applyFont="1" applyFill="1" applyBorder="1" applyAlignment="1">
      <alignment horizontal="center"/>
    </xf>
    <xf numFmtId="175" fontId="15" fillId="3" borderId="15" xfId="1" applyNumberFormat="1" applyFont="1" applyFill="1" applyBorder="1" applyAlignment="1">
      <alignment horizontal="center"/>
    </xf>
    <xf numFmtId="175" fontId="14" fillId="0" borderId="0" xfId="1" applyNumberFormat="1" applyFont="1" applyFill="1" applyBorder="1" applyAlignment="1">
      <alignment horizontal="center"/>
    </xf>
    <xf numFmtId="175" fontId="14" fillId="0" borderId="8" xfId="1" applyNumberFormat="1" applyFont="1" applyFill="1" applyBorder="1" applyAlignment="1">
      <alignment horizontal="center"/>
    </xf>
    <xf numFmtId="0" fontId="17" fillId="2" borderId="5" xfId="0" applyFont="1" applyFill="1" applyBorder="1"/>
    <xf numFmtId="0" fontId="17" fillId="2" borderId="6" xfId="0" applyFont="1" applyFill="1" applyBorder="1"/>
    <xf numFmtId="10" fontId="17" fillId="0" borderId="0" xfId="0" applyNumberFormat="1" applyFont="1"/>
    <xf numFmtId="175" fontId="17" fillId="0" borderId="0" xfId="1" applyNumberFormat="1" applyFont="1" applyFill="1" applyBorder="1" applyProtection="1"/>
    <xf numFmtId="174" fontId="17" fillId="0" borderId="0" xfId="1" applyNumberFormat="1" applyFont="1"/>
    <xf numFmtId="166" fontId="17" fillId="0" borderId="0" xfId="1" applyNumberFormat="1" applyFont="1"/>
    <xf numFmtId="43" fontId="17" fillId="0" borderId="0" xfId="1" applyFont="1"/>
    <xf numFmtId="173" fontId="17" fillId="0" borderId="0" xfId="4" applyNumberFormat="1" applyFont="1"/>
    <xf numFmtId="173" fontId="17" fillId="0" borderId="0" xfId="4" applyNumberFormat="1" applyFont="1" applyBorder="1"/>
    <xf numFmtId="0" fontId="17" fillId="2" borderId="7" xfId="0" applyFont="1" applyFill="1" applyBorder="1"/>
    <xf numFmtId="0" fontId="17" fillId="2" borderId="9" xfId="0" applyFont="1" applyFill="1" applyBorder="1"/>
    <xf numFmtId="0" fontId="17" fillId="0" borderId="20" xfId="0" applyFont="1" applyBorder="1"/>
    <xf numFmtId="0" fontId="17" fillId="0" borderId="21" xfId="0" applyFont="1" applyBorder="1"/>
    <xf numFmtId="43" fontId="17" fillId="5" borderId="2" xfId="1" applyFont="1" applyFill="1" applyBorder="1"/>
    <xf numFmtId="43" fontId="17" fillId="5" borderId="5" xfId="1" applyFont="1" applyFill="1" applyBorder="1"/>
    <xf numFmtId="43" fontId="17" fillId="5" borderId="7" xfId="1" applyFont="1" applyFill="1" applyBorder="1"/>
    <xf numFmtId="164" fontId="17" fillId="0" borderId="8" xfId="1" applyNumberFormat="1" applyFont="1" applyBorder="1"/>
    <xf numFmtId="164" fontId="17" fillId="0" borderId="15" xfId="1" applyNumberFormat="1" applyFont="1" applyBorder="1"/>
    <xf numFmtId="0" fontId="17" fillId="0" borderId="22" xfId="0" applyFont="1" applyFill="1" applyBorder="1"/>
    <xf numFmtId="0" fontId="17" fillId="3" borderId="23" xfId="0" applyFont="1" applyFill="1" applyBorder="1" applyAlignment="1">
      <alignment horizontal="center"/>
    </xf>
    <xf numFmtId="178" fontId="17" fillId="0" borderId="0" xfId="0" applyNumberFormat="1" applyFont="1" applyFill="1" applyBorder="1" applyProtection="1"/>
    <xf numFmtId="164" fontId="17" fillId="0" borderId="0" xfId="1" quotePrefix="1" applyNumberFormat="1" applyFont="1" applyFill="1"/>
    <xf numFmtId="0" fontId="17" fillId="0" borderId="0" xfId="0" applyFont="1" applyBorder="1" applyAlignment="1">
      <alignment horizontal="center"/>
    </xf>
    <xf numFmtId="164" fontId="17" fillId="3" borderId="17" xfId="1" applyNumberFormat="1" applyFont="1" applyFill="1" applyBorder="1" applyAlignment="1">
      <alignment horizontal="center"/>
    </xf>
    <xf numFmtId="164" fontId="17" fillId="3" borderId="16" xfId="1" quotePrefix="1" applyNumberFormat="1" applyFont="1" applyFill="1" applyBorder="1"/>
    <xf numFmtId="0" fontId="19" fillId="0" borderId="0" xfId="0" applyFont="1"/>
    <xf numFmtId="0" fontId="20" fillId="0" borderId="0" xfId="0" applyFont="1"/>
    <xf numFmtId="10" fontId="20" fillId="0" borderId="0" xfId="0" applyNumberFormat="1" applyFont="1"/>
    <xf numFmtId="178" fontId="20" fillId="2" borderId="1" xfId="0" applyNumberFormat="1" applyFont="1" applyFill="1" applyBorder="1"/>
    <xf numFmtId="178" fontId="20" fillId="0" borderId="0" xfId="0" applyNumberFormat="1" applyFont="1" applyFill="1" applyBorder="1"/>
    <xf numFmtId="10" fontId="20" fillId="0" borderId="0" xfId="4" applyNumberFormat="1" applyFont="1" applyFill="1" applyBorder="1"/>
    <xf numFmtId="0" fontId="20" fillId="0" borderId="0" xfId="0" applyFont="1" applyFill="1" applyBorder="1"/>
    <xf numFmtId="178" fontId="20" fillId="0" borderId="0" xfId="0" applyNumberFormat="1" applyFont="1"/>
    <xf numFmtId="0" fontId="20" fillId="0" borderId="0" xfId="0" applyFont="1" applyFill="1" applyBorder="1" applyAlignment="1">
      <alignment horizontal="center"/>
    </xf>
    <xf numFmtId="14" fontId="20" fillId="0" borderId="13" xfId="0" applyNumberFormat="1" applyFont="1" applyBorder="1"/>
    <xf numFmtId="0" fontId="20" fillId="0" borderId="0" xfId="0" applyFont="1" applyAlignment="1">
      <alignment horizontal="center"/>
    </xf>
    <xf numFmtId="178" fontId="20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178" fontId="20" fillId="0" borderId="8" xfId="0" applyNumberFormat="1" applyFont="1" applyFill="1" applyBorder="1" applyAlignment="1">
      <alignment horizontal="center"/>
    </xf>
    <xf numFmtId="0" fontId="20" fillId="0" borderId="8" xfId="0" applyFont="1" applyFill="1" applyBorder="1" applyAlignment="1">
      <alignment horizontal="center"/>
    </xf>
    <xf numFmtId="164" fontId="20" fillId="0" borderId="0" xfId="0" applyNumberFormat="1" applyFont="1"/>
    <xf numFmtId="178" fontId="20" fillId="0" borderId="0" xfId="0" applyNumberFormat="1" applyFont="1" applyFill="1" applyBorder="1" applyProtection="1"/>
    <xf numFmtId="164" fontId="20" fillId="0" borderId="0" xfId="1" applyNumberFormat="1" applyFont="1"/>
    <xf numFmtId="10" fontId="20" fillId="0" borderId="0" xfId="4" applyNumberFormat="1" applyFont="1"/>
    <xf numFmtId="0" fontId="20" fillId="0" borderId="22" xfId="0" applyFont="1" applyFill="1" applyBorder="1"/>
    <xf numFmtId="10" fontId="20" fillId="0" borderId="6" xfId="0" applyNumberFormat="1" applyFont="1" applyBorder="1"/>
    <xf numFmtId="10" fontId="20" fillId="0" borderId="9" xfId="0" applyNumberFormat="1" applyFont="1" applyBorder="1"/>
    <xf numFmtId="0" fontId="15" fillId="0" borderId="20" xfId="0" applyNumberFormat="1" applyFont="1" applyBorder="1" applyAlignment="1" applyProtection="1">
      <alignment horizontal="center"/>
      <protection locked="0"/>
    </xf>
    <xf numFmtId="0" fontId="15" fillId="0" borderId="21" xfId="0" applyNumberFormat="1" applyFont="1" applyBorder="1" applyAlignment="1" applyProtection="1">
      <alignment horizontal="center"/>
      <protection locked="0"/>
    </xf>
    <xf numFmtId="14" fontId="20" fillId="0" borderId="5" xfId="0" applyNumberFormat="1" applyFont="1" applyBorder="1" applyAlignment="1">
      <alignment horizontal="center"/>
    </xf>
    <xf numFmtId="14" fontId="20" fillId="0" borderId="7" xfId="0" applyNumberFormat="1" applyFont="1" applyBorder="1" applyAlignment="1">
      <alignment horizontal="center"/>
    </xf>
    <xf numFmtId="164" fontId="20" fillId="0" borderId="7" xfId="1" applyNumberFormat="1" applyFont="1" applyBorder="1"/>
    <xf numFmtId="164" fontId="20" fillId="0" borderId="15" xfId="1" applyNumberFormat="1" applyFont="1" applyBorder="1"/>
    <xf numFmtId="0" fontId="15" fillId="2" borderId="23" xfId="0" applyFont="1" applyFill="1" applyBorder="1" applyAlignment="1">
      <alignment horizontal="center"/>
    </xf>
    <xf numFmtId="0" fontId="20" fillId="2" borderId="20" xfId="0" applyFont="1" applyFill="1" applyBorder="1"/>
    <xf numFmtId="178" fontId="20" fillId="2" borderId="15" xfId="0" applyNumberFormat="1" applyFont="1" applyFill="1" applyBorder="1"/>
    <xf numFmtId="10" fontId="20" fillId="2" borderId="21" xfId="4" applyNumberFormat="1" applyFont="1" applyFill="1" applyBorder="1"/>
    <xf numFmtId="164" fontId="20" fillId="0" borderId="0" xfId="1" applyNumberFormat="1" applyFont="1" applyFill="1"/>
    <xf numFmtId="14" fontId="20" fillId="0" borderId="0" xfId="0" applyNumberFormat="1" applyFont="1" applyBorder="1"/>
    <xf numFmtId="10" fontId="20" fillId="0" borderId="8" xfId="4" applyNumberFormat="1" applyFont="1" applyFill="1" applyBorder="1"/>
    <xf numFmtId="10" fontId="20" fillId="2" borderId="1" xfId="4" applyNumberFormat="1" applyFont="1" applyFill="1" applyBorder="1"/>
    <xf numFmtId="164" fontId="20" fillId="2" borderId="1" xfId="1" applyNumberFormat="1" applyFont="1" applyFill="1" applyBorder="1"/>
    <xf numFmtId="0" fontId="21" fillId="0" borderId="0" xfId="0" applyFont="1"/>
    <xf numFmtId="164" fontId="21" fillId="0" borderId="0" xfId="0" applyNumberFormat="1" applyFont="1"/>
    <xf numFmtId="164" fontId="21" fillId="0" borderId="0" xfId="1" applyNumberFormat="1" applyFont="1"/>
    <xf numFmtId="164" fontId="21" fillId="0" borderId="0" xfId="1" applyNumberFormat="1" applyFont="1" applyBorder="1"/>
    <xf numFmtId="164" fontId="21" fillId="0" borderId="8" xfId="1" applyNumberFormat="1" applyFont="1" applyBorder="1"/>
    <xf numFmtId="0" fontId="21" fillId="0" borderId="8" xfId="0" applyFont="1" applyBorder="1"/>
    <xf numFmtId="173" fontId="21" fillId="2" borderId="1" xfId="4" applyNumberFormat="1" applyFont="1" applyFill="1" applyBorder="1"/>
    <xf numFmtId="164" fontId="21" fillId="0" borderId="14" xfId="0" applyNumberFormat="1" applyFont="1" applyBorder="1"/>
    <xf numFmtId="14" fontId="3" fillId="0" borderId="13" xfId="0" applyNumberFormat="1" applyFont="1" applyBorder="1"/>
    <xf numFmtId="0" fontId="22" fillId="0" borderId="0" xfId="0" applyFont="1"/>
    <xf numFmtId="164" fontId="3" fillId="0" borderId="0" xfId="1" applyNumberFormat="1" applyFont="1"/>
    <xf numFmtId="164" fontId="3" fillId="0" borderId="0" xfId="1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3" fillId="2" borderId="23" xfId="0" applyFont="1" applyFill="1" applyBorder="1" applyAlignment="1">
      <alignment horizontal="center"/>
    </xf>
    <xf numFmtId="164" fontId="21" fillId="0" borderId="8" xfId="0" applyNumberFormat="1" applyFont="1" applyBorder="1"/>
    <xf numFmtId="164" fontId="21" fillId="0" borderId="0" xfId="0" applyNumberFormat="1" applyFont="1" applyBorder="1"/>
    <xf numFmtId="0" fontId="3" fillId="0" borderId="8" xfId="0" applyFont="1" applyBorder="1"/>
    <xf numFmtId="173" fontId="21" fillId="0" borderId="8" xfId="0" applyNumberFormat="1" applyFont="1" applyBorder="1"/>
    <xf numFmtId="164" fontId="21" fillId="0" borderId="15" xfId="0" applyNumberFormat="1" applyFont="1" applyBorder="1"/>
    <xf numFmtId="14" fontId="15" fillId="3" borderId="1" xfId="1" applyNumberFormat="1" applyFont="1" applyFill="1" applyBorder="1" applyAlignment="1">
      <alignment horizontal="center"/>
    </xf>
    <xf numFmtId="9" fontId="20" fillId="0" borderId="0" xfId="4" applyFont="1" applyFill="1" applyBorder="1"/>
    <xf numFmtId="174" fontId="20" fillId="0" borderId="0" xfId="1" applyNumberFormat="1" applyFont="1" applyFill="1" applyBorder="1" applyAlignment="1">
      <alignment horizontal="center"/>
    </xf>
    <xf numFmtId="174" fontId="8" fillId="3" borderId="10" xfId="1" applyNumberFormat="1" applyFont="1" applyFill="1" applyBorder="1" applyAlignment="1">
      <alignment horizontal="center"/>
    </xf>
    <xf numFmtId="164" fontId="20" fillId="0" borderId="0" xfId="1" applyNumberFormat="1" applyFont="1" applyFill="1" applyBorder="1"/>
    <xf numFmtId="0" fontId="15" fillId="0" borderId="0" xfId="0" applyFont="1" applyFill="1" applyBorder="1"/>
    <xf numFmtId="164" fontId="20" fillId="0" borderId="0" xfId="1" applyNumberFormat="1" applyFont="1" applyFill="1" applyBorder="1" applyAlignment="1">
      <alignment horizontal="center"/>
    </xf>
    <xf numFmtId="164" fontId="20" fillId="0" borderId="0" xfId="1" applyNumberFormat="1" applyFont="1" applyFill="1" applyBorder="1" applyAlignment="1">
      <alignment horizontal="right"/>
    </xf>
    <xf numFmtId="181" fontId="20" fillId="0" borderId="0" xfId="0" applyNumberFormat="1" applyFont="1" applyFill="1" applyBorder="1"/>
    <xf numFmtId="174" fontId="20" fillId="0" borderId="0" xfId="1" applyNumberFormat="1" applyFont="1" applyFill="1" applyBorder="1"/>
    <xf numFmtId="43" fontId="15" fillId="6" borderId="12" xfId="1" applyFont="1" applyFill="1" applyBorder="1" applyAlignment="1">
      <alignment horizontal="center"/>
    </xf>
    <xf numFmtId="0" fontId="20" fillId="0" borderId="0" xfId="1" applyNumberFormat="1" applyFont="1" applyFill="1" applyBorder="1" applyAlignment="1">
      <alignment horizontal="right"/>
    </xf>
    <xf numFmtId="164" fontId="15" fillId="0" borderId="0" xfId="1" applyNumberFormat="1" applyFont="1" applyFill="1" applyBorder="1" applyAlignment="1">
      <alignment horizontal="center"/>
    </xf>
    <xf numFmtId="0" fontId="15" fillId="0" borderId="0" xfId="1" applyNumberFormat="1" applyFont="1" applyFill="1" applyBorder="1" applyAlignment="1">
      <alignment horizontal="right"/>
    </xf>
    <xf numFmtId="164" fontId="15" fillId="0" borderId="0" xfId="1" applyNumberFormat="1" applyFont="1" applyFill="1" applyBorder="1"/>
    <xf numFmtId="164" fontId="15" fillId="0" borderId="0" xfId="1" applyNumberFormat="1" applyFont="1" applyFill="1" applyBorder="1" applyAlignment="1">
      <alignment horizontal="right"/>
    </xf>
    <xf numFmtId="0" fontId="15" fillId="0" borderId="0" xfId="0" applyFont="1" applyFill="1" applyBorder="1" applyAlignment="1">
      <alignment horizontal="center"/>
    </xf>
    <xf numFmtId="9" fontId="15" fillId="0" borderId="0" xfId="4" applyFont="1" applyFill="1" applyBorder="1" applyAlignment="1">
      <alignment horizontal="center"/>
    </xf>
    <xf numFmtId="0" fontId="15" fillId="3" borderId="10" xfId="0" applyFont="1" applyFill="1" applyBorder="1" applyAlignment="1">
      <alignment horizontal="center"/>
    </xf>
    <xf numFmtId="0" fontId="15" fillId="0" borderId="13" xfId="0" applyFont="1" applyFill="1" applyBorder="1" applyAlignment="1">
      <alignment horizontal="center"/>
    </xf>
    <xf numFmtId="9" fontId="15" fillId="0" borderId="13" xfId="4" applyFont="1" applyFill="1" applyBorder="1" applyAlignment="1">
      <alignment horizontal="center"/>
    </xf>
    <xf numFmtId="174" fontId="15" fillId="0" borderId="13" xfId="1" applyNumberFormat="1" applyFont="1" applyFill="1" applyBorder="1" applyAlignment="1">
      <alignment horizontal="center"/>
    </xf>
    <xf numFmtId="0" fontId="15" fillId="3" borderId="24" xfId="0" applyFont="1" applyFill="1" applyBorder="1" applyAlignment="1">
      <alignment horizontal="center"/>
    </xf>
    <xf numFmtId="15" fontId="15" fillId="0" borderId="0" xfId="0" applyNumberFormat="1" applyFont="1" applyFill="1" applyBorder="1"/>
    <xf numFmtId="43" fontId="20" fillId="0" borderId="0" xfId="1" applyFont="1" applyFill="1" applyBorder="1"/>
    <xf numFmtId="175" fontId="20" fillId="0" borderId="0" xfId="1" applyNumberFormat="1" applyFont="1" applyFill="1" applyBorder="1"/>
    <xf numFmtId="43" fontId="15" fillId="3" borderId="11" xfId="0" applyNumberFormat="1" applyFont="1" applyFill="1" applyBorder="1"/>
    <xf numFmtId="166" fontId="17" fillId="3" borderId="16" xfId="1" applyNumberFormat="1" applyFont="1" applyFill="1" applyBorder="1"/>
    <xf numFmtId="287" fontId="17" fillId="0" borderId="0" xfId="0" applyNumberFormat="1" applyFont="1" applyFill="1" applyBorder="1"/>
    <xf numFmtId="43" fontId="9" fillId="0" borderId="0" xfId="1" applyFont="1"/>
    <xf numFmtId="43" fontId="9" fillId="0" borderId="0" xfId="1" applyFont="1" applyAlignment="1"/>
    <xf numFmtId="43" fontId="9" fillId="0" borderId="0" xfId="1" applyFont="1" applyBorder="1"/>
    <xf numFmtId="43" fontId="9" fillId="0" borderId="14" xfId="1" applyFont="1" applyBorder="1" applyAlignment="1"/>
    <xf numFmtId="43" fontId="12" fillId="0" borderId="0" xfId="1" applyFont="1" applyAlignment="1"/>
    <xf numFmtId="43" fontId="10" fillId="0" borderId="13" xfId="1" applyFont="1" applyBorder="1" applyAlignment="1">
      <alignment horizontal="center"/>
    </xf>
    <xf numFmtId="43" fontId="10" fillId="0" borderId="0" xfId="1" applyFont="1" applyAlignment="1"/>
    <xf numFmtId="0" fontId="3" fillId="0" borderId="0" xfId="0" applyFont="1" applyFill="1" applyBorder="1"/>
    <xf numFmtId="17" fontId="3" fillId="0" borderId="0" xfId="0" applyNumberFormat="1" applyFont="1" applyFill="1" applyBorder="1"/>
    <xf numFmtId="0" fontId="3" fillId="0" borderId="13" xfId="0" applyFont="1" applyFill="1" applyBorder="1"/>
    <xf numFmtId="166" fontId="3" fillId="0" borderId="0" xfId="1" applyNumberFormat="1" applyFont="1" applyFill="1" applyBorder="1"/>
    <xf numFmtId="166" fontId="3" fillId="0" borderId="0" xfId="1" applyNumberFormat="1" applyFont="1" applyFill="1" applyBorder="1" applyAlignment="1">
      <alignment horizontal="center"/>
    </xf>
    <xf numFmtId="43" fontId="3" fillId="0" borderId="0" xfId="0" applyNumberFormat="1" applyFont="1" applyFill="1" applyBorder="1"/>
    <xf numFmtId="166" fontId="3" fillId="2" borderId="10" xfId="1" applyNumberFormat="1" applyFont="1" applyFill="1" applyBorder="1"/>
    <xf numFmtId="166" fontId="3" fillId="2" borderId="11" xfId="1" applyNumberFormat="1" applyFont="1" applyFill="1" applyBorder="1" applyAlignment="1">
      <alignment horizontal="center"/>
    </xf>
    <xf numFmtId="166" fontId="3" fillId="2" borderId="12" xfId="1" applyNumberFormat="1" applyFont="1" applyFill="1" applyBorder="1"/>
    <xf numFmtId="166" fontId="3" fillId="2" borderId="11" xfId="1" applyNumberFormat="1" applyFont="1" applyFill="1" applyBorder="1"/>
    <xf numFmtId="166" fontId="3" fillId="2" borderId="12" xfId="1" applyNumberFormat="1" applyFont="1" applyFill="1" applyBorder="1" applyAlignment="1">
      <alignment horizontal="center"/>
    </xf>
    <xf numFmtId="166" fontId="3" fillId="0" borderId="0" xfId="1" applyNumberFormat="1" applyFont="1"/>
    <xf numFmtId="43" fontId="3" fillId="2" borderId="0" xfId="1" applyFont="1" applyFill="1" applyBorder="1" applyAlignment="1" applyProtection="1">
      <alignment horizontal="center"/>
      <protection locked="0"/>
    </xf>
    <xf numFmtId="0" fontId="8" fillId="3" borderId="25" xfId="0" applyFont="1" applyFill="1" applyBorder="1"/>
    <xf numFmtId="0" fontId="8" fillId="3" borderId="26" xfId="0" applyFont="1" applyFill="1" applyBorder="1" applyAlignment="1">
      <alignment horizontal="center"/>
    </xf>
    <xf numFmtId="0" fontId="8" fillId="3" borderId="27" xfId="0" applyFont="1" applyFill="1" applyBorder="1" applyAlignment="1">
      <alignment horizontal="center"/>
    </xf>
    <xf numFmtId="0" fontId="8" fillId="3" borderId="28" xfId="0" applyFont="1" applyFill="1" applyBorder="1" applyAlignment="1">
      <alignment horizontal="center"/>
    </xf>
    <xf numFmtId="0" fontId="8" fillId="3" borderId="0" xfId="0" applyFont="1" applyFill="1" applyBorder="1" applyProtection="1">
      <protection locked="0"/>
    </xf>
    <xf numFmtId="0" fontId="8" fillId="3" borderId="22" xfId="0" applyFont="1" applyFill="1" applyBorder="1" applyProtection="1">
      <protection locked="0"/>
    </xf>
    <xf numFmtId="168" fontId="8" fillId="3" borderId="29" xfId="0" applyNumberFormat="1" applyFont="1" applyFill="1" applyBorder="1" applyAlignment="1" applyProtection="1">
      <alignment horizontal="centerContinuous"/>
      <protection locked="0"/>
    </xf>
    <xf numFmtId="169" fontId="17" fillId="3" borderId="30" xfId="0" applyNumberFormat="1" applyFont="1" applyFill="1" applyBorder="1" applyAlignment="1" applyProtection="1">
      <alignment horizontal="centerContinuous"/>
    </xf>
    <xf numFmtId="0" fontId="17" fillId="3" borderId="30" xfId="0" applyFont="1" applyFill="1" applyBorder="1" applyAlignment="1">
      <alignment horizontal="centerContinuous"/>
    </xf>
    <xf numFmtId="169" fontId="17" fillId="3" borderId="31" xfId="0" applyNumberFormat="1" applyFont="1" applyFill="1" applyBorder="1" applyAlignment="1" applyProtection="1">
      <alignment horizontal="centerContinuous"/>
    </xf>
    <xf numFmtId="170" fontId="8" fillId="3" borderId="23" xfId="0" applyNumberFormat="1" applyFont="1" applyFill="1" applyBorder="1" applyAlignment="1" applyProtection="1">
      <alignment horizontal="center"/>
    </xf>
    <xf numFmtId="164" fontId="8" fillId="3" borderId="30" xfId="1" applyNumberFormat="1" applyFont="1" applyFill="1" applyBorder="1" applyAlignment="1" applyProtection="1">
      <alignment horizontal="center"/>
    </xf>
    <xf numFmtId="164" fontId="8" fillId="3" borderId="31" xfId="1" applyNumberFormat="1" applyFont="1" applyFill="1" applyBorder="1" applyAlignment="1" applyProtection="1">
      <alignment horizontal="center"/>
    </xf>
    <xf numFmtId="0" fontId="8" fillId="3" borderId="16" xfId="0" applyFont="1" applyFill="1" applyBorder="1" applyAlignment="1">
      <alignment horizontal="center"/>
    </xf>
    <xf numFmtId="0" fontId="8" fillId="3" borderId="18" xfId="0" applyFont="1" applyFill="1" applyBorder="1" applyAlignment="1">
      <alignment horizontal="center"/>
    </xf>
    <xf numFmtId="171" fontId="17" fillId="2" borderId="2" xfId="0" applyNumberFormat="1" applyFont="1" applyFill="1" applyBorder="1" applyProtection="1">
      <protection locked="0"/>
    </xf>
    <xf numFmtId="171" fontId="17" fillId="2" borderId="3" xfId="0" applyNumberFormat="1" applyFont="1" applyFill="1" applyBorder="1" applyProtection="1">
      <protection locked="0"/>
    </xf>
    <xf numFmtId="171" fontId="17" fillId="2" borderId="4" xfId="0" applyNumberFormat="1" applyFont="1" applyFill="1" applyBorder="1" applyProtection="1">
      <protection locked="0"/>
    </xf>
    <xf numFmtId="171" fontId="17" fillId="2" borderId="5" xfId="0" applyNumberFormat="1" applyFont="1" applyFill="1" applyBorder="1" applyProtection="1">
      <protection locked="0"/>
    </xf>
    <xf numFmtId="171" fontId="17" fillId="2" borderId="0" xfId="0" applyNumberFormat="1" applyFont="1" applyFill="1" applyBorder="1" applyProtection="1">
      <protection locked="0"/>
    </xf>
    <xf numFmtId="171" fontId="17" fillId="2" borderId="6" xfId="0" applyNumberFormat="1" applyFont="1" applyFill="1" applyBorder="1" applyProtection="1">
      <protection locked="0"/>
    </xf>
    <xf numFmtId="171" fontId="17" fillId="2" borderId="7" xfId="0" applyNumberFormat="1" applyFont="1" applyFill="1" applyBorder="1" applyProtection="1">
      <protection locked="0"/>
    </xf>
    <xf numFmtId="171" fontId="17" fillId="2" borderId="8" xfId="0" applyNumberFormat="1" applyFont="1" applyFill="1" applyBorder="1" applyProtection="1">
      <protection locked="0"/>
    </xf>
    <xf numFmtId="171" fontId="17" fillId="2" borderId="9" xfId="0" applyNumberFormat="1" applyFont="1" applyFill="1" applyBorder="1" applyProtection="1">
      <protection locked="0"/>
    </xf>
    <xf numFmtId="0" fontId="32" fillId="0" borderId="0" xfId="0" applyFont="1" applyFill="1" applyBorder="1" applyAlignment="1">
      <alignment horizontal="center"/>
    </xf>
    <xf numFmtId="0" fontId="32" fillId="0" borderId="0" xfId="0" applyFont="1" applyFill="1" applyBorder="1"/>
    <xf numFmtId="0" fontId="32" fillId="0" borderId="6" xfId="0" applyFont="1" applyFill="1" applyBorder="1"/>
    <xf numFmtId="171" fontId="32" fillId="0" borderId="0" xfId="0" applyNumberFormat="1" applyFont="1" applyFill="1" applyBorder="1" applyProtection="1">
      <protection locked="0"/>
    </xf>
    <xf numFmtId="171" fontId="32" fillId="0" borderId="6" xfId="0" applyNumberFormat="1" applyFont="1" applyFill="1" applyBorder="1" applyProtection="1">
      <protection locked="0"/>
    </xf>
    <xf numFmtId="171" fontId="32" fillId="0" borderId="8" xfId="0" applyNumberFormat="1" applyFont="1" applyFill="1" applyBorder="1" applyProtection="1">
      <protection locked="0"/>
    </xf>
    <xf numFmtId="171" fontId="32" fillId="0" borderId="9" xfId="0" applyNumberFormat="1" applyFont="1" applyFill="1" applyBorder="1" applyProtection="1">
      <protection locked="0"/>
    </xf>
    <xf numFmtId="171" fontId="32" fillId="2" borderId="0" xfId="0" applyNumberFormat="1" applyFont="1" applyFill="1" applyBorder="1" applyProtection="1">
      <protection locked="0"/>
    </xf>
    <xf numFmtId="171" fontId="32" fillId="2" borderId="2" xfId="0" applyNumberFormat="1" applyFont="1" applyFill="1" applyBorder="1" applyProtection="1">
      <protection locked="0"/>
    </xf>
    <xf numFmtId="171" fontId="32" fillId="2" borderId="3" xfId="0" applyNumberFormat="1" applyFont="1" applyFill="1" applyBorder="1" applyProtection="1">
      <protection locked="0"/>
    </xf>
    <xf numFmtId="171" fontId="32" fillId="2" borderId="4" xfId="0" applyNumberFormat="1" applyFont="1" applyFill="1" applyBorder="1" applyProtection="1">
      <protection locked="0"/>
    </xf>
    <xf numFmtId="171" fontId="32" fillId="2" borderId="5" xfId="0" applyNumberFormat="1" applyFont="1" applyFill="1" applyBorder="1" applyProtection="1">
      <protection locked="0"/>
    </xf>
    <xf numFmtId="171" fontId="32" fillId="2" borderId="6" xfId="0" applyNumberFormat="1" applyFont="1" applyFill="1" applyBorder="1" applyProtection="1">
      <protection locked="0"/>
    </xf>
    <xf numFmtId="171" fontId="32" fillId="2" borderId="7" xfId="0" applyNumberFormat="1" applyFont="1" applyFill="1" applyBorder="1" applyProtection="1">
      <protection locked="0"/>
    </xf>
    <xf numFmtId="171" fontId="32" fillId="2" borderId="8" xfId="0" applyNumberFormat="1" applyFont="1" applyFill="1" applyBorder="1" applyProtection="1">
      <protection locked="0"/>
    </xf>
    <xf numFmtId="171" fontId="32" fillId="2" borderId="9" xfId="0" applyNumberFormat="1" applyFont="1" applyFill="1" applyBorder="1" applyProtection="1">
      <protection locked="0"/>
    </xf>
    <xf numFmtId="170" fontId="33" fillId="3" borderId="1" xfId="0" applyNumberFormat="1" applyFont="1" applyFill="1" applyBorder="1" applyAlignment="1" applyProtection="1">
      <alignment horizontal="center"/>
    </xf>
    <xf numFmtId="0" fontId="33" fillId="3" borderId="1" xfId="0" applyFont="1" applyFill="1" applyBorder="1" applyAlignment="1">
      <alignment horizontal="center"/>
    </xf>
    <xf numFmtId="0" fontId="33" fillId="3" borderId="11" xfId="0" applyFont="1" applyFill="1" applyBorder="1"/>
    <xf numFmtId="0" fontId="33" fillId="3" borderId="12" xfId="0" applyFont="1" applyFill="1" applyBorder="1"/>
    <xf numFmtId="0" fontId="33" fillId="3" borderId="7" xfId="0" applyFont="1" applyFill="1" applyBorder="1"/>
    <xf numFmtId="0" fontId="33" fillId="3" borderId="15" xfId="0" quotePrefix="1" applyFont="1" applyFill="1" applyBorder="1" applyAlignment="1">
      <alignment horizontal="center"/>
    </xf>
    <xf numFmtId="0" fontId="33" fillId="3" borderId="21" xfId="0" quotePrefix="1" applyFont="1" applyFill="1" applyBorder="1" applyAlignment="1">
      <alignment horizontal="center"/>
    </xf>
    <xf numFmtId="43" fontId="8" fillId="0" borderId="0" xfId="1" applyFont="1" applyFill="1" applyBorder="1" applyAlignment="1">
      <alignment horizontal="center"/>
    </xf>
    <xf numFmtId="43" fontId="17" fillId="0" borderId="0" xfId="1" applyFont="1" applyFill="1" applyBorder="1"/>
    <xf numFmtId="0" fontId="17" fillId="0" borderId="1" xfId="0" applyFont="1" applyBorder="1" applyAlignment="1">
      <alignment horizontal="center"/>
    </xf>
    <xf numFmtId="171" fontId="17" fillId="0" borderId="0" xfId="0" applyNumberFormat="1" applyFont="1"/>
    <xf numFmtId="171" fontId="17" fillId="0" borderId="0" xfId="0" applyNumberFormat="1" applyFont="1" applyFill="1" applyBorder="1" applyProtection="1">
      <protection locked="0"/>
    </xf>
    <xf numFmtId="171" fontId="17" fillId="0" borderId="11" xfId="0" applyNumberFormat="1" applyFont="1" applyBorder="1"/>
    <xf numFmtId="0" fontId="17" fillId="0" borderId="13" xfId="0" applyFont="1" applyBorder="1"/>
    <xf numFmtId="0" fontId="17" fillId="0" borderId="13" xfId="0" applyFont="1" applyBorder="1" applyAlignment="1">
      <alignment horizontal="center"/>
    </xf>
    <xf numFmtId="43" fontId="17" fillId="0" borderId="0" xfId="0" applyNumberFormat="1" applyFont="1"/>
    <xf numFmtId="171" fontId="17" fillId="0" borderId="12" xfId="0" applyNumberFormat="1" applyFont="1" applyBorder="1"/>
    <xf numFmtId="171" fontId="8" fillId="5" borderId="5" xfId="0" applyNumberFormat="1" applyFont="1" applyFill="1" applyBorder="1" applyProtection="1">
      <protection locked="0"/>
    </xf>
    <xf numFmtId="171" fontId="8" fillId="5" borderId="0" xfId="0" applyNumberFormat="1" applyFont="1" applyFill="1" applyBorder="1" applyProtection="1">
      <protection locked="0"/>
    </xf>
    <xf numFmtId="171" fontId="8" fillId="5" borderId="3" xfId="0" applyNumberFormat="1" applyFont="1" applyFill="1" applyBorder="1" applyProtection="1">
      <protection locked="0"/>
    </xf>
    <xf numFmtId="171" fontId="8" fillId="5" borderId="6" xfId="0" applyNumberFormat="1" applyFont="1" applyFill="1" applyBorder="1" applyProtection="1">
      <protection locked="0"/>
    </xf>
    <xf numFmtId="171" fontId="32" fillId="5" borderId="3" xfId="0" applyNumberFormat="1" applyFont="1" applyFill="1" applyBorder="1" applyProtection="1">
      <protection locked="0"/>
    </xf>
    <xf numFmtId="171" fontId="32" fillId="5" borderId="0" xfId="0" applyNumberFormat="1" applyFont="1" applyFill="1" applyBorder="1" applyProtection="1">
      <protection locked="0"/>
    </xf>
    <xf numFmtId="171" fontId="32" fillId="5" borderId="5" xfId="0" applyNumberFormat="1" applyFont="1" applyFill="1" applyBorder="1" applyProtection="1">
      <protection locked="0"/>
    </xf>
    <xf numFmtId="171" fontId="32" fillId="5" borderId="8" xfId="0" applyNumberFormat="1" applyFont="1" applyFill="1" applyBorder="1" applyProtection="1">
      <protection locked="0"/>
    </xf>
    <xf numFmtId="0" fontId="34" fillId="7" borderId="17" xfId="0" applyFont="1" applyFill="1" applyBorder="1" applyAlignment="1">
      <alignment horizontal="center"/>
    </xf>
    <xf numFmtId="0" fontId="34" fillId="7" borderId="32" xfId="0" applyFont="1" applyFill="1" applyBorder="1" applyAlignment="1">
      <alignment horizontal="center"/>
    </xf>
    <xf numFmtId="43" fontId="34" fillId="7" borderId="16" xfId="0" applyNumberFormat="1" applyFont="1" applyFill="1" applyBorder="1"/>
    <xf numFmtId="43" fontId="34" fillId="7" borderId="18" xfId="0" applyNumberFormat="1" applyFont="1" applyFill="1" applyBorder="1"/>
    <xf numFmtId="0" fontId="17" fillId="2" borderId="4" xfId="0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43" fontId="17" fillId="2" borderId="6" xfId="0" applyNumberFormat="1" applyFont="1" applyFill="1" applyBorder="1"/>
    <xf numFmtId="43" fontId="17" fillId="2" borderId="9" xfId="0" applyNumberFormat="1" applyFont="1" applyFill="1" applyBorder="1"/>
    <xf numFmtId="0" fontId="21" fillId="0" borderId="0" xfId="0" applyFont="1" applyFill="1" applyBorder="1" applyAlignment="1">
      <alignment horizontal="center"/>
    </xf>
    <xf numFmtId="178" fontId="21" fillId="0" borderId="0" xfId="0" applyNumberFormat="1" applyFont="1" applyFill="1" applyBorder="1" applyAlignment="1">
      <alignment horizontal="center"/>
    </xf>
    <xf numFmtId="178" fontId="21" fillId="0" borderId="13" xfId="0" applyNumberFormat="1" applyFont="1" applyFill="1" applyBorder="1" applyAlignment="1">
      <alignment horizontal="center"/>
    </xf>
    <xf numFmtId="0" fontId="35" fillId="0" borderId="13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10" fontId="21" fillId="0" borderId="13" xfId="4" applyNumberFormat="1" applyFont="1" applyFill="1" applyBorder="1" applyAlignment="1">
      <alignment horizontal="center"/>
    </xf>
    <xf numFmtId="178" fontId="21" fillId="0" borderId="0" xfId="0" applyNumberFormat="1" applyFont="1" applyFill="1" applyBorder="1"/>
    <xf numFmtId="43" fontId="21" fillId="0" borderId="0" xfId="1" applyFont="1" applyFill="1" applyBorder="1"/>
    <xf numFmtId="0" fontId="21" fillId="0" borderId="0" xfId="0" applyFont="1" applyFill="1" applyBorder="1"/>
    <xf numFmtId="43" fontId="3" fillId="2" borderId="10" xfId="0" applyNumberFormat="1" applyFont="1" applyFill="1" applyBorder="1"/>
    <xf numFmtId="43" fontId="3" fillId="2" borderId="11" xfId="0" applyNumberFormat="1" applyFont="1" applyFill="1" applyBorder="1"/>
    <xf numFmtId="0" fontId="3" fillId="2" borderId="12" xfId="0" applyFont="1" applyFill="1" applyBorder="1" applyAlignment="1">
      <alignment horizontal="right"/>
    </xf>
    <xf numFmtId="164" fontId="0" fillId="0" borderId="0" xfId="1" applyNumberFormat="1" applyFont="1" applyFill="1" applyBorder="1"/>
    <xf numFmtId="164" fontId="0" fillId="0" borderId="0" xfId="0" applyNumberFormat="1" applyFill="1" applyBorder="1"/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43" fontId="3" fillId="2" borderId="7" xfId="1" applyFont="1" applyFill="1" applyBorder="1" applyAlignment="1" applyProtection="1">
      <alignment horizontal="left"/>
      <protection locked="0"/>
    </xf>
    <xf numFmtId="43" fontId="3" fillId="2" borderId="8" xfId="1" applyFont="1" applyFill="1" applyBorder="1" applyAlignment="1" applyProtection="1">
      <alignment horizontal="left"/>
      <protection locked="0"/>
    </xf>
    <xf numFmtId="0" fontId="3" fillId="2" borderId="9" xfId="0" applyFont="1" applyFill="1" applyBorder="1" applyAlignment="1">
      <alignment horizontal="left"/>
    </xf>
    <xf numFmtId="173" fontId="21" fillId="0" borderId="0" xfId="4" applyNumberFormat="1" applyFont="1" applyFill="1" applyBorder="1" applyAlignment="1">
      <alignment horizontal="center"/>
    </xf>
    <xf numFmtId="173" fontId="21" fillId="0" borderId="13" xfId="4" applyNumberFormat="1" applyFont="1" applyFill="1" applyBorder="1" applyAlignment="1">
      <alignment horizontal="center"/>
    </xf>
    <xf numFmtId="173" fontId="21" fillId="0" borderId="0" xfId="4" applyNumberFormat="1" applyFont="1" applyFill="1" applyBorder="1"/>
    <xf numFmtId="14" fontId="21" fillId="0" borderId="0" xfId="4" applyNumberFormat="1" applyFont="1" applyAlignment="1">
      <alignment horizontal="center"/>
    </xf>
    <xf numFmtId="10" fontId="21" fillId="0" borderId="0" xfId="4" applyNumberFormat="1" applyFont="1" applyFill="1" applyAlignment="1">
      <alignment horizontal="center"/>
    </xf>
    <xf numFmtId="43" fontId="21" fillId="0" borderId="0" xfId="1" applyFont="1"/>
    <xf numFmtId="43" fontId="21" fillId="0" borderId="0" xfId="0" applyNumberFormat="1" applyFont="1" applyFill="1" applyBorder="1"/>
    <xf numFmtId="174" fontId="21" fillId="0" borderId="0" xfId="1" applyNumberFormat="1" applyFont="1" applyFill="1" applyBorder="1"/>
    <xf numFmtId="43" fontId="21" fillId="0" borderId="0" xfId="0" applyNumberFormat="1" applyFont="1" applyFill="1" applyBorder="1" applyAlignment="1">
      <alignment horizontal="center"/>
    </xf>
    <xf numFmtId="164" fontId="21" fillId="3" borderId="0" xfId="1" applyNumberFormat="1" applyFont="1" applyFill="1" applyBorder="1" applyAlignment="1">
      <alignment horizontal="center"/>
    </xf>
    <xf numFmtId="10" fontId="17" fillId="0" borderId="0" xfId="4" applyNumberFormat="1" applyFont="1"/>
    <xf numFmtId="173" fontId="20" fillId="0" borderId="0" xfId="4" applyNumberFormat="1" applyFont="1" applyFill="1" applyBorder="1"/>
    <xf numFmtId="43" fontId="20" fillId="5" borderId="2" xfId="1" applyFont="1" applyFill="1" applyBorder="1"/>
    <xf numFmtId="10" fontId="20" fillId="5" borderId="4" xfId="4" applyNumberFormat="1" applyFont="1" applyFill="1" applyBorder="1"/>
    <xf numFmtId="43" fontId="20" fillId="5" borderId="5" xfId="1" applyFont="1" applyFill="1" applyBorder="1"/>
    <xf numFmtId="10" fontId="20" fillId="5" borderId="6" xfId="4" applyNumberFormat="1" applyFont="1" applyFill="1" applyBorder="1"/>
    <xf numFmtId="43" fontId="20" fillId="5" borderId="7" xfId="1" applyFont="1" applyFill="1" applyBorder="1"/>
    <xf numFmtId="10" fontId="20" fillId="5" borderId="9" xfId="4" applyNumberFormat="1" applyFont="1" applyFill="1" applyBorder="1"/>
    <xf numFmtId="166" fontId="20" fillId="0" borderId="0" xfId="1" applyNumberFormat="1" applyFont="1" applyFill="1" applyBorder="1"/>
    <xf numFmtId="43" fontId="20" fillId="0" borderId="0" xfId="0" applyNumberFormat="1" applyFont="1" applyFill="1" applyBorder="1"/>
    <xf numFmtId="166" fontId="15" fillId="0" borderId="0" xfId="1" applyNumberFormat="1" applyFont="1" applyFill="1" applyBorder="1"/>
    <xf numFmtId="166" fontId="15" fillId="3" borderId="10" xfId="1" applyNumberFormat="1" applyFont="1" applyFill="1" applyBorder="1" applyAlignment="1">
      <alignment horizontal="center"/>
    </xf>
    <xf numFmtId="166" fontId="15" fillId="3" borderId="24" xfId="1" applyNumberFormat="1" applyFont="1" applyFill="1" applyBorder="1" applyAlignment="1">
      <alignment horizontal="center"/>
    </xf>
    <xf numFmtId="166" fontId="15" fillId="3" borderId="11" xfId="1" applyNumberFormat="1" applyFont="1" applyFill="1" applyBorder="1"/>
    <xf numFmtId="0" fontId="18" fillId="0" borderId="0" xfId="0" applyFont="1" applyAlignment="1">
      <alignment horizontal="right"/>
    </xf>
    <xf numFmtId="0" fontId="3" fillId="8" borderId="0" xfId="0" applyFont="1" applyFill="1" applyBorder="1"/>
    <xf numFmtId="0" fontId="3" fillId="8" borderId="13" xfId="0" applyFont="1" applyFill="1" applyBorder="1"/>
    <xf numFmtId="166" fontId="3" fillId="0" borderId="13" xfId="1" applyNumberFormat="1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10" xfId="0" applyFont="1" applyFill="1" applyBorder="1"/>
    <xf numFmtId="0" fontId="3" fillId="5" borderId="11" xfId="0" applyFont="1" applyFill="1" applyBorder="1"/>
    <xf numFmtId="166" fontId="3" fillId="5" borderId="11" xfId="1" applyNumberFormat="1" applyFont="1" applyFill="1" applyBorder="1"/>
    <xf numFmtId="0" fontId="3" fillId="5" borderId="12" xfId="0" applyFont="1" applyFill="1" applyBorder="1"/>
    <xf numFmtId="164" fontId="3" fillId="5" borderId="12" xfId="1" applyNumberFormat="1" applyFont="1" applyFill="1" applyBorder="1"/>
    <xf numFmtId="164" fontId="3" fillId="0" borderId="0" xfId="1" applyNumberFormat="1" applyFont="1" applyFill="1" applyBorder="1"/>
    <xf numFmtId="164" fontId="3" fillId="2" borderId="1" xfId="1" applyNumberFormat="1" applyFont="1" applyFill="1" applyBorder="1"/>
    <xf numFmtId="0" fontId="3" fillId="3" borderId="2" xfId="0" applyFont="1" applyFill="1" applyBorder="1"/>
    <xf numFmtId="43" fontId="3" fillId="3" borderId="3" xfId="0" applyNumberFormat="1" applyFont="1" applyFill="1" applyBorder="1"/>
    <xf numFmtId="0" fontId="38" fillId="0" borderId="0" xfId="0" applyFont="1"/>
    <xf numFmtId="0" fontId="39" fillId="3" borderId="7" xfId="0" applyFont="1" applyFill="1" applyBorder="1" applyAlignment="1">
      <alignment horizontal="right"/>
    </xf>
    <xf numFmtId="0" fontId="39" fillId="3" borderId="8" xfId="0" applyFont="1" applyFill="1" applyBorder="1"/>
    <xf numFmtId="14" fontId="3" fillId="0" borderId="0" xfId="0" applyNumberFormat="1" applyFont="1" applyFill="1" applyBorder="1"/>
    <xf numFmtId="0" fontId="3" fillId="3" borderId="1" xfId="0" applyFont="1" applyFill="1" applyBorder="1" applyAlignment="1">
      <alignment horizontal="center"/>
    </xf>
    <xf numFmtId="0" fontId="21" fillId="0" borderId="15" xfId="0" applyFont="1" applyBorder="1"/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0" applyFont="1" applyFill="1" applyBorder="1"/>
    <xf numFmtId="0" fontId="3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6" xfId="0" applyFont="1" applyFill="1" applyBorder="1"/>
    <xf numFmtId="0" fontId="3" fillId="3" borderId="13" xfId="0" applyFont="1" applyFill="1" applyBorder="1"/>
    <xf numFmtId="0" fontId="3" fillId="3" borderId="13" xfId="0" applyFont="1" applyFill="1" applyBorder="1" applyAlignment="1">
      <alignment horizontal="center"/>
    </xf>
    <xf numFmtId="14" fontId="3" fillId="3" borderId="5" xfId="0" applyNumberFormat="1" applyFont="1" applyFill="1" applyBorder="1"/>
    <xf numFmtId="43" fontId="3" fillId="3" borderId="0" xfId="0" applyNumberFormat="1" applyFont="1" applyFill="1" applyBorder="1"/>
    <xf numFmtId="14" fontId="3" fillId="3" borderId="7" xfId="0" applyNumberFormat="1" applyFont="1" applyFill="1" applyBorder="1"/>
    <xf numFmtId="0" fontId="3" fillId="3" borderId="8" xfId="0" applyFont="1" applyFill="1" applyBorder="1"/>
    <xf numFmtId="0" fontId="3" fillId="3" borderId="9" xfId="0" applyFont="1" applyFill="1" applyBorder="1"/>
    <xf numFmtId="166" fontId="21" fillId="0" borderId="0" xfId="1" applyNumberFormat="1" applyFont="1" applyFill="1" applyBorder="1" applyAlignment="1">
      <alignment horizontal="center"/>
    </xf>
    <xf numFmtId="166" fontId="21" fillId="3" borderId="4" xfId="1" applyNumberFormat="1" applyFont="1" applyFill="1" applyBorder="1" applyAlignment="1">
      <alignment horizontal="center"/>
    </xf>
    <xf numFmtId="166" fontId="21" fillId="0" borderId="0" xfId="1" applyNumberFormat="1" applyFont="1" applyFill="1" applyBorder="1"/>
    <xf numFmtId="43" fontId="3" fillId="3" borderId="8" xfId="0" applyNumberFormat="1" applyFont="1" applyFill="1" applyBorder="1"/>
    <xf numFmtId="166" fontId="21" fillId="0" borderId="11" xfId="1" applyNumberFormat="1" applyFont="1" applyFill="1" applyBorder="1"/>
    <xf numFmtId="166" fontId="21" fillId="0" borderId="12" xfId="1" applyNumberFormat="1" applyFont="1" applyFill="1" applyBorder="1"/>
    <xf numFmtId="166" fontId="21" fillId="0" borderId="5" xfId="1" applyNumberFormat="1" applyFont="1" applyFill="1" applyBorder="1"/>
    <xf numFmtId="166" fontId="21" fillId="0" borderId="7" xfId="1" applyNumberFormat="1" applyFont="1" applyFill="1" applyBorder="1"/>
    <xf numFmtId="166" fontId="21" fillId="3" borderId="33" xfId="1" applyNumberFormat="1" applyFont="1" applyFill="1" applyBorder="1" applyAlignment="1">
      <alignment horizontal="center"/>
    </xf>
    <xf numFmtId="166" fontId="21" fillId="0" borderId="10" xfId="1" applyNumberFormat="1" applyFont="1" applyFill="1" applyBorder="1" applyAlignment="1">
      <alignment horizontal="center"/>
    </xf>
    <xf numFmtId="166" fontId="21" fillId="0" borderId="24" xfId="1" applyNumberFormat="1" applyFont="1" applyFill="1" applyBorder="1" applyAlignment="1">
      <alignment horizontal="center"/>
    </xf>
    <xf numFmtId="173" fontId="3" fillId="9" borderId="1" xfId="4" applyNumberFormat="1" applyFont="1" applyFill="1" applyBorder="1" applyAlignment="1">
      <alignment horizontal="center"/>
    </xf>
    <xf numFmtId="173" fontId="3" fillId="9" borderId="13" xfId="4" applyNumberFormat="1" applyFont="1" applyFill="1" applyBorder="1" applyAlignment="1">
      <alignment horizontal="center"/>
    </xf>
    <xf numFmtId="43" fontId="3" fillId="9" borderId="0" xfId="1" applyFont="1" applyFill="1" applyBorder="1"/>
    <xf numFmtId="166" fontId="4" fillId="0" borderId="0" xfId="1" applyNumberFormat="1" applyFont="1" applyFill="1" applyBorder="1" applyAlignment="1">
      <alignment horizontal="center"/>
    </xf>
    <xf numFmtId="166" fontId="3" fillId="2" borderId="0" xfId="1" applyNumberFormat="1" applyFont="1" applyFill="1" applyBorder="1" applyAlignment="1">
      <alignment horizontal="center"/>
    </xf>
    <xf numFmtId="166" fontId="3" fillId="2" borderId="0" xfId="1" applyNumberFormat="1" applyFont="1" applyFill="1" applyBorder="1" applyAlignment="1" applyProtection="1">
      <alignment horizontal="center"/>
      <protection locked="0"/>
    </xf>
    <xf numFmtId="166" fontId="3" fillId="2" borderId="8" xfId="1" applyNumberFormat="1" applyFont="1" applyFill="1" applyBorder="1" applyAlignment="1">
      <alignment horizontal="center"/>
    </xf>
    <xf numFmtId="166" fontId="3" fillId="2" borderId="0" xfId="1" applyNumberFormat="1" applyFont="1" applyFill="1" applyBorder="1"/>
    <xf numFmtId="166" fontId="0" fillId="0" borderId="0" xfId="1" applyNumberFormat="1" applyFont="1" applyFill="1" applyBorder="1"/>
    <xf numFmtId="173" fontId="3" fillId="3" borderId="13" xfId="4" applyNumberFormat="1" applyFont="1" applyFill="1" applyBorder="1" applyAlignment="1">
      <alignment horizontal="center"/>
    </xf>
    <xf numFmtId="43" fontId="3" fillId="3" borderId="0" xfId="1" applyFont="1" applyFill="1" applyBorder="1"/>
    <xf numFmtId="173" fontId="3" fillId="0" borderId="1" xfId="4" applyNumberFormat="1" applyFont="1" applyFill="1" applyBorder="1" applyAlignment="1">
      <alignment horizontal="center"/>
    </xf>
    <xf numFmtId="43" fontId="41" fillId="2" borderId="16" xfId="0" applyNumberFormat="1" applyFont="1" applyFill="1" applyBorder="1"/>
    <xf numFmtId="0" fontId="41" fillId="2" borderId="0" xfId="0" applyFont="1" applyFill="1" applyAlignment="1">
      <alignment horizontal="center"/>
    </xf>
    <xf numFmtId="14" fontId="41" fillId="2" borderId="0" xfId="0" applyNumberFormat="1" applyFont="1" applyFill="1"/>
    <xf numFmtId="43" fontId="41" fillId="2" borderId="0" xfId="0" applyNumberFormat="1" applyFont="1" applyFill="1"/>
    <xf numFmtId="174" fontId="41" fillId="2" borderId="0" xfId="1" applyNumberFormat="1" applyFont="1" applyFill="1"/>
    <xf numFmtId="0" fontId="41" fillId="2" borderId="0" xfId="0" applyFont="1" applyFill="1"/>
    <xf numFmtId="43" fontId="41" fillId="2" borderId="0" xfId="1" applyFont="1" applyFill="1" applyBorder="1"/>
    <xf numFmtId="43" fontId="41" fillId="2" borderId="6" xfId="0" applyNumberFormat="1" applyFont="1" applyFill="1" applyBorder="1"/>
    <xf numFmtId="0" fontId="41" fillId="0" borderId="0" xfId="0" applyFont="1" applyFill="1"/>
    <xf numFmtId="43" fontId="17" fillId="0" borderId="0" xfId="0" applyNumberFormat="1" applyFont="1" applyFill="1" applyBorder="1"/>
    <xf numFmtId="43" fontId="17" fillId="0" borderId="0" xfId="0" applyNumberFormat="1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17" fillId="8" borderId="0" xfId="0" applyFont="1" applyFill="1"/>
    <xf numFmtId="0" fontId="17" fillId="8" borderId="0" xfId="0" applyFont="1" applyFill="1" applyBorder="1"/>
    <xf numFmtId="164" fontId="17" fillId="8" borderId="0" xfId="1" applyNumberFormat="1" applyFont="1" applyFill="1" applyBorder="1" applyAlignment="1">
      <alignment horizontal="center"/>
    </xf>
    <xf numFmtId="0" fontId="17" fillId="8" borderId="13" xfId="0" applyFont="1" applyFill="1" applyBorder="1" applyAlignment="1">
      <alignment horizontal="center"/>
    </xf>
    <xf numFmtId="164" fontId="17" fillId="8" borderId="0" xfId="0" applyNumberFormat="1" applyFont="1" applyFill="1"/>
    <xf numFmtId="164" fontId="17" fillId="8" borderId="0" xfId="1" applyNumberFormat="1" applyFont="1" applyFill="1" applyBorder="1"/>
    <xf numFmtId="164" fontId="3" fillId="3" borderId="0" xfId="1" applyNumberFormat="1" applyFont="1" applyFill="1" applyBorder="1"/>
    <xf numFmtId="173" fontId="3" fillId="10" borderId="13" xfId="4" applyNumberFormat="1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164" fontId="3" fillId="3" borderId="0" xfId="0" applyNumberFormat="1" applyFont="1" applyFill="1" applyBorder="1"/>
    <xf numFmtId="0" fontId="3" fillId="8" borderId="3" xfId="0" applyFont="1" applyFill="1" applyBorder="1"/>
    <xf numFmtId="0" fontId="3" fillId="8" borderId="0" xfId="0" applyFont="1" applyFill="1" applyBorder="1" applyAlignment="1">
      <alignment horizontal="center"/>
    </xf>
    <xf numFmtId="173" fontId="3" fillId="11" borderId="0" xfId="4" applyNumberFormat="1" applyFont="1" applyFill="1" applyBorder="1" applyAlignment="1">
      <alignment horizontal="center"/>
    </xf>
    <xf numFmtId="0" fontId="3" fillId="8" borderId="8" xfId="0" applyFont="1" applyFill="1" applyBorder="1"/>
    <xf numFmtId="164" fontId="3" fillId="8" borderId="0" xfId="0" applyNumberFormat="1" applyFont="1" applyFill="1" applyBorder="1"/>
    <xf numFmtId="43" fontId="0" fillId="0" borderId="0" xfId="1" applyFont="1"/>
    <xf numFmtId="164" fontId="0" fillId="0" borderId="0" xfId="1" applyNumberFormat="1" applyFont="1"/>
    <xf numFmtId="180" fontId="0" fillId="0" borderId="0" xfId="0" applyNumberFormat="1"/>
    <xf numFmtId="180" fontId="0" fillId="0" borderId="0" xfId="2" applyNumberFormat="1" applyFont="1"/>
    <xf numFmtId="180" fontId="0" fillId="0" borderId="15" xfId="2" applyNumberFormat="1" applyFont="1" applyBorder="1"/>
    <xf numFmtId="173" fontId="0" fillId="0" borderId="0" xfId="4" applyNumberFormat="1" applyFont="1"/>
    <xf numFmtId="0" fontId="0" fillId="0" borderId="0" xfId="0" applyNumberFormat="1"/>
    <xf numFmtId="43" fontId="0" fillId="0" borderId="0" xfId="1" applyNumberFormat="1" applyFont="1" applyAlignment="1">
      <alignment horizontal="right"/>
    </xf>
    <xf numFmtId="0" fontId="0" fillId="0" borderId="0" xfId="0" applyNumberFormat="1" applyAlignment="1">
      <alignment horizontal="center"/>
    </xf>
    <xf numFmtId="182" fontId="0" fillId="0" borderId="0" xfId="0" applyNumberFormat="1"/>
    <xf numFmtId="182" fontId="0" fillId="0" borderId="0" xfId="1" applyNumberFormat="1" applyFont="1"/>
    <xf numFmtId="237" fontId="0" fillId="0" borderId="0" xfId="1" applyNumberFormat="1" applyFont="1"/>
    <xf numFmtId="237" fontId="0" fillId="0" borderId="8" xfId="2" applyNumberFormat="1" applyFont="1" applyBorder="1"/>
    <xf numFmtId="237" fontId="0" fillId="0" borderId="0" xfId="2" applyNumberFormat="1" applyFont="1"/>
    <xf numFmtId="10" fontId="0" fillId="0" borderId="15" xfId="4" applyNumberFormat="1" applyFont="1" applyBorder="1"/>
    <xf numFmtId="180" fontId="44" fillId="0" borderId="0" xfId="0" applyNumberFormat="1" applyFont="1"/>
    <xf numFmtId="182" fontId="44" fillId="0" borderId="0" xfId="0" applyNumberFormat="1" applyFont="1"/>
    <xf numFmtId="0" fontId="0" fillId="0" borderId="13" xfId="0" applyNumberFormat="1" applyBorder="1" applyAlignment="1">
      <alignment horizontal="center"/>
    </xf>
    <xf numFmtId="180" fontId="0" fillId="0" borderId="13" xfId="0" applyNumberFormat="1" applyBorder="1" applyAlignment="1">
      <alignment horizontal="center"/>
    </xf>
    <xf numFmtId="43" fontId="17" fillId="3" borderId="18" xfId="1" applyFont="1" applyFill="1" applyBorder="1"/>
    <xf numFmtId="166" fontId="17" fillId="3" borderId="18" xfId="1" applyNumberFormat="1" applyFont="1" applyFill="1" applyBorder="1"/>
    <xf numFmtId="164" fontId="17" fillId="3" borderId="18" xfId="1" quotePrefix="1" applyNumberFormat="1" applyFont="1" applyFill="1" applyBorder="1"/>
    <xf numFmtId="43" fontId="17" fillId="0" borderId="0" xfId="1" applyFont="1" applyBorder="1"/>
    <xf numFmtId="164" fontId="21" fillId="0" borderId="0" xfId="0" applyNumberFormat="1" applyFont="1" applyFill="1"/>
    <xf numFmtId="0" fontId="21" fillId="0" borderId="0" xfId="0" applyFont="1" applyFill="1"/>
    <xf numFmtId="0" fontId="19" fillId="0" borderId="0" xfId="0" applyFont="1" applyFill="1"/>
    <xf numFmtId="14" fontId="3" fillId="0" borderId="13" xfId="0" applyNumberFormat="1" applyFont="1" applyFill="1" applyBorder="1"/>
    <xf numFmtId="164" fontId="21" fillId="0" borderId="0" xfId="1" applyNumberFormat="1" applyFont="1" applyFill="1"/>
    <xf numFmtId="164" fontId="21" fillId="0" borderId="8" xfId="1" applyNumberFormat="1" applyFont="1" applyFill="1" applyBorder="1"/>
    <xf numFmtId="164" fontId="21" fillId="0" borderId="0" xfId="1" applyNumberFormat="1" applyFont="1" applyFill="1" applyBorder="1"/>
    <xf numFmtId="0" fontId="21" fillId="0" borderId="8" xfId="0" applyFont="1" applyFill="1" applyBorder="1"/>
    <xf numFmtId="164" fontId="21" fillId="0" borderId="14" xfId="0" applyNumberFormat="1" applyFont="1" applyFill="1" applyBorder="1"/>
    <xf numFmtId="164" fontId="21" fillId="0" borderId="8" xfId="0" applyNumberFormat="1" applyFont="1" applyFill="1" applyBorder="1"/>
    <xf numFmtId="164" fontId="21" fillId="0" borderId="15" xfId="0" applyNumberFormat="1" applyFont="1" applyFill="1" applyBorder="1"/>
    <xf numFmtId="173" fontId="21" fillId="0" borderId="8" xfId="0" applyNumberFormat="1" applyFont="1" applyFill="1" applyBorder="1"/>
    <xf numFmtId="164" fontId="17" fillId="0" borderId="0" xfId="0" applyNumberFormat="1" applyFont="1" applyFill="1"/>
    <xf numFmtId="164" fontId="17" fillId="0" borderId="0" xfId="1" applyNumberFormat="1" applyFont="1" applyFill="1"/>
    <xf numFmtId="164" fontId="3" fillId="3" borderId="8" xfId="1" applyNumberFormat="1" applyFont="1" applyFill="1" applyBorder="1"/>
    <xf numFmtId="0" fontId="3" fillId="2" borderId="10" xfId="0" applyFont="1" applyFill="1" applyBorder="1"/>
    <xf numFmtId="202" fontId="3" fillId="2" borderId="12" xfId="2" applyNumberFormat="1" applyFont="1" applyFill="1" applyBorder="1"/>
    <xf numFmtId="0" fontId="0" fillId="0" borderId="0" xfId="0" applyNumberFormat="1" applyAlignment="1">
      <alignment horizontal="right"/>
    </xf>
    <xf numFmtId="167" fontId="17" fillId="0" borderId="0" xfId="0" applyNumberFormat="1" applyFont="1" applyFill="1" applyBorder="1" applyAlignment="1">
      <alignment horizontal="center"/>
    </xf>
    <xf numFmtId="10" fontId="17" fillId="2" borderId="2" xfId="0" applyNumberFormat="1" applyFont="1" applyFill="1" applyBorder="1"/>
    <xf numFmtId="10" fontId="17" fillId="2" borderId="4" xfId="0" applyNumberFormat="1" applyFont="1" applyFill="1" applyBorder="1"/>
    <xf numFmtId="10" fontId="17" fillId="2" borderId="5" xfId="0" applyNumberFormat="1" applyFont="1" applyFill="1" applyBorder="1"/>
    <xf numFmtId="10" fontId="17" fillId="2" borderId="6" xfId="0" applyNumberFormat="1" applyFont="1" applyFill="1" applyBorder="1"/>
    <xf numFmtId="10" fontId="17" fillId="2" borderId="7" xfId="0" applyNumberFormat="1" applyFont="1" applyFill="1" applyBorder="1"/>
    <xf numFmtId="10" fontId="17" fillId="2" borderId="9" xfId="0" applyNumberFormat="1" applyFont="1" applyFill="1" applyBorder="1"/>
    <xf numFmtId="10" fontId="17" fillId="0" borderId="0" xfId="4" applyNumberFormat="1" applyFont="1" applyBorder="1"/>
    <xf numFmtId="202" fontId="8" fillId="2" borderId="20" xfId="2" applyNumberFormat="1" applyFont="1" applyFill="1" applyBorder="1" applyAlignment="1">
      <alignment horizontal="center"/>
    </xf>
    <xf numFmtId="202" fontId="8" fillId="2" borderId="15" xfId="2" applyNumberFormat="1" applyFont="1" applyFill="1" applyBorder="1" applyAlignment="1">
      <alignment horizontal="center"/>
    </xf>
    <xf numFmtId="200" fontId="8" fillId="2" borderId="15" xfId="2" applyNumberFormat="1" applyFont="1" applyFill="1" applyBorder="1" applyAlignment="1">
      <alignment horizontal="center"/>
    </xf>
    <xf numFmtId="202" fontId="8" fillId="2" borderId="21" xfId="2" applyNumberFormat="1" applyFont="1" applyFill="1" applyBorder="1"/>
    <xf numFmtId="202" fontId="8" fillId="2" borderId="0" xfId="2" applyNumberFormat="1" applyFont="1" applyFill="1" applyBorder="1" applyAlignment="1">
      <alignment horizontal="center"/>
    </xf>
    <xf numFmtId="202" fontId="8" fillId="2" borderId="0" xfId="2" applyNumberFormat="1" applyFont="1" applyFill="1" applyBorder="1"/>
    <xf numFmtId="198" fontId="8" fillId="2" borderId="0" xfId="2" applyNumberFormat="1" applyFont="1" applyFill="1" applyBorder="1" applyAlignment="1">
      <alignment horizontal="center"/>
    </xf>
    <xf numFmtId="7" fontId="8" fillId="2" borderId="0" xfId="2" applyNumberFormat="1" applyFont="1" applyFill="1" applyBorder="1" applyAlignment="1">
      <alignment horizontal="center"/>
    </xf>
    <xf numFmtId="166" fontId="17" fillId="0" borderId="0" xfId="0" applyNumberFormat="1" applyFont="1" applyFill="1" applyBorder="1" applyAlignment="1">
      <alignment horizontal="center"/>
    </xf>
    <xf numFmtId="164" fontId="3" fillId="2" borderId="2" xfId="1" applyNumberFormat="1" applyFont="1" applyFill="1" applyBorder="1"/>
    <xf numFmtId="164" fontId="3" fillId="2" borderId="3" xfId="0" applyNumberFormat="1" applyFont="1" applyFill="1" applyBorder="1"/>
    <xf numFmtId="164" fontId="3" fillId="2" borderId="5" xfId="1" applyNumberFormat="1" applyFont="1" applyFill="1" applyBorder="1"/>
    <xf numFmtId="0" fontId="3" fillId="2" borderId="0" xfId="0" applyFont="1" applyFill="1" applyBorder="1"/>
    <xf numFmtId="164" fontId="3" fillId="2" borderId="0" xfId="0" applyNumberFormat="1" applyFont="1" applyFill="1" applyBorder="1"/>
    <xf numFmtId="164" fontId="3" fillId="2" borderId="0" xfId="1" applyNumberFormat="1" applyFont="1" applyFill="1" applyBorder="1"/>
    <xf numFmtId="164" fontId="3" fillId="2" borderId="6" xfId="1" applyNumberFormat="1" applyFont="1" applyFill="1" applyBorder="1"/>
    <xf numFmtId="164" fontId="3" fillId="2" borderId="7" xfId="1" applyNumberFormat="1" applyFont="1" applyFill="1" applyBorder="1"/>
    <xf numFmtId="164" fontId="3" fillId="2" borderId="8" xfId="1" applyNumberFormat="1" applyFont="1" applyFill="1" applyBorder="1"/>
    <xf numFmtId="164" fontId="3" fillId="2" borderId="9" xfId="1" applyNumberFormat="1" applyFont="1" applyFill="1" applyBorder="1"/>
    <xf numFmtId="164" fontId="3" fillId="2" borderId="4" xfId="0" applyNumberFormat="1" applyFont="1" applyFill="1" applyBorder="1"/>
    <xf numFmtId="164" fontId="3" fillId="2" borderId="6" xfId="0" applyNumberFormat="1" applyFont="1" applyFill="1" applyBorder="1"/>
    <xf numFmtId="0" fontId="8" fillId="0" borderId="0" xfId="0" applyFont="1" applyFill="1"/>
    <xf numFmtId="164" fontId="8" fillId="2" borderId="10" xfId="1" applyNumberFormat="1" applyFont="1" applyFill="1" applyBorder="1" applyAlignment="1">
      <alignment horizontal="center"/>
    </xf>
    <xf numFmtId="164" fontId="8" fillId="2" borderId="24" xfId="1" applyNumberFormat="1" applyFont="1" applyFill="1" applyBorder="1" applyAlignment="1">
      <alignment horizontal="center"/>
    </xf>
    <xf numFmtId="164" fontId="8" fillId="2" borderId="11" xfId="1" applyNumberFormat="1" applyFont="1" applyFill="1" applyBorder="1"/>
    <xf numFmtId="164" fontId="8" fillId="2" borderId="1" xfId="1" applyNumberFormat="1" applyFont="1" applyFill="1" applyBorder="1"/>
    <xf numFmtId="173" fontId="3" fillId="0" borderId="0" xfId="4" applyNumberFormat="1" applyFont="1" applyFill="1" applyBorder="1"/>
    <xf numFmtId="164" fontId="3" fillId="0" borderId="0" xfId="0" applyNumberFormat="1" applyFont="1" applyFill="1" applyBorder="1"/>
    <xf numFmtId="180" fontId="0" fillId="3" borderId="0" xfId="0" applyNumberFormat="1" applyFill="1"/>
    <xf numFmtId="180" fontId="3" fillId="2" borderId="12" xfId="2" applyNumberFormat="1" applyFont="1" applyFill="1" applyBorder="1"/>
    <xf numFmtId="180" fontId="0" fillId="0" borderId="0" xfId="0" applyNumberFormat="1" applyBorder="1"/>
    <xf numFmtId="180" fontId="0" fillId="0" borderId="25" xfId="0" applyNumberFormat="1" applyBorder="1"/>
    <xf numFmtId="180" fontId="0" fillId="0" borderId="26" xfId="0" applyNumberFormat="1" applyBorder="1"/>
    <xf numFmtId="180" fontId="0" fillId="0" borderId="27" xfId="0" applyNumberFormat="1" applyBorder="1"/>
    <xf numFmtId="180" fontId="0" fillId="0" borderId="28" xfId="0" applyNumberFormat="1" applyBorder="1"/>
    <xf numFmtId="180" fontId="0" fillId="0" borderId="22" xfId="0" applyNumberFormat="1" applyBorder="1"/>
    <xf numFmtId="180" fontId="0" fillId="0" borderId="34" xfId="0" applyNumberFormat="1" applyBorder="1"/>
    <xf numFmtId="180" fontId="0" fillId="0" borderId="13" xfId="0" applyNumberFormat="1" applyBorder="1"/>
    <xf numFmtId="180" fontId="0" fillId="0" borderId="35" xfId="0" applyNumberFormat="1" applyBorder="1"/>
    <xf numFmtId="180" fontId="3" fillId="3" borderId="23" xfId="0" applyNumberFormat="1" applyFont="1" applyFill="1" applyBorder="1"/>
    <xf numFmtId="164" fontId="3" fillId="9" borderId="1" xfId="1" applyNumberFormat="1" applyFont="1" applyFill="1" applyBorder="1"/>
    <xf numFmtId="0" fontId="43" fillId="0" borderId="0" xfId="0" applyFont="1" applyFill="1" applyBorder="1" applyAlignment="1">
      <alignment horizontal="center"/>
    </xf>
    <xf numFmtId="166" fontId="43" fillId="0" borderId="0" xfId="1" applyNumberFormat="1" applyFont="1" applyFill="1" applyBorder="1"/>
    <xf numFmtId="166" fontId="43" fillId="0" borderId="0" xfId="1" applyNumberFormat="1" applyFont="1" applyFill="1" applyBorder="1" applyAlignment="1">
      <alignment horizontal="center"/>
    </xf>
    <xf numFmtId="0" fontId="42" fillId="0" borderId="0" xfId="0" applyFont="1" applyFill="1" applyBorder="1"/>
    <xf numFmtId="43" fontId="18" fillId="0" borderId="0" xfId="1" applyNumberFormat="1" applyFont="1" applyFill="1" applyBorder="1" applyAlignment="1">
      <alignment horizontal="right"/>
    </xf>
    <xf numFmtId="43" fontId="36" fillId="0" borderId="0" xfId="1" applyNumberFormat="1" applyFont="1" applyFill="1" applyBorder="1" applyAlignment="1">
      <alignment horizontal="left"/>
    </xf>
    <xf numFmtId="0" fontId="20" fillId="0" borderId="8" xfId="0" applyFont="1" applyBorder="1" applyAlignment="1"/>
    <xf numFmtId="164" fontId="20" fillId="0" borderId="8" xfId="1" applyNumberFormat="1" applyFont="1" applyBorder="1" applyAlignment="1"/>
    <xf numFmtId="271" fontId="45" fillId="0" borderId="0" xfId="0" applyNumberFormat="1" applyFont="1" applyAlignment="1">
      <alignment horizontal="center"/>
    </xf>
    <xf numFmtId="271" fontId="46" fillId="0" borderId="0" xfId="0" applyNumberFormat="1" applyFont="1"/>
    <xf numFmtId="271" fontId="46" fillId="0" borderId="0" xfId="0" applyNumberFormat="1" applyFont="1" applyFill="1"/>
    <xf numFmtId="271" fontId="46" fillId="0" borderId="0" xfId="1" applyNumberFormat="1" applyFont="1"/>
    <xf numFmtId="292" fontId="46" fillId="0" borderId="0" xfId="0" applyNumberFormat="1" applyFont="1"/>
    <xf numFmtId="271" fontId="47" fillId="0" borderId="0" xfId="0" applyNumberFormat="1" applyFont="1"/>
    <xf numFmtId="271" fontId="47" fillId="0" borderId="0" xfId="0" applyNumberFormat="1" applyFont="1" applyFill="1"/>
    <xf numFmtId="0" fontId="46" fillId="0" borderId="0" xfId="0" applyNumberFormat="1" applyFont="1"/>
    <xf numFmtId="0" fontId="46" fillId="0" borderId="8" xfId="0" applyNumberFormat="1" applyFont="1" applyBorder="1"/>
    <xf numFmtId="0" fontId="46" fillId="0" borderId="8" xfId="0" applyNumberFormat="1" applyFont="1" applyFill="1" applyBorder="1"/>
    <xf numFmtId="271" fontId="46" fillId="0" borderId="0" xfId="1" applyNumberFormat="1" applyFont="1" applyFill="1"/>
    <xf numFmtId="271" fontId="48" fillId="0" borderId="0" xfId="0" applyNumberFormat="1" applyFont="1" applyAlignment="1">
      <alignment horizontal="right"/>
    </xf>
    <xf numFmtId="271" fontId="46" fillId="0" borderId="0" xfId="0" applyNumberFormat="1" applyFont="1" applyFill="1" applyBorder="1"/>
    <xf numFmtId="271" fontId="46" fillId="0" borderId="0" xfId="0" applyNumberFormat="1" applyFont="1" applyBorder="1"/>
    <xf numFmtId="0" fontId="20" fillId="0" borderId="0" xfId="0" applyFont="1" applyBorder="1"/>
    <xf numFmtId="271" fontId="47" fillId="0" borderId="0" xfId="0" applyNumberFormat="1" applyFont="1" applyFill="1" applyBorder="1"/>
    <xf numFmtId="271" fontId="47" fillId="0" borderId="0" xfId="0" applyNumberFormat="1" applyFont="1" applyBorder="1"/>
    <xf numFmtId="0" fontId="46" fillId="0" borderId="0" xfId="0" applyNumberFormat="1" applyFont="1" applyFill="1" applyBorder="1"/>
    <xf numFmtId="0" fontId="46" fillId="0" borderId="0" xfId="0" applyNumberFormat="1" applyFont="1" applyBorder="1"/>
    <xf numFmtId="271" fontId="46" fillId="0" borderId="0" xfId="1" applyNumberFormat="1" applyFont="1" applyFill="1" applyBorder="1"/>
    <xf numFmtId="271" fontId="46" fillId="0" borderId="0" xfId="1" applyNumberFormat="1" applyFont="1" applyBorder="1"/>
    <xf numFmtId="271" fontId="46" fillId="0" borderId="0" xfId="0" applyNumberFormat="1" applyFont="1" applyFill="1" applyBorder="1" applyAlignment="1">
      <alignment horizontal="left"/>
    </xf>
    <xf numFmtId="184" fontId="46" fillId="0" borderId="0" xfId="4" applyNumberFormat="1" applyFont="1"/>
    <xf numFmtId="185" fontId="46" fillId="0" borderId="0" xfId="4" applyNumberFormat="1" applyFont="1"/>
    <xf numFmtId="186" fontId="46" fillId="0" borderId="0" xfId="4" applyNumberFormat="1" applyFont="1"/>
    <xf numFmtId="271" fontId="48" fillId="0" borderId="0" xfId="0" quotePrefix="1" applyNumberFormat="1" applyFont="1" applyAlignment="1">
      <alignment horizontal="right"/>
    </xf>
    <xf numFmtId="7" fontId="46" fillId="0" borderId="0" xfId="2" applyNumberFormat="1" applyFont="1"/>
    <xf numFmtId="0" fontId="20" fillId="2" borderId="0" xfId="0" applyFont="1" applyFill="1"/>
    <xf numFmtId="181" fontId="20" fillId="2" borderId="0" xfId="1" applyNumberFormat="1" applyFont="1" applyFill="1"/>
    <xf numFmtId="0" fontId="44" fillId="0" borderId="0" xfId="0" applyNumberFormat="1" applyFont="1" applyFill="1" applyBorder="1" applyAlignment="1">
      <alignment horizontal="center"/>
    </xf>
    <xf numFmtId="0" fontId="49" fillId="0" borderId="0" xfId="0" applyFont="1" applyFill="1" applyBorder="1"/>
    <xf numFmtId="14" fontId="49" fillId="0" borderId="0" xfId="0" applyNumberFormat="1" applyFont="1" applyFill="1" applyBorder="1"/>
    <xf numFmtId="177" fontId="49" fillId="0" borderId="1" xfId="0" applyNumberFormat="1" applyFont="1" applyFill="1" applyBorder="1" applyAlignment="1">
      <alignment horizontal="center"/>
    </xf>
    <xf numFmtId="202" fontId="49" fillId="0" borderId="0" xfId="2" applyNumberFormat="1" applyFont="1" applyFill="1" applyBorder="1"/>
    <xf numFmtId="0" fontId="50" fillId="0" borderId="0" xfId="0" applyFont="1"/>
    <xf numFmtId="202" fontId="49" fillId="8" borderId="0" xfId="2" applyNumberFormat="1" applyFont="1" applyFill="1" applyBorder="1"/>
    <xf numFmtId="9" fontId="49" fillId="0" borderId="0" xfId="4" applyFont="1" applyFill="1" applyBorder="1"/>
    <xf numFmtId="202" fontId="49" fillId="0" borderId="0" xfId="2" applyNumberFormat="1" applyFont="1" applyFill="1" applyBorder="1" applyAlignment="1">
      <alignment horizontal="right"/>
    </xf>
    <xf numFmtId="10" fontId="49" fillId="0" borderId="0" xfId="4" applyNumberFormat="1" applyFont="1" applyFill="1" applyBorder="1"/>
    <xf numFmtId="164" fontId="49" fillId="0" borderId="0" xfId="2" applyNumberFormat="1" applyFont="1" applyFill="1" applyBorder="1" applyAlignment="1">
      <alignment horizontal="right"/>
    </xf>
    <xf numFmtId="164" fontId="49" fillId="0" borderId="0" xfId="1" applyNumberFormat="1" applyFont="1" applyFill="1" applyBorder="1"/>
    <xf numFmtId="164" fontId="49" fillId="0" borderId="0" xfId="1" applyNumberFormat="1" applyFont="1" applyFill="1" applyBorder="1" applyAlignment="1">
      <alignment horizontal="right"/>
    </xf>
    <xf numFmtId="227" fontId="49" fillId="0" borderId="0" xfId="0" applyNumberFormat="1" applyFont="1" applyFill="1" applyBorder="1"/>
    <xf numFmtId="227" fontId="49" fillId="8" borderId="0" xfId="0" applyNumberFormat="1" applyFont="1" applyFill="1" applyBorder="1"/>
    <xf numFmtId="202" fontId="49" fillId="0" borderId="0" xfId="4" applyNumberFormat="1" applyFont="1" applyFill="1" applyBorder="1"/>
    <xf numFmtId="9" fontId="49" fillId="0" borderId="0" xfId="4" applyFont="1" applyFill="1" applyBorder="1" applyAlignment="1">
      <alignment horizontal="right"/>
    </xf>
    <xf numFmtId="14" fontId="49" fillId="0" borderId="0" xfId="0" applyNumberFormat="1" applyFont="1" applyFill="1" applyBorder="1" applyAlignment="1">
      <alignment horizontal="center"/>
    </xf>
    <xf numFmtId="0" fontId="49" fillId="0" borderId="0" xfId="0" applyFont="1" applyFill="1" applyBorder="1" applyAlignment="1">
      <alignment wrapText="1"/>
    </xf>
    <xf numFmtId="0" fontId="49" fillId="0" borderId="13" xfId="0" applyFont="1" applyFill="1" applyBorder="1" applyAlignment="1">
      <alignment horizontal="right" wrapText="1"/>
    </xf>
    <xf numFmtId="0" fontId="49" fillId="0" borderId="13" xfId="0" applyFont="1" applyFill="1" applyBorder="1" applyAlignment="1">
      <alignment horizontal="center" wrapText="1"/>
    </xf>
    <xf numFmtId="0" fontId="49" fillId="0" borderId="0" xfId="0" applyFont="1" applyFill="1" applyBorder="1" applyAlignment="1">
      <alignment horizontal="center" wrapText="1"/>
    </xf>
    <xf numFmtId="0" fontId="49" fillId="8" borderId="0" xfId="0" applyFont="1" applyFill="1" applyBorder="1" applyAlignment="1">
      <alignment horizontal="center" wrapText="1"/>
    </xf>
    <xf numFmtId="0" fontId="49" fillId="8" borderId="0" xfId="0" applyFont="1" applyFill="1" applyBorder="1"/>
    <xf numFmtId="164" fontId="49" fillId="0" borderId="0" xfId="1" applyNumberFormat="1" applyFont="1" applyFill="1" applyBorder="1" applyProtection="1"/>
    <xf numFmtId="178" fontId="49" fillId="0" borderId="0" xfId="0" applyNumberFormat="1" applyFont="1" applyFill="1" applyBorder="1" applyProtection="1"/>
    <xf numFmtId="43" fontId="49" fillId="0" borderId="0" xfId="1" applyFont="1" applyFill="1" applyBorder="1"/>
    <xf numFmtId="164" fontId="50" fillId="0" borderId="0" xfId="1" applyNumberFormat="1" applyFont="1"/>
    <xf numFmtId="164" fontId="49" fillId="8" borderId="0" xfId="1" applyNumberFormat="1" applyFont="1" applyFill="1" applyBorder="1"/>
    <xf numFmtId="164" fontId="49" fillId="0" borderId="0" xfId="1" applyNumberFormat="1" applyFont="1" applyBorder="1"/>
    <xf numFmtId="178" fontId="49" fillId="0" borderId="0" xfId="0" applyNumberFormat="1" applyFont="1" applyBorder="1"/>
    <xf numFmtId="174" fontId="49" fillId="0" borderId="0" xfId="1" applyNumberFormat="1" applyFont="1" applyFill="1" applyBorder="1"/>
    <xf numFmtId="204" fontId="20" fillId="0" borderId="0" xfId="0" applyNumberFormat="1" applyFont="1"/>
    <xf numFmtId="14" fontId="20" fillId="0" borderId="0" xfId="0" applyNumberFormat="1" applyFont="1"/>
    <xf numFmtId="178" fontId="20" fillId="0" borderId="0" xfId="1" applyNumberFormat="1" applyFont="1"/>
    <xf numFmtId="183" fontId="20" fillId="0" borderId="0" xfId="1" applyNumberFormat="1" applyFont="1"/>
    <xf numFmtId="175" fontId="3" fillId="0" borderId="0" xfId="1" applyNumberFormat="1" applyFont="1" applyFill="1" applyBorder="1"/>
    <xf numFmtId="44" fontId="50" fillId="0" borderId="0" xfId="2" applyFont="1"/>
    <xf numFmtId="164" fontId="50" fillId="0" borderId="13" xfId="1" applyNumberFormat="1" applyFont="1" applyBorder="1" applyAlignment="1">
      <alignment wrapText="1"/>
    </xf>
    <xf numFmtId="164" fontId="50" fillId="0" borderId="13" xfId="1" applyNumberFormat="1" applyFont="1" applyBorder="1"/>
    <xf numFmtId="0" fontId="50" fillId="0" borderId="13" xfId="0" applyFont="1" applyBorder="1"/>
    <xf numFmtId="7" fontId="3" fillId="9" borderId="1" xfId="2" applyNumberFormat="1" applyFont="1" applyFill="1" applyBorder="1" applyAlignment="1"/>
    <xf numFmtId="166" fontId="3" fillId="9" borderId="1" xfId="1" applyNumberFormat="1" applyFont="1" applyFill="1" applyBorder="1"/>
    <xf numFmtId="202" fontId="51" fillId="9" borderId="18" xfId="2" applyNumberFormat="1" applyFont="1" applyFill="1" applyBorder="1"/>
    <xf numFmtId="164" fontId="49" fillId="0" borderId="0" xfId="1" quotePrefix="1" applyNumberFormat="1" applyFont="1" applyFill="1" applyBorder="1"/>
    <xf numFmtId="164" fontId="0" fillId="0" borderId="13" xfId="1" applyNumberFormat="1" applyFont="1" applyBorder="1"/>
    <xf numFmtId="178" fontId="0" fillId="0" borderId="0" xfId="1" applyNumberFormat="1" applyFont="1"/>
    <xf numFmtId="164" fontId="0" fillId="0" borderId="0" xfId="1" applyNumberFormat="1" applyFont="1" applyAlignment="1">
      <alignment horizontal="center"/>
    </xf>
    <xf numFmtId="164" fontId="0" fillId="0" borderId="13" xfId="1" applyNumberFormat="1" applyFont="1" applyBorder="1" applyAlignment="1">
      <alignment horizontal="center"/>
    </xf>
    <xf numFmtId="181" fontId="0" fillId="0" borderId="0" xfId="1" applyNumberFormat="1" applyFont="1"/>
    <xf numFmtId="181" fontId="0" fillId="0" borderId="0" xfId="1" applyNumberFormat="1" applyFont="1" applyAlignment="1">
      <alignment horizontal="center"/>
    </xf>
    <xf numFmtId="181" fontId="0" fillId="0" borderId="13" xfId="1" applyNumberFormat="1" applyFont="1" applyBorder="1" applyAlignment="1">
      <alignment horizontal="center"/>
    </xf>
    <xf numFmtId="164" fontId="52" fillId="2" borderId="11" xfId="1" applyNumberFormat="1" applyFont="1" applyFill="1" applyBorder="1" applyAlignment="1">
      <alignment horizontal="center"/>
    </xf>
    <xf numFmtId="0" fontId="52" fillId="2" borderId="5" xfId="0" applyFont="1" applyFill="1" applyBorder="1"/>
    <xf numFmtId="0" fontId="52" fillId="2" borderId="1" xfId="0" applyFont="1" applyFill="1" applyBorder="1" applyAlignment="1">
      <alignment horizontal="center"/>
    </xf>
    <xf numFmtId="7" fontId="0" fillId="0" borderId="0" xfId="2" applyNumberFormat="1" applyFont="1"/>
    <xf numFmtId="0" fontId="53" fillId="0" borderId="0" xfId="0" applyFont="1"/>
    <xf numFmtId="0" fontId="52" fillId="2" borderId="23" xfId="0" applyFont="1" applyFill="1" applyBorder="1" applyAlignment="1">
      <alignment horizontal="center"/>
    </xf>
    <xf numFmtId="14" fontId="52" fillId="0" borderId="13" xfId="0" applyNumberFormat="1" applyFont="1" applyBorder="1"/>
    <xf numFmtId="14" fontId="52" fillId="0" borderId="13" xfId="0" applyNumberFormat="1" applyFont="1" applyFill="1" applyBorder="1"/>
    <xf numFmtId="0" fontId="52" fillId="0" borderId="0" xfId="0" applyFont="1"/>
    <xf numFmtId="164" fontId="52" fillId="0" borderId="0" xfId="1" applyNumberFormat="1" applyFont="1"/>
    <xf numFmtId="0" fontId="52" fillId="0" borderId="0" xfId="0" applyFont="1" applyAlignment="1">
      <alignment horizontal="right"/>
    </xf>
    <xf numFmtId="7" fontId="52" fillId="0" borderId="15" xfId="0" applyNumberFormat="1" applyFont="1" applyBorder="1"/>
    <xf numFmtId="0" fontId="52" fillId="2" borderId="10" xfId="0" applyFont="1" applyFill="1" applyBorder="1"/>
    <xf numFmtId="164" fontId="52" fillId="0" borderId="15" xfId="0" applyNumberFormat="1" applyFont="1" applyBorder="1"/>
    <xf numFmtId="164" fontId="52" fillId="0" borderId="0" xfId="0" applyNumberFormat="1" applyFont="1"/>
    <xf numFmtId="164" fontId="52" fillId="0" borderId="0" xfId="1" applyNumberFormat="1" applyFont="1" applyFill="1"/>
    <xf numFmtId="164" fontId="52" fillId="0" borderId="0" xfId="1" applyNumberFormat="1" applyFont="1" applyBorder="1"/>
    <xf numFmtId="164" fontId="52" fillId="0" borderId="8" xfId="1" applyNumberFormat="1" applyFont="1" applyBorder="1"/>
    <xf numFmtId="164" fontId="52" fillId="0" borderId="0" xfId="1" applyNumberFormat="1" applyFont="1" applyAlignment="1">
      <alignment horizontal="right"/>
    </xf>
    <xf numFmtId="0" fontId="52" fillId="0" borderId="0" xfId="0" applyFont="1" applyFill="1"/>
    <xf numFmtId="164" fontId="52" fillId="0" borderId="0" xfId="0" applyNumberFormat="1" applyFont="1" applyFill="1"/>
    <xf numFmtId="0" fontId="52" fillId="0" borderId="0" xfId="0" applyFont="1" applyAlignment="1">
      <alignment horizontal="left"/>
    </xf>
    <xf numFmtId="164" fontId="52" fillId="0" borderId="14" xfId="0" applyNumberFormat="1" applyFont="1" applyBorder="1"/>
    <xf numFmtId="164" fontId="52" fillId="0" borderId="14" xfId="0" applyNumberFormat="1" applyFont="1" applyFill="1" applyBorder="1"/>
    <xf numFmtId="0" fontId="52" fillId="0" borderId="0" xfId="0" applyFont="1" applyFill="1" applyBorder="1" applyAlignment="1">
      <alignment horizontal="center"/>
    </xf>
    <xf numFmtId="164" fontId="52" fillId="0" borderId="0" xfId="0" applyNumberFormat="1" applyFont="1" applyBorder="1"/>
    <xf numFmtId="164" fontId="52" fillId="0" borderId="8" xfId="0" applyNumberFormat="1" applyFont="1" applyBorder="1"/>
    <xf numFmtId="164" fontId="52" fillId="0" borderId="15" xfId="0" applyNumberFormat="1" applyFont="1" applyFill="1" applyBorder="1"/>
    <xf numFmtId="43" fontId="52" fillId="0" borderId="0" xfId="0" applyNumberFormat="1" applyFont="1"/>
    <xf numFmtId="0" fontId="52" fillId="0" borderId="13" xfId="0" applyFont="1" applyBorder="1" applyAlignment="1">
      <alignment horizontal="center"/>
    </xf>
    <xf numFmtId="164" fontId="9" fillId="0" borderId="0" xfId="1" applyNumberFormat="1" applyFont="1" applyAlignment="1"/>
    <xf numFmtId="164" fontId="9" fillId="0" borderId="0" xfId="3" applyNumberFormat="1" applyAlignment="1"/>
    <xf numFmtId="0" fontId="9" fillId="0" borderId="0" xfId="3" applyFont="1" applyAlignment="1"/>
    <xf numFmtId="0" fontId="9" fillId="0" borderId="0" xfId="3" applyFont="1" applyAlignment="1">
      <alignment horizontal="center"/>
    </xf>
    <xf numFmtId="0" fontId="9" fillId="0" borderId="8" xfId="3" applyFont="1" applyBorder="1" applyAlignment="1">
      <alignment horizontal="center"/>
    </xf>
    <xf numFmtId="164" fontId="9" fillId="0" borderId="15" xfId="1" applyNumberFormat="1" applyFont="1" applyBorder="1" applyAlignment="1"/>
    <xf numFmtId="164" fontId="52" fillId="2" borderId="5" xfId="1" applyNumberFormat="1" applyFont="1" applyFill="1" applyBorder="1"/>
    <xf numFmtId="164" fontId="52" fillId="2" borderId="12" xfId="1" applyNumberFormat="1" applyFont="1" applyFill="1" applyBorder="1" applyAlignment="1">
      <alignment horizontal="center"/>
    </xf>
    <xf numFmtId="164" fontId="52" fillId="3" borderId="15" xfId="1" applyNumberFormat="1" applyFont="1" applyFill="1" applyBorder="1"/>
    <xf numFmtId="7" fontId="52" fillId="0" borderId="0" xfId="0" applyNumberFormat="1" applyFont="1" applyBorder="1"/>
    <xf numFmtId="7" fontId="9" fillId="0" borderId="0" xfId="2" applyNumberFormat="1" applyFont="1" applyAlignment="1"/>
    <xf numFmtId="0" fontId="9" fillId="0" borderId="0" xfId="3" applyBorder="1" applyAlignment="1"/>
    <xf numFmtId="0" fontId="9" fillId="0" borderId="0" xfId="3" applyBorder="1" applyAlignment="1">
      <alignment horizontal="center"/>
    </xf>
    <xf numFmtId="43" fontId="52" fillId="0" borderId="0" xfId="1" applyFont="1"/>
    <xf numFmtId="0" fontId="9" fillId="0" borderId="0" xfId="3" applyFont="1" applyBorder="1" applyAlignment="1">
      <alignment horizontal="center"/>
    </xf>
    <xf numFmtId="164" fontId="9" fillId="0" borderId="0" xfId="1" applyNumberFormat="1" applyFont="1" applyBorder="1" applyAlignment="1"/>
    <xf numFmtId="164" fontId="52" fillId="2" borderId="6" xfId="1" applyNumberFormat="1" applyFont="1" applyFill="1" applyBorder="1"/>
    <xf numFmtId="0" fontId="52" fillId="3" borderId="20" xfId="0" applyFont="1" applyFill="1" applyBorder="1"/>
    <xf numFmtId="164" fontId="52" fillId="3" borderId="21" xfId="1" applyNumberFormat="1" applyFont="1" applyFill="1" applyBorder="1"/>
    <xf numFmtId="164" fontId="52" fillId="0" borderId="0" xfId="1" applyNumberFormat="1" applyFont="1" applyFill="1" applyBorder="1"/>
    <xf numFmtId="0" fontId="52" fillId="0" borderId="36" xfId="0" applyFont="1" applyBorder="1" applyAlignment="1">
      <alignment horizontal="right"/>
    </xf>
    <xf numFmtId="7" fontId="52" fillId="0" borderId="36" xfId="0" applyNumberFormat="1" applyFont="1" applyBorder="1"/>
    <xf numFmtId="164" fontId="52" fillId="2" borderId="15" xfId="1" applyNumberFormat="1" applyFont="1" applyFill="1" applyBorder="1"/>
    <xf numFmtId="164" fontId="52" fillId="2" borderId="3" xfId="0" applyNumberFormat="1" applyFont="1" applyFill="1" applyBorder="1"/>
    <xf numFmtId="164" fontId="52" fillId="2" borderId="4" xfId="0" applyNumberFormat="1" applyFont="1" applyFill="1" applyBorder="1"/>
    <xf numFmtId="164" fontId="52" fillId="2" borderId="3" xfId="1" applyNumberFormat="1" applyFont="1" applyFill="1" applyBorder="1"/>
    <xf numFmtId="164" fontId="52" fillId="2" borderId="8" xfId="1" applyNumberFormat="1" applyFont="1" applyFill="1" applyBorder="1"/>
    <xf numFmtId="0" fontId="52" fillId="2" borderId="0" xfId="0" applyFont="1" applyFill="1" applyBorder="1"/>
    <xf numFmtId="164" fontId="52" fillId="2" borderId="0" xfId="1" applyNumberFormat="1" applyFont="1" applyFill="1" applyBorder="1"/>
    <xf numFmtId="164" fontId="52" fillId="2" borderId="21" xfId="1" applyNumberFormat="1" applyFont="1" applyFill="1" applyBorder="1"/>
    <xf numFmtId="164" fontId="52" fillId="2" borderId="7" xfId="1" applyNumberFormat="1" applyFont="1" applyFill="1" applyBorder="1" applyAlignment="1">
      <alignment horizontal="right"/>
    </xf>
    <xf numFmtId="164" fontId="52" fillId="3" borderId="15" xfId="0" applyNumberFormat="1" applyFont="1" applyFill="1" applyBorder="1"/>
    <xf numFmtId="164" fontId="52" fillId="3" borderId="21" xfId="0" applyNumberFormat="1" applyFont="1" applyFill="1" applyBorder="1"/>
    <xf numFmtId="0" fontId="52" fillId="2" borderId="1" xfId="0" applyFont="1" applyFill="1" applyBorder="1"/>
    <xf numFmtId="0" fontId="52" fillId="0" borderId="13" xfId="0" applyFont="1" applyBorder="1"/>
    <xf numFmtId="0" fontId="52" fillId="0" borderId="13" xfId="0" applyFont="1" applyFill="1" applyBorder="1"/>
    <xf numFmtId="164" fontId="52" fillId="0" borderId="13" xfId="0" applyNumberFormat="1" applyFont="1" applyBorder="1"/>
    <xf numFmtId="0" fontId="52" fillId="0" borderId="0" xfId="0" applyFont="1" applyFill="1" applyBorder="1"/>
    <xf numFmtId="0" fontId="52" fillId="0" borderId="13" xfId="0" applyFont="1" applyFill="1" applyBorder="1" applyAlignment="1">
      <alignment horizontal="center"/>
    </xf>
    <xf numFmtId="164" fontId="52" fillId="0" borderId="0" xfId="1" applyNumberFormat="1" applyFont="1" applyFill="1" applyBorder="1" applyAlignment="1">
      <alignment horizontal="center"/>
    </xf>
    <xf numFmtId="7" fontId="52" fillId="2" borderId="3" xfId="0" applyNumberFormat="1" applyFont="1" applyFill="1" applyBorder="1"/>
    <xf numFmtId="7" fontId="52" fillId="2" borderId="4" xfId="0" applyNumberFormat="1" applyFont="1" applyFill="1" applyBorder="1"/>
    <xf numFmtId="181" fontId="52" fillId="2" borderId="0" xfId="0" applyNumberFormat="1" applyFont="1" applyFill="1" applyBorder="1"/>
    <xf numFmtId="181" fontId="52" fillId="2" borderId="6" xfId="0" applyNumberFormat="1" applyFont="1" applyFill="1" applyBorder="1" applyAlignment="1">
      <alignment horizontal="right"/>
    </xf>
    <xf numFmtId="7" fontId="52" fillId="2" borderId="8" xfId="2" applyNumberFormat="1" applyFont="1" applyFill="1" applyBorder="1"/>
    <xf numFmtId="181" fontId="52" fillId="2" borderId="9" xfId="0" applyNumberFormat="1" applyFont="1" applyFill="1" applyBorder="1" applyAlignment="1">
      <alignment horizontal="right"/>
    </xf>
    <xf numFmtId="0" fontId="52" fillId="2" borderId="7" xfId="0" applyFont="1" applyFill="1" applyBorder="1" applyAlignment="1">
      <alignment horizontal="right"/>
    </xf>
    <xf numFmtId="7" fontId="52" fillId="2" borderId="15" xfId="0" applyNumberFormat="1" applyFont="1" applyFill="1" applyBorder="1"/>
    <xf numFmtId="164" fontId="52" fillId="2" borderId="0" xfId="1" applyNumberFormat="1" applyFont="1" applyFill="1"/>
    <xf numFmtId="164" fontId="52" fillId="3" borderId="20" xfId="1" applyNumberFormat="1" applyFont="1" applyFill="1" applyBorder="1" applyAlignment="1">
      <alignment horizontal="right"/>
    </xf>
    <xf numFmtId="0" fontId="54" fillId="2" borderId="7" xfId="0" applyFont="1" applyFill="1" applyBorder="1" applyAlignment="1">
      <alignment horizontal="right"/>
    </xf>
    <xf numFmtId="0" fontId="54" fillId="2" borderId="8" xfId="0" applyFont="1" applyFill="1" applyBorder="1"/>
    <xf numFmtId="0" fontId="54" fillId="2" borderId="9" xfId="0" applyFont="1" applyFill="1" applyBorder="1"/>
    <xf numFmtId="164" fontId="52" fillId="2" borderId="0" xfId="0" applyNumberFormat="1" applyFont="1" applyFill="1" applyBorder="1"/>
    <xf numFmtId="164" fontId="52" fillId="2" borderId="6" xfId="0" applyNumberFormat="1" applyFont="1" applyFill="1" applyBorder="1"/>
    <xf numFmtId="0" fontId="52" fillId="0" borderId="0" xfId="0" applyFont="1" applyAlignment="1">
      <alignment horizontal="center"/>
    </xf>
    <xf numFmtId="164" fontId="52" fillId="0" borderId="0" xfId="1" applyNumberFormat="1" applyFont="1" applyAlignment="1">
      <alignment horizontal="center"/>
    </xf>
    <xf numFmtId="180" fontId="55" fillId="0" borderId="0" xfId="0" applyNumberFormat="1" applyFont="1"/>
    <xf numFmtId="202" fontId="3" fillId="3" borderId="23" xfId="2" applyNumberFormat="1" applyFont="1" applyFill="1" applyBorder="1"/>
    <xf numFmtId="243" fontId="46" fillId="0" borderId="0" xfId="2" applyNumberFormat="1" applyFont="1"/>
    <xf numFmtId="0" fontId="52" fillId="2" borderId="20" xfId="0" applyFont="1" applyFill="1" applyBorder="1" applyAlignment="1">
      <alignment horizontal="center"/>
    </xf>
    <xf numFmtId="43" fontId="52" fillId="2" borderId="20" xfId="1" applyFont="1" applyFill="1" applyBorder="1"/>
    <xf numFmtId="43" fontId="52" fillId="2" borderId="15" xfId="1" applyFont="1" applyFill="1" applyBorder="1" applyAlignment="1">
      <alignment horizontal="right"/>
    </xf>
    <xf numFmtId="43" fontId="52" fillId="2" borderId="15" xfId="1" applyFont="1" applyFill="1" applyBorder="1"/>
    <xf numFmtId="43" fontId="52" fillId="2" borderId="21" xfId="1" applyFont="1" applyFill="1" applyBorder="1"/>
    <xf numFmtId="0" fontId="52" fillId="0" borderId="2" xfId="0" applyFont="1" applyFill="1" applyBorder="1"/>
    <xf numFmtId="43" fontId="52" fillId="0" borderId="3" xfId="0" applyNumberFormat="1" applyFont="1" applyFill="1" applyBorder="1"/>
    <xf numFmtId="43" fontId="52" fillId="0" borderId="4" xfId="0" applyNumberFormat="1" applyFont="1" applyFill="1" applyBorder="1"/>
    <xf numFmtId="164" fontId="52" fillId="0" borderId="3" xfId="0" applyNumberFormat="1" applyFont="1" applyFill="1" applyBorder="1"/>
    <xf numFmtId="164" fontId="52" fillId="0" borderId="4" xfId="0" applyNumberFormat="1" applyFont="1" applyFill="1" applyBorder="1"/>
    <xf numFmtId="43" fontId="3" fillId="3" borderId="3" xfId="0" applyNumberFormat="1" applyFont="1" applyFill="1" applyBorder="1" applyAlignment="1">
      <alignment horizontal="right"/>
    </xf>
    <xf numFmtId="43" fontId="52" fillId="0" borderId="3" xfId="0" applyNumberFormat="1" applyFont="1" applyFill="1" applyBorder="1" applyAlignment="1">
      <alignment horizontal="right"/>
    </xf>
    <xf numFmtId="181" fontId="52" fillId="0" borderId="0" xfId="0" applyNumberFormat="1" applyFont="1" applyFill="1"/>
    <xf numFmtId="7" fontId="52" fillId="0" borderId="8" xfId="2" applyNumberFormat="1" applyFont="1" applyFill="1" applyBorder="1"/>
    <xf numFmtId="10" fontId="3" fillId="0" borderId="0" xfId="4" applyNumberFormat="1" applyFont="1" applyFill="1" applyBorder="1"/>
    <xf numFmtId="168" fontId="37" fillId="3" borderId="20" xfId="0" applyNumberFormat="1" applyFont="1" applyFill="1" applyBorder="1" applyAlignment="1" applyProtection="1">
      <alignment horizontal="center"/>
      <protection locked="0"/>
    </xf>
    <xf numFmtId="168" fontId="37" fillId="3" borderId="15" xfId="0" applyNumberFormat="1" applyFont="1" applyFill="1" applyBorder="1" applyAlignment="1" applyProtection="1">
      <alignment horizontal="center"/>
      <protection locked="0"/>
    </xf>
    <xf numFmtId="168" fontId="37" fillId="3" borderId="21" xfId="0" applyNumberFormat="1" applyFont="1" applyFill="1" applyBorder="1" applyAlignment="1" applyProtection="1">
      <alignment horizontal="center"/>
      <protection locked="0"/>
    </xf>
    <xf numFmtId="0" fontId="44" fillId="2" borderId="0" xfId="0" applyNumberFormat="1" applyFont="1" applyFill="1" applyBorder="1" applyAlignment="1">
      <alignment horizontal="center"/>
    </xf>
    <xf numFmtId="180" fontId="3" fillId="2" borderId="20" xfId="0" applyNumberFormat="1" applyFont="1" applyFill="1" applyBorder="1" applyAlignment="1">
      <alignment horizontal="center"/>
    </xf>
    <xf numFmtId="180" fontId="3" fillId="2" borderId="15" xfId="0" applyNumberFormat="1" applyFont="1" applyFill="1" applyBorder="1" applyAlignment="1">
      <alignment horizontal="center"/>
    </xf>
    <xf numFmtId="180" fontId="3" fillId="2" borderId="21" xfId="0" applyNumberFormat="1" applyFont="1" applyFill="1" applyBorder="1" applyAlignment="1">
      <alignment horizontal="center"/>
    </xf>
    <xf numFmtId="166" fontId="3" fillId="0" borderId="0" xfId="1" applyNumberFormat="1" applyFont="1" applyFill="1" applyBorder="1" applyAlignment="1">
      <alignment horizontal="center"/>
    </xf>
    <xf numFmtId="14" fontId="17" fillId="0" borderId="0" xfId="0" applyNumberFormat="1" applyFont="1" applyFill="1" applyBorder="1" applyAlignment="1">
      <alignment horizontal="center"/>
    </xf>
    <xf numFmtId="0" fontId="8" fillId="2" borderId="15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Spot" xfId="3"/>
    <cellStyle name="Percent" xfId="4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9.xml"/><Relationship Id="rId24" Type="http://schemas.openxmlformats.org/officeDocument/2006/relationships/sharedStrings" Target="sharedStrings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3.xml"/><Relationship Id="rId23" Type="http://schemas.openxmlformats.org/officeDocument/2006/relationships/styles" Target="styles.xml"/><Relationship Id="rId10" Type="http://schemas.openxmlformats.org/officeDocument/2006/relationships/worksheet" Target="worksheets/sheet8.xml"/><Relationship Id="rId19" Type="http://schemas.openxmlformats.org/officeDocument/2006/relationships/worksheet" Target="worksheets/sheet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Fuel Curve Comparison</a:t>
            </a:r>
          </a:p>
        </c:rich>
      </c:tx>
      <c:layout>
        <c:manualLayout>
          <c:xMode val="edge"/>
          <c:yMode val="edge"/>
          <c:x val="0.37188612099644125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174377224199281E-2"/>
          <c:y val="0.14659685863874347"/>
          <c:w val="0.91903914590747315"/>
          <c:h val="0.69109947643979064"/>
        </c:manualLayout>
      </c:layout>
      <c:lineChart>
        <c:grouping val="standard"/>
        <c:varyColors val="0"/>
        <c:ser>
          <c:idx val="0"/>
          <c:order val="0"/>
          <c:tx>
            <c:v>Company Curve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'Curve Comparison'!$B$4:$B$238</c:f>
              <c:numCache>
                <c:formatCode>mmm\-yy</c:formatCode>
                <c:ptCount val="235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  <c:pt idx="24">
                  <c:v>37408</c:v>
                </c:pt>
                <c:pt idx="25">
                  <c:v>37438</c:v>
                </c:pt>
                <c:pt idx="26">
                  <c:v>37469</c:v>
                </c:pt>
                <c:pt idx="27">
                  <c:v>37500</c:v>
                </c:pt>
                <c:pt idx="28">
                  <c:v>37530</c:v>
                </c:pt>
                <c:pt idx="29">
                  <c:v>37561</c:v>
                </c:pt>
                <c:pt idx="30">
                  <c:v>37591</c:v>
                </c:pt>
                <c:pt idx="31">
                  <c:v>37622</c:v>
                </c:pt>
                <c:pt idx="32">
                  <c:v>37653</c:v>
                </c:pt>
                <c:pt idx="33">
                  <c:v>37681</c:v>
                </c:pt>
                <c:pt idx="34">
                  <c:v>37712</c:v>
                </c:pt>
                <c:pt idx="35">
                  <c:v>37742</c:v>
                </c:pt>
                <c:pt idx="36">
                  <c:v>37773</c:v>
                </c:pt>
                <c:pt idx="37">
                  <c:v>37803</c:v>
                </c:pt>
                <c:pt idx="38">
                  <c:v>37834</c:v>
                </c:pt>
                <c:pt idx="39">
                  <c:v>37865</c:v>
                </c:pt>
                <c:pt idx="40">
                  <c:v>37895</c:v>
                </c:pt>
                <c:pt idx="41">
                  <c:v>37926</c:v>
                </c:pt>
                <c:pt idx="42">
                  <c:v>37956</c:v>
                </c:pt>
                <c:pt idx="43">
                  <c:v>37987</c:v>
                </c:pt>
                <c:pt idx="44">
                  <c:v>38018</c:v>
                </c:pt>
                <c:pt idx="45">
                  <c:v>38047</c:v>
                </c:pt>
                <c:pt idx="46">
                  <c:v>38078</c:v>
                </c:pt>
                <c:pt idx="47">
                  <c:v>38108</c:v>
                </c:pt>
                <c:pt idx="48">
                  <c:v>38139</c:v>
                </c:pt>
                <c:pt idx="49">
                  <c:v>38169</c:v>
                </c:pt>
                <c:pt idx="50">
                  <c:v>38200</c:v>
                </c:pt>
                <c:pt idx="51">
                  <c:v>38231</c:v>
                </c:pt>
                <c:pt idx="52">
                  <c:v>38261</c:v>
                </c:pt>
                <c:pt idx="53">
                  <c:v>38292</c:v>
                </c:pt>
                <c:pt idx="54">
                  <c:v>38322</c:v>
                </c:pt>
                <c:pt idx="55">
                  <c:v>38353</c:v>
                </c:pt>
                <c:pt idx="56">
                  <c:v>38384</c:v>
                </c:pt>
                <c:pt idx="57">
                  <c:v>38412</c:v>
                </c:pt>
                <c:pt idx="58">
                  <c:v>38443</c:v>
                </c:pt>
                <c:pt idx="59">
                  <c:v>38473</c:v>
                </c:pt>
                <c:pt idx="60">
                  <c:v>38504</c:v>
                </c:pt>
                <c:pt idx="61">
                  <c:v>38534</c:v>
                </c:pt>
                <c:pt idx="62">
                  <c:v>38565</c:v>
                </c:pt>
                <c:pt idx="63">
                  <c:v>38596</c:v>
                </c:pt>
                <c:pt idx="64">
                  <c:v>38626</c:v>
                </c:pt>
                <c:pt idx="65">
                  <c:v>38657</c:v>
                </c:pt>
                <c:pt idx="66">
                  <c:v>38687</c:v>
                </c:pt>
                <c:pt idx="67">
                  <c:v>38718</c:v>
                </c:pt>
                <c:pt idx="68">
                  <c:v>38749</c:v>
                </c:pt>
                <c:pt idx="69">
                  <c:v>38777</c:v>
                </c:pt>
                <c:pt idx="70">
                  <c:v>38808</c:v>
                </c:pt>
                <c:pt idx="71">
                  <c:v>38838</c:v>
                </c:pt>
                <c:pt idx="72">
                  <c:v>38869</c:v>
                </c:pt>
                <c:pt idx="73">
                  <c:v>38899</c:v>
                </c:pt>
                <c:pt idx="74">
                  <c:v>38930</c:v>
                </c:pt>
                <c:pt idx="75">
                  <c:v>38961</c:v>
                </c:pt>
                <c:pt idx="76">
                  <c:v>38991</c:v>
                </c:pt>
                <c:pt idx="77">
                  <c:v>39022</c:v>
                </c:pt>
                <c:pt idx="78">
                  <c:v>39052</c:v>
                </c:pt>
                <c:pt idx="79">
                  <c:v>39083</c:v>
                </c:pt>
                <c:pt idx="80">
                  <c:v>39114</c:v>
                </c:pt>
                <c:pt idx="81">
                  <c:v>39142</c:v>
                </c:pt>
                <c:pt idx="82">
                  <c:v>39173</c:v>
                </c:pt>
                <c:pt idx="83">
                  <c:v>39203</c:v>
                </c:pt>
                <c:pt idx="84">
                  <c:v>39234</c:v>
                </c:pt>
                <c:pt idx="85">
                  <c:v>39264</c:v>
                </c:pt>
                <c:pt idx="86">
                  <c:v>39295</c:v>
                </c:pt>
                <c:pt idx="87">
                  <c:v>39326</c:v>
                </c:pt>
                <c:pt idx="88">
                  <c:v>39356</c:v>
                </c:pt>
                <c:pt idx="89">
                  <c:v>39387</c:v>
                </c:pt>
                <c:pt idx="90">
                  <c:v>39417</c:v>
                </c:pt>
                <c:pt idx="91">
                  <c:v>39448</c:v>
                </c:pt>
                <c:pt idx="92">
                  <c:v>39479</c:v>
                </c:pt>
                <c:pt idx="93">
                  <c:v>39508</c:v>
                </c:pt>
                <c:pt idx="94">
                  <c:v>39539</c:v>
                </c:pt>
                <c:pt idx="95">
                  <c:v>39569</c:v>
                </c:pt>
                <c:pt idx="96">
                  <c:v>39600</c:v>
                </c:pt>
                <c:pt idx="97">
                  <c:v>39630</c:v>
                </c:pt>
                <c:pt idx="98">
                  <c:v>39661</c:v>
                </c:pt>
                <c:pt idx="99">
                  <c:v>39692</c:v>
                </c:pt>
                <c:pt idx="100">
                  <c:v>39722</c:v>
                </c:pt>
                <c:pt idx="101">
                  <c:v>39753</c:v>
                </c:pt>
                <c:pt idx="102">
                  <c:v>39783</c:v>
                </c:pt>
                <c:pt idx="103">
                  <c:v>39814</c:v>
                </c:pt>
                <c:pt idx="104">
                  <c:v>39845</c:v>
                </c:pt>
                <c:pt idx="105">
                  <c:v>39873</c:v>
                </c:pt>
                <c:pt idx="106">
                  <c:v>39904</c:v>
                </c:pt>
                <c:pt idx="107">
                  <c:v>39934</c:v>
                </c:pt>
                <c:pt idx="108">
                  <c:v>39965</c:v>
                </c:pt>
                <c:pt idx="109">
                  <c:v>39995</c:v>
                </c:pt>
                <c:pt idx="110">
                  <c:v>40026</c:v>
                </c:pt>
                <c:pt idx="111">
                  <c:v>40057</c:v>
                </c:pt>
                <c:pt idx="112">
                  <c:v>40087</c:v>
                </c:pt>
                <c:pt idx="113">
                  <c:v>40118</c:v>
                </c:pt>
                <c:pt idx="114">
                  <c:v>40148</c:v>
                </c:pt>
                <c:pt idx="115">
                  <c:v>40179</c:v>
                </c:pt>
                <c:pt idx="116">
                  <c:v>40210</c:v>
                </c:pt>
                <c:pt idx="117">
                  <c:v>40238</c:v>
                </c:pt>
                <c:pt idx="118">
                  <c:v>40269</c:v>
                </c:pt>
                <c:pt idx="119">
                  <c:v>40299</c:v>
                </c:pt>
                <c:pt idx="120">
                  <c:v>40330</c:v>
                </c:pt>
                <c:pt idx="121">
                  <c:v>40360</c:v>
                </c:pt>
                <c:pt idx="122">
                  <c:v>40391</c:v>
                </c:pt>
                <c:pt idx="123">
                  <c:v>40422</c:v>
                </c:pt>
                <c:pt idx="124">
                  <c:v>40452</c:v>
                </c:pt>
                <c:pt idx="125">
                  <c:v>40483</c:v>
                </c:pt>
                <c:pt idx="126">
                  <c:v>40513</c:v>
                </c:pt>
                <c:pt idx="127">
                  <c:v>40544</c:v>
                </c:pt>
                <c:pt idx="128">
                  <c:v>40575</c:v>
                </c:pt>
                <c:pt idx="129">
                  <c:v>40603</c:v>
                </c:pt>
                <c:pt idx="130">
                  <c:v>40634</c:v>
                </c:pt>
                <c:pt idx="131">
                  <c:v>40664</c:v>
                </c:pt>
                <c:pt idx="132">
                  <c:v>40695</c:v>
                </c:pt>
                <c:pt idx="133">
                  <c:v>40725</c:v>
                </c:pt>
                <c:pt idx="134">
                  <c:v>40756</c:v>
                </c:pt>
                <c:pt idx="135">
                  <c:v>40787</c:v>
                </c:pt>
                <c:pt idx="136">
                  <c:v>40817</c:v>
                </c:pt>
                <c:pt idx="137">
                  <c:v>40848</c:v>
                </c:pt>
                <c:pt idx="138">
                  <c:v>40878</c:v>
                </c:pt>
                <c:pt idx="139">
                  <c:v>40909</c:v>
                </c:pt>
                <c:pt idx="140">
                  <c:v>40940</c:v>
                </c:pt>
                <c:pt idx="141">
                  <c:v>40969</c:v>
                </c:pt>
                <c:pt idx="142">
                  <c:v>41000</c:v>
                </c:pt>
                <c:pt idx="143">
                  <c:v>41030</c:v>
                </c:pt>
                <c:pt idx="144">
                  <c:v>41061</c:v>
                </c:pt>
                <c:pt idx="145">
                  <c:v>41091</c:v>
                </c:pt>
                <c:pt idx="146">
                  <c:v>41122</c:v>
                </c:pt>
                <c:pt idx="147">
                  <c:v>41153</c:v>
                </c:pt>
                <c:pt idx="148">
                  <c:v>41183</c:v>
                </c:pt>
                <c:pt idx="149">
                  <c:v>41214</c:v>
                </c:pt>
                <c:pt idx="150">
                  <c:v>41244</c:v>
                </c:pt>
                <c:pt idx="151">
                  <c:v>41275</c:v>
                </c:pt>
                <c:pt idx="152">
                  <c:v>41306</c:v>
                </c:pt>
                <c:pt idx="153">
                  <c:v>41334</c:v>
                </c:pt>
                <c:pt idx="154">
                  <c:v>41365</c:v>
                </c:pt>
                <c:pt idx="155">
                  <c:v>41395</c:v>
                </c:pt>
                <c:pt idx="156">
                  <c:v>41426</c:v>
                </c:pt>
                <c:pt idx="157">
                  <c:v>41456</c:v>
                </c:pt>
                <c:pt idx="158">
                  <c:v>41487</c:v>
                </c:pt>
                <c:pt idx="159">
                  <c:v>41518</c:v>
                </c:pt>
                <c:pt idx="160">
                  <c:v>41548</c:v>
                </c:pt>
                <c:pt idx="161">
                  <c:v>41579</c:v>
                </c:pt>
                <c:pt idx="162">
                  <c:v>41609</c:v>
                </c:pt>
                <c:pt idx="163">
                  <c:v>41640</c:v>
                </c:pt>
                <c:pt idx="164">
                  <c:v>41671</c:v>
                </c:pt>
                <c:pt idx="165">
                  <c:v>41699</c:v>
                </c:pt>
                <c:pt idx="166">
                  <c:v>41730</c:v>
                </c:pt>
                <c:pt idx="167">
                  <c:v>41760</c:v>
                </c:pt>
                <c:pt idx="168">
                  <c:v>41791</c:v>
                </c:pt>
                <c:pt idx="169">
                  <c:v>41821</c:v>
                </c:pt>
                <c:pt idx="170">
                  <c:v>41852</c:v>
                </c:pt>
                <c:pt idx="171">
                  <c:v>41883</c:v>
                </c:pt>
                <c:pt idx="172">
                  <c:v>41913</c:v>
                </c:pt>
                <c:pt idx="173">
                  <c:v>41944</c:v>
                </c:pt>
                <c:pt idx="174">
                  <c:v>41974</c:v>
                </c:pt>
                <c:pt idx="175">
                  <c:v>42005</c:v>
                </c:pt>
                <c:pt idx="176">
                  <c:v>42036</c:v>
                </c:pt>
                <c:pt idx="177">
                  <c:v>42064</c:v>
                </c:pt>
                <c:pt idx="178">
                  <c:v>42095</c:v>
                </c:pt>
                <c:pt idx="179">
                  <c:v>42125</c:v>
                </c:pt>
                <c:pt idx="180">
                  <c:v>42156</c:v>
                </c:pt>
                <c:pt idx="181">
                  <c:v>42186</c:v>
                </c:pt>
                <c:pt idx="182">
                  <c:v>42217</c:v>
                </c:pt>
                <c:pt idx="183">
                  <c:v>42248</c:v>
                </c:pt>
                <c:pt idx="184">
                  <c:v>42278</c:v>
                </c:pt>
                <c:pt idx="185">
                  <c:v>42309</c:v>
                </c:pt>
                <c:pt idx="186">
                  <c:v>42339</c:v>
                </c:pt>
                <c:pt idx="187">
                  <c:v>42370</c:v>
                </c:pt>
                <c:pt idx="188">
                  <c:v>42401</c:v>
                </c:pt>
                <c:pt idx="189">
                  <c:v>42430</c:v>
                </c:pt>
                <c:pt idx="190">
                  <c:v>42461</c:v>
                </c:pt>
                <c:pt idx="191">
                  <c:v>42491</c:v>
                </c:pt>
                <c:pt idx="192">
                  <c:v>42522</c:v>
                </c:pt>
                <c:pt idx="193">
                  <c:v>42552</c:v>
                </c:pt>
                <c:pt idx="194">
                  <c:v>42583</c:v>
                </c:pt>
                <c:pt idx="195">
                  <c:v>42614</c:v>
                </c:pt>
                <c:pt idx="196">
                  <c:v>42644</c:v>
                </c:pt>
                <c:pt idx="197">
                  <c:v>42675</c:v>
                </c:pt>
                <c:pt idx="198">
                  <c:v>42705</c:v>
                </c:pt>
                <c:pt idx="199">
                  <c:v>42736</c:v>
                </c:pt>
                <c:pt idx="200">
                  <c:v>42767</c:v>
                </c:pt>
                <c:pt idx="201">
                  <c:v>42795</c:v>
                </c:pt>
                <c:pt idx="202">
                  <c:v>42826</c:v>
                </c:pt>
                <c:pt idx="203">
                  <c:v>42856</c:v>
                </c:pt>
                <c:pt idx="204">
                  <c:v>42887</c:v>
                </c:pt>
                <c:pt idx="205">
                  <c:v>42917</c:v>
                </c:pt>
                <c:pt idx="206">
                  <c:v>42948</c:v>
                </c:pt>
                <c:pt idx="207">
                  <c:v>42979</c:v>
                </c:pt>
                <c:pt idx="208">
                  <c:v>43009</c:v>
                </c:pt>
                <c:pt idx="209">
                  <c:v>43040</c:v>
                </c:pt>
                <c:pt idx="210">
                  <c:v>43070</c:v>
                </c:pt>
                <c:pt idx="211">
                  <c:v>43101</c:v>
                </c:pt>
                <c:pt idx="212">
                  <c:v>43132</c:v>
                </c:pt>
                <c:pt idx="213">
                  <c:v>43160</c:v>
                </c:pt>
                <c:pt idx="214">
                  <c:v>43191</c:v>
                </c:pt>
                <c:pt idx="215">
                  <c:v>43221</c:v>
                </c:pt>
                <c:pt idx="216">
                  <c:v>43252</c:v>
                </c:pt>
                <c:pt idx="217">
                  <c:v>43282</c:v>
                </c:pt>
                <c:pt idx="218">
                  <c:v>43313</c:v>
                </c:pt>
                <c:pt idx="219">
                  <c:v>43344</c:v>
                </c:pt>
                <c:pt idx="220">
                  <c:v>43374</c:v>
                </c:pt>
                <c:pt idx="221">
                  <c:v>43405</c:v>
                </c:pt>
                <c:pt idx="222">
                  <c:v>43435</c:v>
                </c:pt>
                <c:pt idx="223">
                  <c:v>43466</c:v>
                </c:pt>
                <c:pt idx="224">
                  <c:v>43497</c:v>
                </c:pt>
                <c:pt idx="225">
                  <c:v>43525</c:v>
                </c:pt>
                <c:pt idx="226">
                  <c:v>43556</c:v>
                </c:pt>
                <c:pt idx="227">
                  <c:v>43586</c:v>
                </c:pt>
                <c:pt idx="228">
                  <c:v>43617</c:v>
                </c:pt>
                <c:pt idx="229">
                  <c:v>43647</c:v>
                </c:pt>
                <c:pt idx="230">
                  <c:v>43678</c:v>
                </c:pt>
                <c:pt idx="231">
                  <c:v>43709</c:v>
                </c:pt>
                <c:pt idx="232">
                  <c:v>43739</c:v>
                </c:pt>
                <c:pt idx="233">
                  <c:v>43770</c:v>
                </c:pt>
                <c:pt idx="234">
                  <c:v>43800</c:v>
                </c:pt>
              </c:numCache>
            </c:numRef>
          </c:cat>
          <c:val>
            <c:numRef>
              <c:f>'Curve Comparison'!$C$4:$C$238</c:f>
              <c:numCache>
                <c:formatCode>_(* #,##0.000_);_(* \(#,##0.000\);_(* "-"??_);_(@_)</c:formatCode>
                <c:ptCount val="235"/>
                <c:pt idx="0">
                  <c:v>4.2322916700000004</c:v>
                </c:pt>
                <c:pt idx="1">
                  <c:v>4.1906249999999998</c:v>
                </c:pt>
                <c:pt idx="2">
                  <c:v>4.1906249999999998</c:v>
                </c:pt>
                <c:pt idx="3">
                  <c:v>4.2416666699999999</c:v>
                </c:pt>
                <c:pt idx="4">
                  <c:v>4.1968750000000004</c:v>
                </c:pt>
                <c:pt idx="5">
                  <c:v>4.1968750000000004</c:v>
                </c:pt>
                <c:pt idx="6">
                  <c:v>4.1968750000000004</c:v>
                </c:pt>
                <c:pt idx="7">
                  <c:v>3.8354166699999999</c:v>
                </c:pt>
                <c:pt idx="8">
                  <c:v>3.8354166699999999</c:v>
                </c:pt>
                <c:pt idx="9">
                  <c:v>3.8354166699999999</c:v>
                </c:pt>
                <c:pt idx="10">
                  <c:v>3.98020833</c:v>
                </c:pt>
                <c:pt idx="11">
                  <c:v>3.8177083299999999</c:v>
                </c:pt>
                <c:pt idx="12">
                  <c:v>3.8093750000000002</c:v>
                </c:pt>
                <c:pt idx="13">
                  <c:v>3.7718750000000001</c:v>
                </c:pt>
                <c:pt idx="14">
                  <c:v>3.7718750000000001</c:v>
                </c:pt>
                <c:pt idx="15">
                  <c:v>3.8177083299999999</c:v>
                </c:pt>
                <c:pt idx="16">
                  <c:v>3.7781250000000002</c:v>
                </c:pt>
                <c:pt idx="17">
                  <c:v>3.7781250000000002</c:v>
                </c:pt>
                <c:pt idx="18">
                  <c:v>3.7781250000000002</c:v>
                </c:pt>
                <c:pt idx="19">
                  <c:v>3.8354166699999999</c:v>
                </c:pt>
                <c:pt idx="20">
                  <c:v>3.8354166699999999</c:v>
                </c:pt>
                <c:pt idx="21">
                  <c:v>3.8354166699999999</c:v>
                </c:pt>
                <c:pt idx="22">
                  <c:v>3.98020833</c:v>
                </c:pt>
                <c:pt idx="23">
                  <c:v>3.8177083299999999</c:v>
                </c:pt>
                <c:pt idx="24">
                  <c:v>3.8093750000000002</c:v>
                </c:pt>
                <c:pt idx="25">
                  <c:v>3.7718750000000001</c:v>
                </c:pt>
                <c:pt idx="26">
                  <c:v>3.7718750000000001</c:v>
                </c:pt>
                <c:pt idx="27">
                  <c:v>3.8177083299999999</c:v>
                </c:pt>
                <c:pt idx="28">
                  <c:v>3.7781250000000002</c:v>
                </c:pt>
                <c:pt idx="29">
                  <c:v>3.7781250000000002</c:v>
                </c:pt>
                <c:pt idx="30">
                  <c:v>3.7781250000000002</c:v>
                </c:pt>
                <c:pt idx="31">
                  <c:v>3.8354166699999999</c:v>
                </c:pt>
                <c:pt idx="32">
                  <c:v>3.8354166699999999</c:v>
                </c:pt>
                <c:pt idx="33">
                  <c:v>3.8354166699999999</c:v>
                </c:pt>
                <c:pt idx="34">
                  <c:v>3.98020833</c:v>
                </c:pt>
                <c:pt idx="35">
                  <c:v>3.8177083299999999</c:v>
                </c:pt>
                <c:pt idx="36">
                  <c:v>3.8093750000000002</c:v>
                </c:pt>
                <c:pt idx="37">
                  <c:v>3.7718750000000001</c:v>
                </c:pt>
                <c:pt idx="38">
                  <c:v>3.7718750000000001</c:v>
                </c:pt>
                <c:pt idx="39">
                  <c:v>3.8177083299999999</c:v>
                </c:pt>
                <c:pt idx="40">
                  <c:v>3.7781250000000002</c:v>
                </c:pt>
                <c:pt idx="41">
                  <c:v>3.7781250000000002</c:v>
                </c:pt>
                <c:pt idx="42">
                  <c:v>3.7781250000000002</c:v>
                </c:pt>
                <c:pt idx="43">
                  <c:v>3.8354166699999999</c:v>
                </c:pt>
                <c:pt idx="44">
                  <c:v>3.8354166699999999</c:v>
                </c:pt>
                <c:pt idx="45">
                  <c:v>3.8354166699999999</c:v>
                </c:pt>
                <c:pt idx="46">
                  <c:v>3.98020833</c:v>
                </c:pt>
                <c:pt idx="47">
                  <c:v>3.8177083299999999</c:v>
                </c:pt>
                <c:pt idx="48">
                  <c:v>3.8093750000000002</c:v>
                </c:pt>
                <c:pt idx="49">
                  <c:v>3.7718750000000001</c:v>
                </c:pt>
                <c:pt idx="50">
                  <c:v>3.7718750000000001</c:v>
                </c:pt>
                <c:pt idx="51">
                  <c:v>3.8177083299999999</c:v>
                </c:pt>
                <c:pt idx="52">
                  <c:v>3.7781250000000002</c:v>
                </c:pt>
                <c:pt idx="53">
                  <c:v>3.7781250000000002</c:v>
                </c:pt>
                <c:pt idx="54">
                  <c:v>3.7781250000000002</c:v>
                </c:pt>
                <c:pt idx="55">
                  <c:v>3.8354166699999999</c:v>
                </c:pt>
                <c:pt idx="56">
                  <c:v>3.8354166699999999</c:v>
                </c:pt>
                <c:pt idx="57">
                  <c:v>3.8354166699999999</c:v>
                </c:pt>
                <c:pt idx="58">
                  <c:v>3.98020833</c:v>
                </c:pt>
                <c:pt idx="59">
                  <c:v>3.8177083299999999</c:v>
                </c:pt>
                <c:pt idx="60">
                  <c:v>3.8093750000000002</c:v>
                </c:pt>
                <c:pt idx="61">
                  <c:v>3.7718750000000001</c:v>
                </c:pt>
                <c:pt idx="62">
                  <c:v>3.7718750000000001</c:v>
                </c:pt>
                <c:pt idx="63">
                  <c:v>3.8177083299999999</c:v>
                </c:pt>
                <c:pt idx="64">
                  <c:v>3.7781250000000002</c:v>
                </c:pt>
                <c:pt idx="65">
                  <c:v>3.7781250000000002</c:v>
                </c:pt>
                <c:pt idx="66">
                  <c:v>3.7781250000000002</c:v>
                </c:pt>
                <c:pt idx="67">
                  <c:v>3.8354166699999999</c:v>
                </c:pt>
                <c:pt idx="68">
                  <c:v>3.8354166699999999</c:v>
                </c:pt>
                <c:pt idx="69">
                  <c:v>3.8354166699999999</c:v>
                </c:pt>
                <c:pt idx="70">
                  <c:v>3.98020833</c:v>
                </c:pt>
                <c:pt idx="71">
                  <c:v>3.8177083299999999</c:v>
                </c:pt>
                <c:pt idx="72">
                  <c:v>3.8093750000000002</c:v>
                </c:pt>
                <c:pt idx="73">
                  <c:v>3.7718750000000001</c:v>
                </c:pt>
                <c:pt idx="74">
                  <c:v>3.7718750000000001</c:v>
                </c:pt>
                <c:pt idx="75">
                  <c:v>3.8177083299999999</c:v>
                </c:pt>
                <c:pt idx="76">
                  <c:v>3.7781250000000002</c:v>
                </c:pt>
                <c:pt idx="77">
                  <c:v>3.7781250000000002</c:v>
                </c:pt>
                <c:pt idx="78">
                  <c:v>3.7781250000000002</c:v>
                </c:pt>
                <c:pt idx="79">
                  <c:v>3.8354166699999999</c:v>
                </c:pt>
                <c:pt idx="80">
                  <c:v>3.8354166699999999</c:v>
                </c:pt>
                <c:pt idx="81">
                  <c:v>3.8354166699999999</c:v>
                </c:pt>
                <c:pt idx="82">
                  <c:v>3.98020833</c:v>
                </c:pt>
                <c:pt idx="83">
                  <c:v>3.8177083299999999</c:v>
                </c:pt>
                <c:pt idx="84">
                  <c:v>3.8093750000000002</c:v>
                </c:pt>
                <c:pt idx="85">
                  <c:v>3.7718750000000001</c:v>
                </c:pt>
                <c:pt idx="86">
                  <c:v>3.7718750000000001</c:v>
                </c:pt>
                <c:pt idx="87">
                  <c:v>3.8177083299999999</c:v>
                </c:pt>
                <c:pt idx="88">
                  <c:v>3.7781250000000002</c:v>
                </c:pt>
                <c:pt idx="89">
                  <c:v>3.7781250000000002</c:v>
                </c:pt>
                <c:pt idx="90">
                  <c:v>3.7781250000000002</c:v>
                </c:pt>
                <c:pt idx="91">
                  <c:v>3.8354166699999999</c:v>
                </c:pt>
                <c:pt idx="92">
                  <c:v>3.8354166699999999</c:v>
                </c:pt>
                <c:pt idx="93">
                  <c:v>3.8354166699999999</c:v>
                </c:pt>
                <c:pt idx="94">
                  <c:v>3.98020833</c:v>
                </c:pt>
                <c:pt idx="95">
                  <c:v>3.8177083299999999</c:v>
                </c:pt>
                <c:pt idx="96">
                  <c:v>3.8093750000000002</c:v>
                </c:pt>
                <c:pt idx="97">
                  <c:v>3.7718750000000001</c:v>
                </c:pt>
                <c:pt idx="98">
                  <c:v>3.7718750000000001</c:v>
                </c:pt>
                <c:pt idx="99">
                  <c:v>3.8177083299999999</c:v>
                </c:pt>
                <c:pt idx="100">
                  <c:v>3.7781250000000002</c:v>
                </c:pt>
                <c:pt idx="101">
                  <c:v>3.7781250000000002</c:v>
                </c:pt>
                <c:pt idx="102">
                  <c:v>3.7781250000000002</c:v>
                </c:pt>
                <c:pt idx="103">
                  <c:v>3.8354166699999999</c:v>
                </c:pt>
                <c:pt idx="104">
                  <c:v>3.8354166699999999</c:v>
                </c:pt>
                <c:pt idx="105">
                  <c:v>3.8354166699999999</c:v>
                </c:pt>
                <c:pt idx="106">
                  <c:v>3.98020833</c:v>
                </c:pt>
                <c:pt idx="107">
                  <c:v>3.8177083299999999</c:v>
                </c:pt>
                <c:pt idx="108">
                  <c:v>3.8093750000000002</c:v>
                </c:pt>
                <c:pt idx="109">
                  <c:v>3.7718750000000001</c:v>
                </c:pt>
                <c:pt idx="110">
                  <c:v>3.7718750000000001</c:v>
                </c:pt>
                <c:pt idx="111">
                  <c:v>3.8177083299999999</c:v>
                </c:pt>
                <c:pt idx="112">
                  <c:v>3.7781250000000002</c:v>
                </c:pt>
                <c:pt idx="113">
                  <c:v>3.7781250000000002</c:v>
                </c:pt>
                <c:pt idx="114">
                  <c:v>3.7781250000000002</c:v>
                </c:pt>
                <c:pt idx="115">
                  <c:v>3.8354166699999999</c:v>
                </c:pt>
                <c:pt idx="116">
                  <c:v>3.8354166699999999</c:v>
                </c:pt>
                <c:pt idx="117">
                  <c:v>3.8354166699999999</c:v>
                </c:pt>
                <c:pt idx="118">
                  <c:v>3.98020833</c:v>
                </c:pt>
                <c:pt idx="119">
                  <c:v>3.8177083299999999</c:v>
                </c:pt>
                <c:pt idx="120">
                  <c:v>3.8093750000000002</c:v>
                </c:pt>
                <c:pt idx="121">
                  <c:v>3.7718750000000001</c:v>
                </c:pt>
                <c:pt idx="122">
                  <c:v>3.7718750000000001</c:v>
                </c:pt>
                <c:pt idx="123">
                  <c:v>3.8177083299999999</c:v>
                </c:pt>
                <c:pt idx="124">
                  <c:v>3.7781250000000002</c:v>
                </c:pt>
                <c:pt idx="125">
                  <c:v>3.7781250000000002</c:v>
                </c:pt>
                <c:pt idx="126">
                  <c:v>3.7781250000000002</c:v>
                </c:pt>
                <c:pt idx="127">
                  <c:v>3.8354166699999999</c:v>
                </c:pt>
                <c:pt idx="128">
                  <c:v>3.8354166699999999</c:v>
                </c:pt>
                <c:pt idx="129">
                  <c:v>3.8354166699999999</c:v>
                </c:pt>
                <c:pt idx="130">
                  <c:v>3.98020833</c:v>
                </c:pt>
                <c:pt idx="131">
                  <c:v>3.8177083299999999</c:v>
                </c:pt>
                <c:pt idx="132">
                  <c:v>3.8093750000000002</c:v>
                </c:pt>
                <c:pt idx="133">
                  <c:v>3.7718750000000001</c:v>
                </c:pt>
                <c:pt idx="134">
                  <c:v>3.7718750000000001</c:v>
                </c:pt>
                <c:pt idx="135">
                  <c:v>3.8177083299999999</c:v>
                </c:pt>
                <c:pt idx="136">
                  <c:v>3.7781250000000002</c:v>
                </c:pt>
                <c:pt idx="137">
                  <c:v>3.7781250000000002</c:v>
                </c:pt>
                <c:pt idx="138">
                  <c:v>3.7781250000000002</c:v>
                </c:pt>
                <c:pt idx="139">
                  <c:v>3.8354166699999999</c:v>
                </c:pt>
                <c:pt idx="140">
                  <c:v>3.8354166699999999</c:v>
                </c:pt>
                <c:pt idx="141">
                  <c:v>3.8354166699999999</c:v>
                </c:pt>
                <c:pt idx="142">
                  <c:v>3.98020833</c:v>
                </c:pt>
                <c:pt idx="143">
                  <c:v>3.8177083299999999</c:v>
                </c:pt>
                <c:pt idx="144">
                  <c:v>3.8093750000000002</c:v>
                </c:pt>
                <c:pt idx="145">
                  <c:v>3.7718750000000001</c:v>
                </c:pt>
                <c:pt idx="146">
                  <c:v>3.7718750000000001</c:v>
                </c:pt>
                <c:pt idx="147">
                  <c:v>3.8177083299999999</c:v>
                </c:pt>
                <c:pt idx="148">
                  <c:v>3.7781250000000002</c:v>
                </c:pt>
                <c:pt idx="149">
                  <c:v>3.7781250000000002</c:v>
                </c:pt>
                <c:pt idx="150">
                  <c:v>3.7781250000000002</c:v>
                </c:pt>
                <c:pt idx="151">
                  <c:v>3.8354166699999999</c:v>
                </c:pt>
                <c:pt idx="152">
                  <c:v>3.8354166699999999</c:v>
                </c:pt>
                <c:pt idx="153">
                  <c:v>3.8354166699999999</c:v>
                </c:pt>
                <c:pt idx="154">
                  <c:v>3.98020833</c:v>
                </c:pt>
                <c:pt idx="155">
                  <c:v>3.8177083299999999</c:v>
                </c:pt>
                <c:pt idx="156">
                  <c:v>3.8093750000000002</c:v>
                </c:pt>
                <c:pt idx="157">
                  <c:v>3.7718750000000001</c:v>
                </c:pt>
                <c:pt idx="158">
                  <c:v>3.7718750000000001</c:v>
                </c:pt>
                <c:pt idx="159">
                  <c:v>3.8177083299999999</c:v>
                </c:pt>
                <c:pt idx="160">
                  <c:v>3.7781250000000002</c:v>
                </c:pt>
                <c:pt idx="161">
                  <c:v>3.7781250000000002</c:v>
                </c:pt>
                <c:pt idx="162">
                  <c:v>3.7781250000000002</c:v>
                </c:pt>
                <c:pt idx="163">
                  <c:v>3.8354166699999999</c:v>
                </c:pt>
                <c:pt idx="164">
                  <c:v>3.8354166699999999</c:v>
                </c:pt>
                <c:pt idx="165">
                  <c:v>3.8354166699999999</c:v>
                </c:pt>
                <c:pt idx="166">
                  <c:v>3.98020833</c:v>
                </c:pt>
                <c:pt idx="167">
                  <c:v>3.8177083299999999</c:v>
                </c:pt>
                <c:pt idx="168">
                  <c:v>3.8093750000000002</c:v>
                </c:pt>
                <c:pt idx="169">
                  <c:v>3.7718750000000001</c:v>
                </c:pt>
                <c:pt idx="170">
                  <c:v>3.7718750000000001</c:v>
                </c:pt>
                <c:pt idx="171">
                  <c:v>3.8177083299999999</c:v>
                </c:pt>
                <c:pt idx="172">
                  <c:v>3.7781250000000002</c:v>
                </c:pt>
                <c:pt idx="173">
                  <c:v>3.7781250000000002</c:v>
                </c:pt>
                <c:pt idx="174">
                  <c:v>3.7781250000000002</c:v>
                </c:pt>
                <c:pt idx="175">
                  <c:v>3.9375</c:v>
                </c:pt>
                <c:pt idx="176">
                  <c:v>3.9375</c:v>
                </c:pt>
                <c:pt idx="177">
                  <c:v>3.9375</c:v>
                </c:pt>
                <c:pt idx="178">
                  <c:v>4.08229167</c:v>
                </c:pt>
                <c:pt idx="179">
                  <c:v>3.91979167</c:v>
                </c:pt>
                <c:pt idx="180">
                  <c:v>3.9125000000000001</c:v>
                </c:pt>
                <c:pt idx="181">
                  <c:v>3.8739583299999998</c:v>
                </c:pt>
                <c:pt idx="182">
                  <c:v>3.8739583299999998</c:v>
                </c:pt>
                <c:pt idx="183">
                  <c:v>3.91979167</c:v>
                </c:pt>
                <c:pt idx="184">
                  <c:v>3.8802083299999999</c:v>
                </c:pt>
                <c:pt idx="185">
                  <c:v>3.8802083299999999</c:v>
                </c:pt>
                <c:pt idx="186">
                  <c:v>3.8802083299999999</c:v>
                </c:pt>
                <c:pt idx="187">
                  <c:v>3.9375</c:v>
                </c:pt>
                <c:pt idx="188">
                  <c:v>3.9375</c:v>
                </c:pt>
                <c:pt idx="189">
                  <c:v>3.9375</c:v>
                </c:pt>
                <c:pt idx="190">
                  <c:v>4.08229167</c:v>
                </c:pt>
                <c:pt idx="191">
                  <c:v>3.91979167</c:v>
                </c:pt>
                <c:pt idx="192">
                  <c:v>3.9125000000000001</c:v>
                </c:pt>
                <c:pt idx="193">
                  <c:v>3.8739583299999998</c:v>
                </c:pt>
                <c:pt idx="194">
                  <c:v>3.8739583299999998</c:v>
                </c:pt>
                <c:pt idx="195">
                  <c:v>3.91979167</c:v>
                </c:pt>
                <c:pt idx="196">
                  <c:v>3.8802083299999999</c:v>
                </c:pt>
                <c:pt idx="197">
                  <c:v>3.8802083299999999</c:v>
                </c:pt>
                <c:pt idx="198">
                  <c:v>3.8802083299999999</c:v>
                </c:pt>
                <c:pt idx="199">
                  <c:v>3.9375</c:v>
                </c:pt>
                <c:pt idx="200">
                  <c:v>3.9375</c:v>
                </c:pt>
                <c:pt idx="201">
                  <c:v>3.9375</c:v>
                </c:pt>
                <c:pt idx="202">
                  <c:v>4.08229167</c:v>
                </c:pt>
                <c:pt idx="203">
                  <c:v>3.91979167</c:v>
                </c:pt>
                <c:pt idx="204">
                  <c:v>3.9125000000000001</c:v>
                </c:pt>
                <c:pt idx="205">
                  <c:v>3.8739583299999998</c:v>
                </c:pt>
                <c:pt idx="206">
                  <c:v>3.8739583299999998</c:v>
                </c:pt>
                <c:pt idx="207">
                  <c:v>3.91979167</c:v>
                </c:pt>
                <c:pt idx="208">
                  <c:v>3.8802083299999999</c:v>
                </c:pt>
                <c:pt idx="209">
                  <c:v>3.8802083299999999</c:v>
                </c:pt>
                <c:pt idx="210">
                  <c:v>3.8802083299999999</c:v>
                </c:pt>
                <c:pt idx="211">
                  <c:v>3.9375</c:v>
                </c:pt>
                <c:pt idx="212">
                  <c:v>3.9375</c:v>
                </c:pt>
                <c:pt idx="213">
                  <c:v>3.9375</c:v>
                </c:pt>
                <c:pt idx="214">
                  <c:v>4.08229167</c:v>
                </c:pt>
                <c:pt idx="215">
                  <c:v>3.91979167</c:v>
                </c:pt>
                <c:pt idx="216">
                  <c:v>3.9125000000000001</c:v>
                </c:pt>
                <c:pt idx="217">
                  <c:v>3.8739583299999998</c:v>
                </c:pt>
                <c:pt idx="218">
                  <c:v>3.8739583299999998</c:v>
                </c:pt>
                <c:pt idx="219">
                  <c:v>3.91979167</c:v>
                </c:pt>
                <c:pt idx="220">
                  <c:v>3.8802083299999999</c:v>
                </c:pt>
                <c:pt idx="221">
                  <c:v>3.8802083299999999</c:v>
                </c:pt>
                <c:pt idx="222">
                  <c:v>3.8802083299999999</c:v>
                </c:pt>
                <c:pt idx="223">
                  <c:v>3.9375</c:v>
                </c:pt>
                <c:pt idx="224">
                  <c:v>3.9375</c:v>
                </c:pt>
                <c:pt idx="225">
                  <c:v>3.9375</c:v>
                </c:pt>
                <c:pt idx="226">
                  <c:v>4.08229167</c:v>
                </c:pt>
                <c:pt idx="227">
                  <c:v>3.91979167</c:v>
                </c:pt>
                <c:pt idx="228">
                  <c:v>3.9125000000000001</c:v>
                </c:pt>
                <c:pt idx="229">
                  <c:v>3.8739583299999998</c:v>
                </c:pt>
                <c:pt idx="230">
                  <c:v>3.8739583299999998</c:v>
                </c:pt>
                <c:pt idx="231">
                  <c:v>3.91979167</c:v>
                </c:pt>
                <c:pt idx="232">
                  <c:v>3.8802083299999999</c:v>
                </c:pt>
                <c:pt idx="233">
                  <c:v>3.8802083299999999</c:v>
                </c:pt>
                <c:pt idx="234">
                  <c:v>3.8802083299999999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8-4B86-96D4-E95AACD34F20}"/>
            </c:ext>
          </c:extLst>
        </c:ser>
        <c:ser>
          <c:idx val="1"/>
          <c:order val="1"/>
          <c:tx>
            <c:v>Enron's Converted Fuel Curve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'Curve Comparison'!$B$4:$B$238</c:f>
              <c:numCache>
                <c:formatCode>mmm\-yy</c:formatCode>
                <c:ptCount val="235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  <c:pt idx="24">
                  <c:v>37408</c:v>
                </c:pt>
                <c:pt idx="25">
                  <c:v>37438</c:v>
                </c:pt>
                <c:pt idx="26">
                  <c:v>37469</c:v>
                </c:pt>
                <c:pt idx="27">
                  <c:v>37500</c:v>
                </c:pt>
                <c:pt idx="28">
                  <c:v>37530</c:v>
                </c:pt>
                <c:pt idx="29">
                  <c:v>37561</c:v>
                </c:pt>
                <c:pt idx="30">
                  <c:v>37591</c:v>
                </c:pt>
                <c:pt idx="31">
                  <c:v>37622</c:v>
                </c:pt>
                <c:pt idx="32">
                  <c:v>37653</c:v>
                </c:pt>
                <c:pt idx="33">
                  <c:v>37681</c:v>
                </c:pt>
                <c:pt idx="34">
                  <c:v>37712</c:v>
                </c:pt>
                <c:pt idx="35">
                  <c:v>37742</c:v>
                </c:pt>
                <c:pt idx="36">
                  <c:v>37773</c:v>
                </c:pt>
                <c:pt idx="37">
                  <c:v>37803</c:v>
                </c:pt>
                <c:pt idx="38">
                  <c:v>37834</c:v>
                </c:pt>
                <c:pt idx="39">
                  <c:v>37865</c:v>
                </c:pt>
                <c:pt idx="40">
                  <c:v>37895</c:v>
                </c:pt>
                <c:pt idx="41">
                  <c:v>37926</c:v>
                </c:pt>
                <c:pt idx="42">
                  <c:v>37956</c:v>
                </c:pt>
                <c:pt idx="43">
                  <c:v>37987</c:v>
                </c:pt>
                <c:pt idx="44">
                  <c:v>38018</c:v>
                </c:pt>
                <c:pt idx="45">
                  <c:v>38047</c:v>
                </c:pt>
                <c:pt idx="46">
                  <c:v>38078</c:v>
                </c:pt>
                <c:pt idx="47">
                  <c:v>38108</c:v>
                </c:pt>
                <c:pt idx="48">
                  <c:v>38139</c:v>
                </c:pt>
                <c:pt idx="49">
                  <c:v>38169</c:v>
                </c:pt>
                <c:pt idx="50">
                  <c:v>38200</c:v>
                </c:pt>
                <c:pt idx="51">
                  <c:v>38231</c:v>
                </c:pt>
                <c:pt idx="52">
                  <c:v>38261</c:v>
                </c:pt>
                <c:pt idx="53">
                  <c:v>38292</c:v>
                </c:pt>
                <c:pt idx="54">
                  <c:v>38322</c:v>
                </c:pt>
                <c:pt idx="55">
                  <c:v>38353</c:v>
                </c:pt>
                <c:pt idx="56">
                  <c:v>38384</c:v>
                </c:pt>
                <c:pt idx="57">
                  <c:v>38412</c:v>
                </c:pt>
                <c:pt idx="58">
                  <c:v>38443</c:v>
                </c:pt>
                <c:pt idx="59">
                  <c:v>38473</c:v>
                </c:pt>
                <c:pt idx="60">
                  <c:v>38504</c:v>
                </c:pt>
                <c:pt idx="61">
                  <c:v>38534</c:v>
                </c:pt>
                <c:pt idx="62">
                  <c:v>38565</c:v>
                </c:pt>
                <c:pt idx="63">
                  <c:v>38596</c:v>
                </c:pt>
                <c:pt idx="64">
                  <c:v>38626</c:v>
                </c:pt>
                <c:pt idx="65">
                  <c:v>38657</c:v>
                </c:pt>
                <c:pt idx="66">
                  <c:v>38687</c:v>
                </c:pt>
                <c:pt idx="67">
                  <c:v>38718</c:v>
                </c:pt>
                <c:pt idx="68">
                  <c:v>38749</c:v>
                </c:pt>
                <c:pt idx="69">
                  <c:v>38777</c:v>
                </c:pt>
                <c:pt idx="70">
                  <c:v>38808</c:v>
                </c:pt>
                <c:pt idx="71">
                  <c:v>38838</c:v>
                </c:pt>
                <c:pt idx="72">
                  <c:v>38869</c:v>
                </c:pt>
                <c:pt idx="73">
                  <c:v>38899</c:v>
                </c:pt>
                <c:pt idx="74">
                  <c:v>38930</c:v>
                </c:pt>
                <c:pt idx="75">
                  <c:v>38961</c:v>
                </c:pt>
                <c:pt idx="76">
                  <c:v>38991</c:v>
                </c:pt>
                <c:pt idx="77">
                  <c:v>39022</c:v>
                </c:pt>
                <c:pt idx="78">
                  <c:v>39052</c:v>
                </c:pt>
                <c:pt idx="79">
                  <c:v>39083</c:v>
                </c:pt>
                <c:pt idx="80">
                  <c:v>39114</c:v>
                </c:pt>
                <c:pt idx="81">
                  <c:v>39142</c:v>
                </c:pt>
                <c:pt idx="82">
                  <c:v>39173</c:v>
                </c:pt>
                <c:pt idx="83">
                  <c:v>39203</c:v>
                </c:pt>
                <c:pt idx="84">
                  <c:v>39234</c:v>
                </c:pt>
                <c:pt idx="85">
                  <c:v>39264</c:v>
                </c:pt>
                <c:pt idx="86">
                  <c:v>39295</c:v>
                </c:pt>
                <c:pt idx="87">
                  <c:v>39326</c:v>
                </c:pt>
                <c:pt idx="88">
                  <c:v>39356</c:v>
                </c:pt>
                <c:pt idx="89">
                  <c:v>39387</c:v>
                </c:pt>
                <c:pt idx="90">
                  <c:v>39417</c:v>
                </c:pt>
                <c:pt idx="91">
                  <c:v>39448</c:v>
                </c:pt>
                <c:pt idx="92">
                  <c:v>39479</c:v>
                </c:pt>
                <c:pt idx="93">
                  <c:v>39508</c:v>
                </c:pt>
                <c:pt idx="94">
                  <c:v>39539</c:v>
                </c:pt>
                <c:pt idx="95">
                  <c:v>39569</c:v>
                </c:pt>
                <c:pt idx="96">
                  <c:v>39600</c:v>
                </c:pt>
                <c:pt idx="97">
                  <c:v>39630</c:v>
                </c:pt>
                <c:pt idx="98">
                  <c:v>39661</c:v>
                </c:pt>
                <c:pt idx="99">
                  <c:v>39692</c:v>
                </c:pt>
                <c:pt idx="100">
                  <c:v>39722</c:v>
                </c:pt>
                <c:pt idx="101">
                  <c:v>39753</c:v>
                </c:pt>
                <c:pt idx="102">
                  <c:v>39783</c:v>
                </c:pt>
                <c:pt idx="103">
                  <c:v>39814</c:v>
                </c:pt>
                <c:pt idx="104">
                  <c:v>39845</c:v>
                </c:pt>
                <c:pt idx="105">
                  <c:v>39873</c:v>
                </c:pt>
                <c:pt idx="106">
                  <c:v>39904</c:v>
                </c:pt>
                <c:pt idx="107">
                  <c:v>39934</c:v>
                </c:pt>
                <c:pt idx="108">
                  <c:v>39965</c:v>
                </c:pt>
                <c:pt idx="109">
                  <c:v>39995</c:v>
                </c:pt>
                <c:pt idx="110">
                  <c:v>40026</c:v>
                </c:pt>
                <c:pt idx="111">
                  <c:v>40057</c:v>
                </c:pt>
                <c:pt idx="112">
                  <c:v>40087</c:v>
                </c:pt>
                <c:pt idx="113">
                  <c:v>40118</c:v>
                </c:pt>
                <c:pt idx="114">
                  <c:v>40148</c:v>
                </c:pt>
                <c:pt idx="115">
                  <c:v>40179</c:v>
                </c:pt>
                <c:pt idx="116">
                  <c:v>40210</c:v>
                </c:pt>
                <c:pt idx="117">
                  <c:v>40238</c:v>
                </c:pt>
                <c:pt idx="118">
                  <c:v>40269</c:v>
                </c:pt>
                <c:pt idx="119">
                  <c:v>40299</c:v>
                </c:pt>
                <c:pt idx="120">
                  <c:v>40330</c:v>
                </c:pt>
                <c:pt idx="121">
                  <c:v>40360</c:v>
                </c:pt>
                <c:pt idx="122">
                  <c:v>40391</c:v>
                </c:pt>
                <c:pt idx="123">
                  <c:v>40422</c:v>
                </c:pt>
                <c:pt idx="124">
                  <c:v>40452</c:v>
                </c:pt>
                <c:pt idx="125">
                  <c:v>40483</c:v>
                </c:pt>
                <c:pt idx="126">
                  <c:v>40513</c:v>
                </c:pt>
                <c:pt idx="127">
                  <c:v>40544</c:v>
                </c:pt>
                <c:pt idx="128">
                  <c:v>40575</c:v>
                </c:pt>
                <c:pt idx="129">
                  <c:v>40603</c:v>
                </c:pt>
                <c:pt idx="130">
                  <c:v>40634</c:v>
                </c:pt>
                <c:pt idx="131">
                  <c:v>40664</c:v>
                </c:pt>
                <c:pt idx="132">
                  <c:v>40695</c:v>
                </c:pt>
                <c:pt idx="133">
                  <c:v>40725</c:v>
                </c:pt>
                <c:pt idx="134">
                  <c:v>40756</c:v>
                </c:pt>
                <c:pt idx="135">
                  <c:v>40787</c:v>
                </c:pt>
                <c:pt idx="136">
                  <c:v>40817</c:v>
                </c:pt>
                <c:pt idx="137">
                  <c:v>40848</c:v>
                </c:pt>
                <c:pt idx="138">
                  <c:v>40878</c:v>
                </c:pt>
                <c:pt idx="139">
                  <c:v>40909</c:v>
                </c:pt>
                <c:pt idx="140">
                  <c:v>40940</c:v>
                </c:pt>
                <c:pt idx="141">
                  <c:v>40969</c:v>
                </c:pt>
                <c:pt idx="142">
                  <c:v>41000</c:v>
                </c:pt>
                <c:pt idx="143">
                  <c:v>41030</c:v>
                </c:pt>
                <c:pt idx="144">
                  <c:v>41061</c:v>
                </c:pt>
                <c:pt idx="145">
                  <c:v>41091</c:v>
                </c:pt>
                <c:pt idx="146">
                  <c:v>41122</c:v>
                </c:pt>
                <c:pt idx="147">
                  <c:v>41153</c:v>
                </c:pt>
                <c:pt idx="148">
                  <c:v>41183</c:v>
                </c:pt>
                <c:pt idx="149">
                  <c:v>41214</c:v>
                </c:pt>
                <c:pt idx="150">
                  <c:v>41244</c:v>
                </c:pt>
                <c:pt idx="151">
                  <c:v>41275</c:v>
                </c:pt>
                <c:pt idx="152">
                  <c:v>41306</c:v>
                </c:pt>
                <c:pt idx="153">
                  <c:v>41334</c:v>
                </c:pt>
                <c:pt idx="154">
                  <c:v>41365</c:v>
                </c:pt>
                <c:pt idx="155">
                  <c:v>41395</c:v>
                </c:pt>
                <c:pt idx="156">
                  <c:v>41426</c:v>
                </c:pt>
                <c:pt idx="157">
                  <c:v>41456</c:v>
                </c:pt>
                <c:pt idx="158">
                  <c:v>41487</c:v>
                </c:pt>
                <c:pt idx="159">
                  <c:v>41518</c:v>
                </c:pt>
                <c:pt idx="160">
                  <c:v>41548</c:v>
                </c:pt>
                <c:pt idx="161">
                  <c:v>41579</c:v>
                </c:pt>
                <c:pt idx="162">
                  <c:v>41609</c:v>
                </c:pt>
                <c:pt idx="163">
                  <c:v>41640</c:v>
                </c:pt>
                <c:pt idx="164">
                  <c:v>41671</c:v>
                </c:pt>
                <c:pt idx="165">
                  <c:v>41699</c:v>
                </c:pt>
                <c:pt idx="166">
                  <c:v>41730</c:v>
                </c:pt>
                <c:pt idx="167">
                  <c:v>41760</c:v>
                </c:pt>
                <c:pt idx="168">
                  <c:v>41791</c:v>
                </c:pt>
                <c:pt idx="169">
                  <c:v>41821</c:v>
                </c:pt>
                <c:pt idx="170">
                  <c:v>41852</c:v>
                </c:pt>
                <c:pt idx="171">
                  <c:v>41883</c:v>
                </c:pt>
                <c:pt idx="172">
                  <c:v>41913</c:v>
                </c:pt>
                <c:pt idx="173">
                  <c:v>41944</c:v>
                </c:pt>
                <c:pt idx="174">
                  <c:v>41974</c:v>
                </c:pt>
                <c:pt idx="175">
                  <c:v>42005</c:v>
                </c:pt>
                <c:pt idx="176">
                  <c:v>42036</c:v>
                </c:pt>
                <c:pt idx="177">
                  <c:v>42064</c:v>
                </c:pt>
                <c:pt idx="178">
                  <c:v>42095</c:v>
                </c:pt>
                <c:pt idx="179">
                  <c:v>42125</c:v>
                </c:pt>
                <c:pt idx="180">
                  <c:v>42156</c:v>
                </c:pt>
                <c:pt idx="181">
                  <c:v>42186</c:v>
                </c:pt>
                <c:pt idx="182">
                  <c:v>42217</c:v>
                </c:pt>
                <c:pt idx="183">
                  <c:v>42248</c:v>
                </c:pt>
                <c:pt idx="184">
                  <c:v>42278</c:v>
                </c:pt>
                <c:pt idx="185">
                  <c:v>42309</c:v>
                </c:pt>
                <c:pt idx="186">
                  <c:v>42339</c:v>
                </c:pt>
                <c:pt idx="187">
                  <c:v>42370</c:v>
                </c:pt>
                <c:pt idx="188">
                  <c:v>42401</c:v>
                </c:pt>
                <c:pt idx="189">
                  <c:v>42430</c:v>
                </c:pt>
                <c:pt idx="190">
                  <c:v>42461</c:v>
                </c:pt>
                <c:pt idx="191">
                  <c:v>42491</c:v>
                </c:pt>
                <c:pt idx="192">
                  <c:v>42522</c:v>
                </c:pt>
                <c:pt idx="193">
                  <c:v>42552</c:v>
                </c:pt>
                <c:pt idx="194">
                  <c:v>42583</c:v>
                </c:pt>
                <c:pt idx="195">
                  <c:v>42614</c:v>
                </c:pt>
                <c:pt idx="196">
                  <c:v>42644</c:v>
                </c:pt>
                <c:pt idx="197">
                  <c:v>42675</c:v>
                </c:pt>
                <c:pt idx="198">
                  <c:v>42705</c:v>
                </c:pt>
                <c:pt idx="199">
                  <c:v>42736</c:v>
                </c:pt>
                <c:pt idx="200">
                  <c:v>42767</c:v>
                </c:pt>
                <c:pt idx="201">
                  <c:v>42795</c:v>
                </c:pt>
                <c:pt idx="202">
                  <c:v>42826</c:v>
                </c:pt>
                <c:pt idx="203">
                  <c:v>42856</c:v>
                </c:pt>
                <c:pt idx="204">
                  <c:v>42887</c:v>
                </c:pt>
                <c:pt idx="205">
                  <c:v>42917</c:v>
                </c:pt>
                <c:pt idx="206">
                  <c:v>42948</c:v>
                </c:pt>
                <c:pt idx="207">
                  <c:v>42979</c:v>
                </c:pt>
                <c:pt idx="208">
                  <c:v>43009</c:v>
                </c:pt>
                <c:pt idx="209">
                  <c:v>43040</c:v>
                </c:pt>
                <c:pt idx="210">
                  <c:v>43070</c:v>
                </c:pt>
                <c:pt idx="211">
                  <c:v>43101</c:v>
                </c:pt>
                <c:pt idx="212">
                  <c:v>43132</c:v>
                </c:pt>
                <c:pt idx="213">
                  <c:v>43160</c:v>
                </c:pt>
                <c:pt idx="214">
                  <c:v>43191</c:v>
                </c:pt>
                <c:pt idx="215">
                  <c:v>43221</c:v>
                </c:pt>
                <c:pt idx="216">
                  <c:v>43252</c:v>
                </c:pt>
                <c:pt idx="217">
                  <c:v>43282</c:v>
                </c:pt>
                <c:pt idx="218">
                  <c:v>43313</c:v>
                </c:pt>
                <c:pt idx="219">
                  <c:v>43344</c:v>
                </c:pt>
                <c:pt idx="220">
                  <c:v>43374</c:v>
                </c:pt>
                <c:pt idx="221">
                  <c:v>43405</c:v>
                </c:pt>
                <c:pt idx="222">
                  <c:v>43435</c:v>
                </c:pt>
                <c:pt idx="223">
                  <c:v>43466</c:v>
                </c:pt>
                <c:pt idx="224">
                  <c:v>43497</c:v>
                </c:pt>
                <c:pt idx="225">
                  <c:v>43525</c:v>
                </c:pt>
                <c:pt idx="226">
                  <c:v>43556</c:v>
                </c:pt>
                <c:pt idx="227">
                  <c:v>43586</c:v>
                </c:pt>
                <c:pt idx="228">
                  <c:v>43617</c:v>
                </c:pt>
                <c:pt idx="229">
                  <c:v>43647</c:v>
                </c:pt>
                <c:pt idx="230">
                  <c:v>43678</c:v>
                </c:pt>
                <c:pt idx="231">
                  <c:v>43709</c:v>
                </c:pt>
                <c:pt idx="232">
                  <c:v>43739</c:v>
                </c:pt>
                <c:pt idx="233">
                  <c:v>43770</c:v>
                </c:pt>
                <c:pt idx="234">
                  <c:v>43800</c:v>
                </c:pt>
              </c:numCache>
            </c:numRef>
          </c:cat>
          <c:val>
            <c:numRef>
              <c:f>'Curve Comparison'!$D$4:$D$238</c:f>
              <c:numCache>
                <c:formatCode>_(* #,##0.000_);_(* \(#,##0.000\);_(* "-"??_);_(@_)</c:formatCode>
                <c:ptCount val="235"/>
                <c:pt idx="0">
                  <c:v>5.4570689655172417</c:v>
                </c:pt>
                <c:pt idx="1">
                  <c:v>5.3846551724137939</c:v>
                </c:pt>
                <c:pt idx="2">
                  <c:v>5.3918965517241384</c:v>
                </c:pt>
                <c:pt idx="3">
                  <c:v>5.4027586206896556</c:v>
                </c:pt>
                <c:pt idx="4">
                  <c:v>5.4172413793103456</c:v>
                </c:pt>
                <c:pt idx="5">
                  <c:v>5.4281034482758628</c:v>
                </c:pt>
                <c:pt idx="6">
                  <c:v>5.410000000000001</c:v>
                </c:pt>
                <c:pt idx="7">
                  <c:v>5.3375862068965532</c:v>
                </c:pt>
                <c:pt idx="8">
                  <c:v>5.1818965517241384</c:v>
                </c:pt>
                <c:pt idx="9">
                  <c:v>5.0262068965517255</c:v>
                </c:pt>
                <c:pt idx="10">
                  <c:v>4.8777586206896553</c:v>
                </c:pt>
                <c:pt idx="11">
                  <c:v>4.7655172413793103</c:v>
                </c:pt>
                <c:pt idx="12">
                  <c:v>4.7220689655172423</c:v>
                </c:pt>
                <c:pt idx="13">
                  <c:v>4.746724137931035</c:v>
                </c:pt>
                <c:pt idx="14">
                  <c:v>4.8075862068965529</c:v>
                </c:pt>
                <c:pt idx="15">
                  <c:v>4.8770689655172426</c:v>
                </c:pt>
                <c:pt idx="16">
                  <c:v>4.9436206896551731</c:v>
                </c:pt>
                <c:pt idx="17">
                  <c:v>5.0060344827586212</c:v>
                </c:pt>
                <c:pt idx="18">
                  <c:v>5.0284482758620692</c:v>
                </c:pt>
                <c:pt idx="19">
                  <c:v>4.9798275862068975</c:v>
                </c:pt>
                <c:pt idx="20">
                  <c:v>4.8625862068965526</c:v>
                </c:pt>
                <c:pt idx="21">
                  <c:v>4.7481034482758622</c:v>
                </c:pt>
                <c:pt idx="22">
                  <c:v>4.6351724137931045</c:v>
                </c:pt>
                <c:pt idx="23">
                  <c:v>4.5525862068965521</c:v>
                </c:pt>
                <c:pt idx="24">
                  <c:v>4.5317241379310351</c:v>
                </c:pt>
                <c:pt idx="25">
                  <c:v>4.5729310344827594</c:v>
                </c:pt>
                <c:pt idx="26">
                  <c:v>4.6467241379310344</c:v>
                </c:pt>
                <c:pt idx="27">
                  <c:v>4.7272413793103452</c:v>
                </c:pt>
                <c:pt idx="28">
                  <c:v>4.8039655172413802</c:v>
                </c:pt>
                <c:pt idx="29">
                  <c:v>4.8784482758620697</c:v>
                </c:pt>
                <c:pt idx="30">
                  <c:v>4.9096551724137933</c:v>
                </c:pt>
                <c:pt idx="31">
                  <c:v>4.8415517241379309</c:v>
                </c:pt>
                <c:pt idx="32">
                  <c:v>4.7315517241379323</c:v>
                </c:pt>
                <c:pt idx="33">
                  <c:v>4.6222413793103456</c:v>
                </c:pt>
                <c:pt idx="34">
                  <c:v>4.5113793103448279</c:v>
                </c:pt>
                <c:pt idx="35">
                  <c:v>4.4317241379310355</c:v>
                </c:pt>
                <c:pt idx="36">
                  <c:v>4.4150000000000009</c:v>
                </c:pt>
                <c:pt idx="37">
                  <c:v>4.4606896551724144</c:v>
                </c:pt>
                <c:pt idx="38">
                  <c:v>4.5389655172413796</c:v>
                </c:pt>
                <c:pt idx="39">
                  <c:v>4.6236206896551728</c:v>
                </c:pt>
                <c:pt idx="40">
                  <c:v>4.7039655172413806</c:v>
                </c:pt>
                <c:pt idx="41">
                  <c:v>4.783620689655173</c:v>
                </c:pt>
                <c:pt idx="42">
                  <c:v>4.8205172413793109</c:v>
                </c:pt>
                <c:pt idx="43">
                  <c:v>4.7582758620689658</c:v>
                </c:pt>
                <c:pt idx="44">
                  <c:v>4.6539655172413807</c:v>
                </c:pt>
                <c:pt idx="45">
                  <c:v>4.5505172413793114</c:v>
                </c:pt>
                <c:pt idx="46">
                  <c:v>4.4448275862068964</c:v>
                </c:pt>
                <c:pt idx="47">
                  <c:v>4.3715517241379311</c:v>
                </c:pt>
                <c:pt idx="48">
                  <c:v>4.3606896551724148</c:v>
                </c:pt>
                <c:pt idx="49">
                  <c:v>4.4113793103448282</c:v>
                </c:pt>
                <c:pt idx="50">
                  <c:v>4.4962068965517243</c:v>
                </c:pt>
                <c:pt idx="51">
                  <c:v>4.5860344827586212</c:v>
                </c:pt>
                <c:pt idx="52">
                  <c:v>4.6729310344827599</c:v>
                </c:pt>
                <c:pt idx="53">
                  <c:v>4.7568965517241377</c:v>
                </c:pt>
                <c:pt idx="54">
                  <c:v>4.7951724137931047</c:v>
                </c:pt>
                <c:pt idx="55">
                  <c:v>4.7344827586206897</c:v>
                </c:pt>
                <c:pt idx="56">
                  <c:v>4.6315517241379318</c:v>
                </c:pt>
                <c:pt idx="57">
                  <c:v>4.5301724137931041</c:v>
                </c:pt>
                <c:pt idx="58">
                  <c:v>4.4258620689655173</c:v>
                </c:pt>
                <c:pt idx="59">
                  <c:v>4.3543103448275868</c:v>
                </c:pt>
                <c:pt idx="60">
                  <c:v>4.3441379310344832</c:v>
                </c:pt>
                <c:pt idx="61">
                  <c:v>4.3968965517241392</c:v>
                </c:pt>
                <c:pt idx="62">
                  <c:v>4.4837931034482761</c:v>
                </c:pt>
                <c:pt idx="63">
                  <c:v>4.5743103448275866</c:v>
                </c:pt>
                <c:pt idx="64">
                  <c:v>4.6634482758620699</c:v>
                </c:pt>
                <c:pt idx="65">
                  <c:v>4.7489655172413805</c:v>
                </c:pt>
                <c:pt idx="66">
                  <c:v>4.7894827586206903</c:v>
                </c:pt>
                <c:pt idx="67">
                  <c:v>4.7308620689655179</c:v>
                </c:pt>
                <c:pt idx="68">
                  <c:v>4.6294827586206901</c:v>
                </c:pt>
                <c:pt idx="69">
                  <c:v>4.5308620689655177</c:v>
                </c:pt>
                <c:pt idx="70">
                  <c:v>4.4287931034482764</c:v>
                </c:pt>
                <c:pt idx="71">
                  <c:v>4.3593103448275867</c:v>
                </c:pt>
                <c:pt idx="72">
                  <c:v>4.3513793103448286</c:v>
                </c:pt>
                <c:pt idx="73">
                  <c:v>4.4063793103448283</c:v>
                </c:pt>
                <c:pt idx="74">
                  <c:v>4.4946551724137933</c:v>
                </c:pt>
                <c:pt idx="75">
                  <c:v>4.588103448275862</c:v>
                </c:pt>
                <c:pt idx="76">
                  <c:v>4.6786206896551734</c:v>
                </c:pt>
                <c:pt idx="77">
                  <c:v>4.7670689655172422</c:v>
                </c:pt>
                <c:pt idx="78">
                  <c:v>4.808965517241381</c:v>
                </c:pt>
                <c:pt idx="79">
                  <c:v>4.7525862068965523</c:v>
                </c:pt>
                <c:pt idx="80">
                  <c:v>4.6525862068965527</c:v>
                </c:pt>
                <c:pt idx="81">
                  <c:v>4.5555172413793112</c:v>
                </c:pt>
                <c:pt idx="82">
                  <c:v>4.4548275862068971</c:v>
                </c:pt>
                <c:pt idx="83">
                  <c:v>4.3875862068965521</c:v>
                </c:pt>
                <c:pt idx="84">
                  <c:v>4.3817241379310348</c:v>
                </c:pt>
                <c:pt idx="85">
                  <c:v>4.4382758620689664</c:v>
                </c:pt>
                <c:pt idx="86">
                  <c:v>4.5281034482758633</c:v>
                </c:pt>
                <c:pt idx="87">
                  <c:v>4.6236206896551728</c:v>
                </c:pt>
                <c:pt idx="88">
                  <c:v>4.7155172413793105</c:v>
                </c:pt>
                <c:pt idx="89">
                  <c:v>4.8046551724137938</c:v>
                </c:pt>
                <c:pt idx="90">
                  <c:v>4.8474137931034491</c:v>
                </c:pt>
                <c:pt idx="91">
                  <c:v>4.7901724137931048</c:v>
                </c:pt>
                <c:pt idx="92">
                  <c:v>4.6910344827586217</c:v>
                </c:pt>
                <c:pt idx="93">
                  <c:v>4.5939655172413802</c:v>
                </c:pt>
                <c:pt idx="94">
                  <c:v>4.4939655172413797</c:v>
                </c:pt>
                <c:pt idx="95">
                  <c:v>4.4267241379310347</c:v>
                </c:pt>
                <c:pt idx="96">
                  <c:v>4.4201724137931047</c:v>
                </c:pt>
                <c:pt idx="97">
                  <c:v>4.477413793103449</c:v>
                </c:pt>
                <c:pt idx="98">
                  <c:v>4.5679310344827595</c:v>
                </c:pt>
                <c:pt idx="99">
                  <c:v>4.6627586206896563</c:v>
                </c:pt>
                <c:pt idx="100">
                  <c:v>4.7553448275862067</c:v>
                </c:pt>
                <c:pt idx="101">
                  <c:v>4.8046551724137938</c:v>
                </c:pt>
                <c:pt idx="102">
                  <c:v>4.8474137931034491</c:v>
                </c:pt>
                <c:pt idx="103">
                  <c:v>4.7901724137931048</c:v>
                </c:pt>
                <c:pt idx="104">
                  <c:v>4.6910344827586217</c:v>
                </c:pt>
                <c:pt idx="105">
                  <c:v>4.5939655172413802</c:v>
                </c:pt>
                <c:pt idx="106">
                  <c:v>4.4939655172413797</c:v>
                </c:pt>
                <c:pt idx="107">
                  <c:v>4.4267241379310347</c:v>
                </c:pt>
                <c:pt idx="108">
                  <c:v>4.4201724137931047</c:v>
                </c:pt>
                <c:pt idx="109">
                  <c:v>4.477413793103449</c:v>
                </c:pt>
                <c:pt idx="110">
                  <c:v>4.5679310344827595</c:v>
                </c:pt>
                <c:pt idx="111">
                  <c:v>4.6627586206896563</c:v>
                </c:pt>
                <c:pt idx="112">
                  <c:v>4.7553448275862067</c:v>
                </c:pt>
                <c:pt idx="113">
                  <c:v>4.8046551724137938</c:v>
                </c:pt>
                <c:pt idx="114">
                  <c:v>4.8474137931034491</c:v>
                </c:pt>
                <c:pt idx="115">
                  <c:v>4.7901724137931048</c:v>
                </c:pt>
                <c:pt idx="116">
                  <c:v>4.6910344827586217</c:v>
                </c:pt>
                <c:pt idx="117">
                  <c:v>4.5939655172413802</c:v>
                </c:pt>
                <c:pt idx="118">
                  <c:v>4.4939655172413797</c:v>
                </c:pt>
                <c:pt idx="119">
                  <c:v>4.4267241379310347</c:v>
                </c:pt>
                <c:pt idx="120">
                  <c:v>4.4201724137931047</c:v>
                </c:pt>
                <c:pt idx="121">
                  <c:v>4.477413793103449</c:v>
                </c:pt>
                <c:pt idx="122">
                  <c:v>4.5679310344827595</c:v>
                </c:pt>
                <c:pt idx="123">
                  <c:v>4.6627586206896563</c:v>
                </c:pt>
                <c:pt idx="124">
                  <c:v>4.7553448275862067</c:v>
                </c:pt>
                <c:pt idx="125">
                  <c:v>4.8046551724137938</c:v>
                </c:pt>
                <c:pt idx="126">
                  <c:v>4.8474137931034491</c:v>
                </c:pt>
                <c:pt idx="127">
                  <c:v>4.7901724137931048</c:v>
                </c:pt>
                <c:pt idx="128">
                  <c:v>4.6910344827586217</c:v>
                </c:pt>
                <c:pt idx="129">
                  <c:v>4.5939655172413802</c:v>
                </c:pt>
                <c:pt idx="130">
                  <c:v>4.4939655172413797</c:v>
                </c:pt>
                <c:pt idx="131">
                  <c:v>4.4267241379310347</c:v>
                </c:pt>
                <c:pt idx="132">
                  <c:v>4.4201724137931047</c:v>
                </c:pt>
                <c:pt idx="133">
                  <c:v>4.477413793103449</c:v>
                </c:pt>
                <c:pt idx="134">
                  <c:v>4.5679310344827595</c:v>
                </c:pt>
                <c:pt idx="135">
                  <c:v>4.6627586206896563</c:v>
                </c:pt>
                <c:pt idx="136">
                  <c:v>4.7553448275862067</c:v>
                </c:pt>
                <c:pt idx="137">
                  <c:v>4.8046551724137938</c:v>
                </c:pt>
                <c:pt idx="138">
                  <c:v>4.8474137931034491</c:v>
                </c:pt>
                <c:pt idx="139">
                  <c:v>4.7901724137931048</c:v>
                </c:pt>
                <c:pt idx="140">
                  <c:v>4.6910344827586217</c:v>
                </c:pt>
                <c:pt idx="141">
                  <c:v>4.5939655172413802</c:v>
                </c:pt>
                <c:pt idx="142">
                  <c:v>4.4939655172413797</c:v>
                </c:pt>
                <c:pt idx="143">
                  <c:v>4.4267241379310347</c:v>
                </c:pt>
                <c:pt idx="144">
                  <c:v>4.4201724137931047</c:v>
                </c:pt>
                <c:pt idx="145">
                  <c:v>4.477413793103449</c:v>
                </c:pt>
                <c:pt idx="146">
                  <c:v>4.5679310344827595</c:v>
                </c:pt>
                <c:pt idx="147">
                  <c:v>4.6627586206896563</c:v>
                </c:pt>
                <c:pt idx="148">
                  <c:v>4.7553448275862067</c:v>
                </c:pt>
                <c:pt idx="149">
                  <c:v>4.8046551724137938</c:v>
                </c:pt>
                <c:pt idx="150">
                  <c:v>4.8474137931034491</c:v>
                </c:pt>
                <c:pt idx="151">
                  <c:v>4.7901724137931048</c:v>
                </c:pt>
                <c:pt idx="152">
                  <c:v>4.6910344827586217</c:v>
                </c:pt>
                <c:pt idx="153">
                  <c:v>4.5939655172413802</c:v>
                </c:pt>
                <c:pt idx="154">
                  <c:v>4.4939655172413797</c:v>
                </c:pt>
                <c:pt idx="155">
                  <c:v>4.4267241379310347</c:v>
                </c:pt>
                <c:pt idx="156">
                  <c:v>4.4201724137931047</c:v>
                </c:pt>
                <c:pt idx="157">
                  <c:v>4.477413793103449</c:v>
                </c:pt>
                <c:pt idx="158">
                  <c:v>4.5679310344827595</c:v>
                </c:pt>
                <c:pt idx="159">
                  <c:v>4.6627586206896563</c:v>
                </c:pt>
                <c:pt idx="160">
                  <c:v>4.7553448275862067</c:v>
                </c:pt>
                <c:pt idx="161">
                  <c:v>4.8046551724137938</c:v>
                </c:pt>
                <c:pt idx="162">
                  <c:v>4.8474137931034491</c:v>
                </c:pt>
                <c:pt idx="163">
                  <c:v>4.7901724137931048</c:v>
                </c:pt>
                <c:pt idx="164">
                  <c:v>4.6910344827586217</c:v>
                </c:pt>
                <c:pt idx="165">
                  <c:v>4.5939655172413802</c:v>
                </c:pt>
                <c:pt idx="166">
                  <c:v>4.4939655172413797</c:v>
                </c:pt>
                <c:pt idx="167">
                  <c:v>4.4267241379310347</c:v>
                </c:pt>
                <c:pt idx="168">
                  <c:v>4.4201724137931047</c:v>
                </c:pt>
                <c:pt idx="169">
                  <c:v>4.477413793103449</c:v>
                </c:pt>
                <c:pt idx="170">
                  <c:v>4.5679310344827595</c:v>
                </c:pt>
                <c:pt idx="171">
                  <c:v>4.6627586206896563</c:v>
                </c:pt>
                <c:pt idx="172">
                  <c:v>4.7553448275862067</c:v>
                </c:pt>
                <c:pt idx="173">
                  <c:v>4.8046551724137938</c:v>
                </c:pt>
                <c:pt idx="174">
                  <c:v>4.8474137931034491</c:v>
                </c:pt>
                <c:pt idx="175">
                  <c:v>4.7901724137931048</c:v>
                </c:pt>
                <c:pt idx="176">
                  <c:v>4.6910344827586217</c:v>
                </c:pt>
                <c:pt idx="177">
                  <c:v>4.5939655172413802</c:v>
                </c:pt>
                <c:pt idx="178">
                  <c:v>4.4939655172413797</c:v>
                </c:pt>
                <c:pt idx="179">
                  <c:v>4.4267241379310347</c:v>
                </c:pt>
                <c:pt idx="180">
                  <c:v>4.4201724137931047</c:v>
                </c:pt>
                <c:pt idx="181">
                  <c:v>4.477413793103449</c:v>
                </c:pt>
                <c:pt idx="182">
                  <c:v>4.5679310344827595</c:v>
                </c:pt>
                <c:pt idx="183">
                  <c:v>4.6627586206896563</c:v>
                </c:pt>
                <c:pt idx="184">
                  <c:v>4.7553448275862067</c:v>
                </c:pt>
                <c:pt idx="185">
                  <c:v>4.8046551724137938</c:v>
                </c:pt>
                <c:pt idx="186">
                  <c:v>4.8474137931034491</c:v>
                </c:pt>
                <c:pt idx="187">
                  <c:v>4.7901724137931048</c:v>
                </c:pt>
                <c:pt idx="188">
                  <c:v>4.6910344827586217</c:v>
                </c:pt>
                <c:pt idx="189">
                  <c:v>4.5939655172413802</c:v>
                </c:pt>
                <c:pt idx="190">
                  <c:v>4.4939655172413797</c:v>
                </c:pt>
                <c:pt idx="191">
                  <c:v>4.4267241379310347</c:v>
                </c:pt>
                <c:pt idx="192">
                  <c:v>4.4201724137931047</c:v>
                </c:pt>
                <c:pt idx="193">
                  <c:v>4.477413793103449</c:v>
                </c:pt>
                <c:pt idx="194">
                  <c:v>4.5679310344827595</c:v>
                </c:pt>
                <c:pt idx="195">
                  <c:v>4.6627586206896563</c:v>
                </c:pt>
                <c:pt idx="196">
                  <c:v>4.7553448275862067</c:v>
                </c:pt>
                <c:pt idx="197">
                  <c:v>4.8046551724137938</c:v>
                </c:pt>
                <c:pt idx="198">
                  <c:v>4.8474137931034491</c:v>
                </c:pt>
                <c:pt idx="199">
                  <c:v>4.7901724137931048</c:v>
                </c:pt>
                <c:pt idx="200">
                  <c:v>4.6910344827586217</c:v>
                </c:pt>
                <c:pt idx="201">
                  <c:v>4.5939655172413802</c:v>
                </c:pt>
                <c:pt idx="202">
                  <c:v>4.4939655172413797</c:v>
                </c:pt>
                <c:pt idx="203">
                  <c:v>4.4267241379310347</c:v>
                </c:pt>
                <c:pt idx="204">
                  <c:v>4.4201724137931047</c:v>
                </c:pt>
                <c:pt idx="205">
                  <c:v>4.477413793103449</c:v>
                </c:pt>
                <c:pt idx="206">
                  <c:v>4.5679310344827595</c:v>
                </c:pt>
                <c:pt idx="207">
                  <c:v>4.6627586206896563</c:v>
                </c:pt>
                <c:pt idx="208">
                  <c:v>4.7553448275862067</c:v>
                </c:pt>
                <c:pt idx="209">
                  <c:v>4.8046551724137938</c:v>
                </c:pt>
                <c:pt idx="210">
                  <c:v>4.8474137931034491</c:v>
                </c:pt>
                <c:pt idx="211">
                  <c:v>4.7901724137931048</c:v>
                </c:pt>
                <c:pt idx="212">
                  <c:v>4.6910344827586217</c:v>
                </c:pt>
                <c:pt idx="213">
                  <c:v>4.5939655172413802</c:v>
                </c:pt>
                <c:pt idx="214">
                  <c:v>4.4939655172413797</c:v>
                </c:pt>
                <c:pt idx="215">
                  <c:v>4.4267241379310347</c:v>
                </c:pt>
                <c:pt idx="216">
                  <c:v>4.4201724137931047</c:v>
                </c:pt>
                <c:pt idx="217">
                  <c:v>4.477413793103449</c:v>
                </c:pt>
                <c:pt idx="218">
                  <c:v>4.5679310344827595</c:v>
                </c:pt>
                <c:pt idx="219">
                  <c:v>4.6627586206896563</c:v>
                </c:pt>
                <c:pt idx="220">
                  <c:v>4.7553448275862067</c:v>
                </c:pt>
                <c:pt idx="221">
                  <c:v>4.8046551724137938</c:v>
                </c:pt>
                <c:pt idx="222">
                  <c:v>4.8474137931034491</c:v>
                </c:pt>
                <c:pt idx="223">
                  <c:v>4.7901724137931048</c:v>
                </c:pt>
                <c:pt idx="224">
                  <c:v>4.6910344827586217</c:v>
                </c:pt>
                <c:pt idx="225">
                  <c:v>4.5939655172413802</c:v>
                </c:pt>
                <c:pt idx="226">
                  <c:v>4.4939655172413797</c:v>
                </c:pt>
                <c:pt idx="227">
                  <c:v>4.4267241379310347</c:v>
                </c:pt>
                <c:pt idx="228">
                  <c:v>4.4201724137931047</c:v>
                </c:pt>
                <c:pt idx="229">
                  <c:v>4.477413793103449</c:v>
                </c:pt>
                <c:pt idx="230">
                  <c:v>4.5679310344827595</c:v>
                </c:pt>
                <c:pt idx="231">
                  <c:v>4.6627586206896563</c:v>
                </c:pt>
                <c:pt idx="232">
                  <c:v>4.7553448275862067</c:v>
                </c:pt>
                <c:pt idx="233">
                  <c:v>4.8046551724137938</c:v>
                </c:pt>
                <c:pt idx="234">
                  <c:v>4.8474137931034491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8-4B86-96D4-E95AACD3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58216"/>
        <c:axId val="1"/>
      </c:lineChart>
      <c:dateAx>
        <c:axId val="20975821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.000_);_(* \(#,##0.00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758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0249110320284694"/>
          <c:y val="0.94764397905759157"/>
          <c:w val="0.45551601423487537"/>
          <c:h val="4.84293193717277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/>
              <a:t>Power Curve Comparison</a:t>
            </a:r>
          </a:p>
        </c:rich>
      </c:tx>
      <c:layout>
        <c:manualLayout>
          <c:xMode val="edge"/>
          <c:yMode val="edge"/>
          <c:x val="0.375827814569536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642384105960264E-2"/>
          <c:y val="0.13722826086956522"/>
          <c:w val="0.91225165562913924"/>
          <c:h val="0.69836956521739124"/>
        </c:manualLayout>
      </c:layout>
      <c:lineChart>
        <c:grouping val="standard"/>
        <c:varyColors val="0"/>
        <c:ser>
          <c:idx val="0"/>
          <c:order val="0"/>
          <c:tx>
            <c:v>Company Curve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'Curve Comparison'!$G$4:$G$238</c:f>
              <c:numCache>
                <c:formatCode>mmm\-yy</c:formatCode>
                <c:ptCount val="235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  <c:pt idx="24">
                  <c:v>37408</c:v>
                </c:pt>
                <c:pt idx="25">
                  <c:v>37438</c:v>
                </c:pt>
                <c:pt idx="26">
                  <c:v>37469</c:v>
                </c:pt>
                <c:pt idx="27">
                  <c:v>37500</c:v>
                </c:pt>
                <c:pt idx="28">
                  <c:v>37530</c:v>
                </c:pt>
                <c:pt idx="29">
                  <c:v>37561</c:v>
                </c:pt>
                <c:pt idx="30">
                  <c:v>37591</c:v>
                </c:pt>
                <c:pt idx="31">
                  <c:v>37622</c:v>
                </c:pt>
                <c:pt idx="32">
                  <c:v>37653</c:v>
                </c:pt>
                <c:pt idx="33">
                  <c:v>37681</c:v>
                </c:pt>
                <c:pt idx="34">
                  <c:v>37712</c:v>
                </c:pt>
                <c:pt idx="35">
                  <c:v>37742</c:v>
                </c:pt>
                <c:pt idx="36">
                  <c:v>37773</c:v>
                </c:pt>
                <c:pt idx="37">
                  <c:v>37803</c:v>
                </c:pt>
                <c:pt idx="38">
                  <c:v>37834</c:v>
                </c:pt>
                <c:pt idx="39">
                  <c:v>37865</c:v>
                </c:pt>
                <c:pt idx="40">
                  <c:v>37895</c:v>
                </c:pt>
                <c:pt idx="41">
                  <c:v>37926</c:v>
                </c:pt>
                <c:pt idx="42">
                  <c:v>37956</c:v>
                </c:pt>
                <c:pt idx="43">
                  <c:v>37987</c:v>
                </c:pt>
                <c:pt idx="44">
                  <c:v>38018</c:v>
                </c:pt>
                <c:pt idx="45">
                  <c:v>38047</c:v>
                </c:pt>
                <c:pt idx="46">
                  <c:v>38078</c:v>
                </c:pt>
                <c:pt idx="47">
                  <c:v>38108</c:v>
                </c:pt>
                <c:pt idx="48">
                  <c:v>38139</c:v>
                </c:pt>
                <c:pt idx="49">
                  <c:v>38169</c:v>
                </c:pt>
                <c:pt idx="50">
                  <c:v>38200</c:v>
                </c:pt>
                <c:pt idx="51">
                  <c:v>38231</c:v>
                </c:pt>
                <c:pt idx="52">
                  <c:v>38261</c:v>
                </c:pt>
                <c:pt idx="53">
                  <c:v>38292</c:v>
                </c:pt>
                <c:pt idx="54">
                  <c:v>38322</c:v>
                </c:pt>
                <c:pt idx="55">
                  <c:v>38353</c:v>
                </c:pt>
                <c:pt idx="56">
                  <c:v>38384</c:v>
                </c:pt>
                <c:pt idx="57">
                  <c:v>38412</c:v>
                </c:pt>
                <c:pt idx="58">
                  <c:v>38443</c:v>
                </c:pt>
                <c:pt idx="59">
                  <c:v>38473</c:v>
                </c:pt>
                <c:pt idx="60">
                  <c:v>38504</c:v>
                </c:pt>
                <c:pt idx="61">
                  <c:v>38534</c:v>
                </c:pt>
                <c:pt idx="62">
                  <c:v>38565</c:v>
                </c:pt>
                <c:pt idx="63">
                  <c:v>38596</c:v>
                </c:pt>
                <c:pt idx="64">
                  <c:v>38626</c:v>
                </c:pt>
                <c:pt idx="65">
                  <c:v>38657</c:v>
                </c:pt>
                <c:pt idx="66">
                  <c:v>38687</c:v>
                </c:pt>
                <c:pt idx="67">
                  <c:v>38718</c:v>
                </c:pt>
                <c:pt idx="68">
                  <c:v>38749</c:v>
                </c:pt>
                <c:pt idx="69">
                  <c:v>38777</c:v>
                </c:pt>
                <c:pt idx="70">
                  <c:v>38808</c:v>
                </c:pt>
                <c:pt idx="71">
                  <c:v>38838</c:v>
                </c:pt>
                <c:pt idx="72">
                  <c:v>38869</c:v>
                </c:pt>
                <c:pt idx="73">
                  <c:v>38899</c:v>
                </c:pt>
                <c:pt idx="74">
                  <c:v>38930</c:v>
                </c:pt>
                <c:pt idx="75">
                  <c:v>38961</c:v>
                </c:pt>
                <c:pt idx="76">
                  <c:v>38991</c:v>
                </c:pt>
                <c:pt idx="77">
                  <c:v>39022</c:v>
                </c:pt>
                <c:pt idx="78">
                  <c:v>39052</c:v>
                </c:pt>
                <c:pt idx="79">
                  <c:v>39083</c:v>
                </c:pt>
                <c:pt idx="80">
                  <c:v>39114</c:v>
                </c:pt>
                <c:pt idx="81">
                  <c:v>39142</c:v>
                </c:pt>
                <c:pt idx="82">
                  <c:v>39173</c:v>
                </c:pt>
                <c:pt idx="83">
                  <c:v>39203</c:v>
                </c:pt>
                <c:pt idx="84">
                  <c:v>39234</c:v>
                </c:pt>
                <c:pt idx="85">
                  <c:v>39264</c:v>
                </c:pt>
                <c:pt idx="86">
                  <c:v>39295</c:v>
                </c:pt>
                <c:pt idx="87">
                  <c:v>39326</c:v>
                </c:pt>
                <c:pt idx="88">
                  <c:v>39356</c:v>
                </c:pt>
                <c:pt idx="89">
                  <c:v>39387</c:v>
                </c:pt>
                <c:pt idx="90">
                  <c:v>39417</c:v>
                </c:pt>
                <c:pt idx="91">
                  <c:v>39448</c:v>
                </c:pt>
                <c:pt idx="92">
                  <c:v>39479</c:v>
                </c:pt>
                <c:pt idx="93">
                  <c:v>39508</c:v>
                </c:pt>
                <c:pt idx="94">
                  <c:v>39539</c:v>
                </c:pt>
                <c:pt idx="95">
                  <c:v>39569</c:v>
                </c:pt>
                <c:pt idx="96">
                  <c:v>39600</c:v>
                </c:pt>
                <c:pt idx="97">
                  <c:v>39630</c:v>
                </c:pt>
                <c:pt idx="98">
                  <c:v>39661</c:v>
                </c:pt>
                <c:pt idx="99">
                  <c:v>39692</c:v>
                </c:pt>
                <c:pt idx="100">
                  <c:v>39722</c:v>
                </c:pt>
                <c:pt idx="101">
                  <c:v>39753</c:v>
                </c:pt>
                <c:pt idx="102">
                  <c:v>39783</c:v>
                </c:pt>
                <c:pt idx="103">
                  <c:v>39814</c:v>
                </c:pt>
                <c:pt idx="104">
                  <c:v>39845</c:v>
                </c:pt>
                <c:pt idx="105">
                  <c:v>39873</c:v>
                </c:pt>
                <c:pt idx="106">
                  <c:v>39904</c:v>
                </c:pt>
                <c:pt idx="107">
                  <c:v>39934</c:v>
                </c:pt>
                <c:pt idx="108">
                  <c:v>39965</c:v>
                </c:pt>
                <c:pt idx="109">
                  <c:v>39995</c:v>
                </c:pt>
                <c:pt idx="110">
                  <c:v>40026</c:v>
                </c:pt>
                <c:pt idx="111">
                  <c:v>40057</c:v>
                </c:pt>
                <c:pt idx="112">
                  <c:v>40087</c:v>
                </c:pt>
                <c:pt idx="113">
                  <c:v>40118</c:v>
                </c:pt>
                <c:pt idx="114">
                  <c:v>40148</c:v>
                </c:pt>
                <c:pt idx="115">
                  <c:v>40179</c:v>
                </c:pt>
                <c:pt idx="116">
                  <c:v>40210</c:v>
                </c:pt>
                <c:pt idx="117">
                  <c:v>40238</c:v>
                </c:pt>
                <c:pt idx="118">
                  <c:v>40269</c:v>
                </c:pt>
                <c:pt idx="119">
                  <c:v>40299</c:v>
                </c:pt>
                <c:pt idx="120">
                  <c:v>40330</c:v>
                </c:pt>
                <c:pt idx="121">
                  <c:v>40360</c:v>
                </c:pt>
                <c:pt idx="122">
                  <c:v>40391</c:v>
                </c:pt>
                <c:pt idx="123">
                  <c:v>40422</c:v>
                </c:pt>
                <c:pt idx="124">
                  <c:v>40452</c:v>
                </c:pt>
                <c:pt idx="125">
                  <c:v>40483</c:v>
                </c:pt>
                <c:pt idx="126">
                  <c:v>40513</c:v>
                </c:pt>
                <c:pt idx="127">
                  <c:v>40544</c:v>
                </c:pt>
                <c:pt idx="128">
                  <c:v>40575</c:v>
                </c:pt>
                <c:pt idx="129">
                  <c:v>40603</c:v>
                </c:pt>
                <c:pt idx="130">
                  <c:v>40634</c:v>
                </c:pt>
                <c:pt idx="131">
                  <c:v>40664</c:v>
                </c:pt>
                <c:pt idx="132">
                  <c:v>40695</c:v>
                </c:pt>
                <c:pt idx="133">
                  <c:v>40725</c:v>
                </c:pt>
                <c:pt idx="134">
                  <c:v>40756</c:v>
                </c:pt>
                <c:pt idx="135">
                  <c:v>40787</c:v>
                </c:pt>
                <c:pt idx="136">
                  <c:v>40817</c:v>
                </c:pt>
                <c:pt idx="137">
                  <c:v>40848</c:v>
                </c:pt>
                <c:pt idx="138">
                  <c:v>40878</c:v>
                </c:pt>
                <c:pt idx="139">
                  <c:v>40909</c:v>
                </c:pt>
                <c:pt idx="140">
                  <c:v>40940</c:v>
                </c:pt>
                <c:pt idx="141">
                  <c:v>40969</c:v>
                </c:pt>
                <c:pt idx="142">
                  <c:v>41000</c:v>
                </c:pt>
                <c:pt idx="143">
                  <c:v>41030</c:v>
                </c:pt>
                <c:pt idx="144">
                  <c:v>41061</c:v>
                </c:pt>
                <c:pt idx="145">
                  <c:v>41091</c:v>
                </c:pt>
                <c:pt idx="146">
                  <c:v>41122</c:v>
                </c:pt>
                <c:pt idx="147">
                  <c:v>41153</c:v>
                </c:pt>
                <c:pt idx="148">
                  <c:v>41183</c:v>
                </c:pt>
                <c:pt idx="149">
                  <c:v>41214</c:v>
                </c:pt>
                <c:pt idx="150">
                  <c:v>41244</c:v>
                </c:pt>
                <c:pt idx="151">
                  <c:v>41275</c:v>
                </c:pt>
                <c:pt idx="152">
                  <c:v>41306</c:v>
                </c:pt>
                <c:pt idx="153">
                  <c:v>41334</c:v>
                </c:pt>
                <c:pt idx="154">
                  <c:v>41365</c:v>
                </c:pt>
                <c:pt idx="155">
                  <c:v>41395</c:v>
                </c:pt>
                <c:pt idx="156">
                  <c:v>41426</c:v>
                </c:pt>
                <c:pt idx="157">
                  <c:v>41456</c:v>
                </c:pt>
                <c:pt idx="158">
                  <c:v>41487</c:v>
                </c:pt>
                <c:pt idx="159">
                  <c:v>41518</c:v>
                </c:pt>
                <c:pt idx="160">
                  <c:v>41548</c:v>
                </c:pt>
                <c:pt idx="161">
                  <c:v>41579</c:v>
                </c:pt>
                <c:pt idx="162">
                  <c:v>41609</c:v>
                </c:pt>
                <c:pt idx="163">
                  <c:v>41640</c:v>
                </c:pt>
                <c:pt idx="164">
                  <c:v>41671</c:v>
                </c:pt>
                <c:pt idx="165">
                  <c:v>41699</c:v>
                </c:pt>
                <c:pt idx="166">
                  <c:v>41730</c:v>
                </c:pt>
                <c:pt idx="167">
                  <c:v>41760</c:v>
                </c:pt>
                <c:pt idx="168">
                  <c:v>41791</c:v>
                </c:pt>
                <c:pt idx="169">
                  <c:v>41821</c:v>
                </c:pt>
                <c:pt idx="170">
                  <c:v>41852</c:v>
                </c:pt>
                <c:pt idx="171">
                  <c:v>41883</c:v>
                </c:pt>
                <c:pt idx="172">
                  <c:v>41913</c:v>
                </c:pt>
                <c:pt idx="173">
                  <c:v>41944</c:v>
                </c:pt>
                <c:pt idx="174">
                  <c:v>41974</c:v>
                </c:pt>
                <c:pt idx="175">
                  <c:v>42005</c:v>
                </c:pt>
                <c:pt idx="176">
                  <c:v>42036</c:v>
                </c:pt>
                <c:pt idx="177">
                  <c:v>42064</c:v>
                </c:pt>
                <c:pt idx="178">
                  <c:v>42095</c:v>
                </c:pt>
                <c:pt idx="179">
                  <c:v>42125</c:v>
                </c:pt>
                <c:pt idx="180">
                  <c:v>42156</c:v>
                </c:pt>
                <c:pt idx="181">
                  <c:v>42186</c:v>
                </c:pt>
                <c:pt idx="182">
                  <c:v>42217</c:v>
                </c:pt>
                <c:pt idx="183">
                  <c:v>42248</c:v>
                </c:pt>
                <c:pt idx="184">
                  <c:v>42278</c:v>
                </c:pt>
                <c:pt idx="185">
                  <c:v>42309</c:v>
                </c:pt>
                <c:pt idx="186">
                  <c:v>42339</c:v>
                </c:pt>
                <c:pt idx="187">
                  <c:v>42370</c:v>
                </c:pt>
                <c:pt idx="188">
                  <c:v>42401</c:v>
                </c:pt>
                <c:pt idx="189">
                  <c:v>42430</c:v>
                </c:pt>
                <c:pt idx="190">
                  <c:v>42461</c:v>
                </c:pt>
                <c:pt idx="191">
                  <c:v>42491</c:v>
                </c:pt>
                <c:pt idx="192">
                  <c:v>42522</c:v>
                </c:pt>
                <c:pt idx="193">
                  <c:v>42552</c:v>
                </c:pt>
                <c:pt idx="194">
                  <c:v>42583</c:v>
                </c:pt>
                <c:pt idx="195">
                  <c:v>42614</c:v>
                </c:pt>
                <c:pt idx="196">
                  <c:v>42644</c:v>
                </c:pt>
                <c:pt idx="197">
                  <c:v>42675</c:v>
                </c:pt>
                <c:pt idx="198">
                  <c:v>42705</c:v>
                </c:pt>
                <c:pt idx="199">
                  <c:v>42736</c:v>
                </c:pt>
                <c:pt idx="200">
                  <c:v>42767</c:v>
                </c:pt>
                <c:pt idx="201">
                  <c:v>42795</c:v>
                </c:pt>
                <c:pt idx="202">
                  <c:v>42826</c:v>
                </c:pt>
                <c:pt idx="203">
                  <c:v>42856</c:v>
                </c:pt>
                <c:pt idx="204">
                  <c:v>42887</c:v>
                </c:pt>
                <c:pt idx="205">
                  <c:v>42917</c:v>
                </c:pt>
                <c:pt idx="206">
                  <c:v>42948</c:v>
                </c:pt>
                <c:pt idx="207">
                  <c:v>42979</c:v>
                </c:pt>
                <c:pt idx="208">
                  <c:v>43009</c:v>
                </c:pt>
                <c:pt idx="209">
                  <c:v>43040</c:v>
                </c:pt>
                <c:pt idx="210">
                  <c:v>43070</c:v>
                </c:pt>
                <c:pt idx="211">
                  <c:v>43101</c:v>
                </c:pt>
                <c:pt idx="212">
                  <c:v>43132</c:v>
                </c:pt>
                <c:pt idx="213">
                  <c:v>43160</c:v>
                </c:pt>
                <c:pt idx="214">
                  <c:v>43191</c:v>
                </c:pt>
                <c:pt idx="215">
                  <c:v>43221</c:v>
                </c:pt>
                <c:pt idx="216">
                  <c:v>43252</c:v>
                </c:pt>
                <c:pt idx="217">
                  <c:v>43282</c:v>
                </c:pt>
                <c:pt idx="218">
                  <c:v>43313</c:v>
                </c:pt>
                <c:pt idx="219">
                  <c:v>43344</c:v>
                </c:pt>
                <c:pt idx="220">
                  <c:v>43374</c:v>
                </c:pt>
                <c:pt idx="221">
                  <c:v>43405</c:v>
                </c:pt>
                <c:pt idx="222">
                  <c:v>43435</c:v>
                </c:pt>
                <c:pt idx="223">
                  <c:v>43466</c:v>
                </c:pt>
                <c:pt idx="224">
                  <c:v>43497</c:v>
                </c:pt>
                <c:pt idx="225">
                  <c:v>43525</c:v>
                </c:pt>
                <c:pt idx="226">
                  <c:v>43556</c:v>
                </c:pt>
                <c:pt idx="227">
                  <c:v>43586</c:v>
                </c:pt>
                <c:pt idx="228">
                  <c:v>43617</c:v>
                </c:pt>
                <c:pt idx="229">
                  <c:v>43647</c:v>
                </c:pt>
                <c:pt idx="230">
                  <c:v>43678</c:v>
                </c:pt>
                <c:pt idx="231">
                  <c:v>43709</c:v>
                </c:pt>
                <c:pt idx="232">
                  <c:v>43739</c:v>
                </c:pt>
                <c:pt idx="233">
                  <c:v>43770</c:v>
                </c:pt>
                <c:pt idx="234">
                  <c:v>43800</c:v>
                </c:pt>
              </c:numCache>
            </c:numRef>
          </c:cat>
          <c:val>
            <c:numRef>
              <c:f>'Curve Comparison'!$H$4:$H$238</c:f>
              <c:numCache>
                <c:formatCode>_(* #,##0.000_);_(* \(#,##0.000\);_(* "-"??_);_(@_)</c:formatCode>
                <c:ptCount val="235"/>
                <c:pt idx="0">
                  <c:v>119.6982624</c:v>
                </c:pt>
                <c:pt idx="1">
                  <c:v>200.74960490000001</c:v>
                </c:pt>
                <c:pt idx="2">
                  <c:v>200.74960490000001</c:v>
                </c:pt>
                <c:pt idx="3">
                  <c:v>65.474885459999996</c:v>
                </c:pt>
                <c:pt idx="4">
                  <c:v>52.66540105</c:v>
                </c:pt>
                <c:pt idx="5">
                  <c:v>53.728532940000001</c:v>
                </c:pt>
                <c:pt idx="6">
                  <c:v>53.728532940000001</c:v>
                </c:pt>
                <c:pt idx="7">
                  <c:v>50.276172119999998</c:v>
                </c:pt>
                <c:pt idx="8">
                  <c:v>41.817346350000001</c:v>
                </c:pt>
                <c:pt idx="9">
                  <c:v>41.817346350000001</c:v>
                </c:pt>
                <c:pt idx="10">
                  <c:v>45.644802769999998</c:v>
                </c:pt>
                <c:pt idx="11">
                  <c:v>58.689083459999999</c:v>
                </c:pt>
                <c:pt idx="12">
                  <c:v>109.2786763</c:v>
                </c:pt>
                <c:pt idx="13">
                  <c:v>177.48117289999999</c:v>
                </c:pt>
                <c:pt idx="14">
                  <c:v>177.48117289999999</c:v>
                </c:pt>
                <c:pt idx="15">
                  <c:v>58.689083459999999</c:v>
                </c:pt>
                <c:pt idx="16">
                  <c:v>45.789530360000001</c:v>
                </c:pt>
                <c:pt idx="17">
                  <c:v>49.629084890000001</c:v>
                </c:pt>
                <c:pt idx="18">
                  <c:v>49.629084890000001</c:v>
                </c:pt>
                <c:pt idx="19">
                  <c:v>49.292064809999999</c:v>
                </c:pt>
                <c:pt idx="20">
                  <c:v>41.748309280000001</c:v>
                </c:pt>
                <c:pt idx="21">
                  <c:v>41.748309280000001</c:v>
                </c:pt>
                <c:pt idx="22">
                  <c:v>45.906999220000003</c:v>
                </c:pt>
                <c:pt idx="23">
                  <c:v>58.100821000000003</c:v>
                </c:pt>
                <c:pt idx="24">
                  <c:v>107.4110546</c:v>
                </c:pt>
                <c:pt idx="25">
                  <c:v>170.2370583</c:v>
                </c:pt>
                <c:pt idx="26">
                  <c:v>170.2370583</c:v>
                </c:pt>
                <c:pt idx="27">
                  <c:v>58.100821000000003</c:v>
                </c:pt>
                <c:pt idx="28">
                  <c:v>46.577470480000002</c:v>
                </c:pt>
                <c:pt idx="29">
                  <c:v>49.842813739999997</c:v>
                </c:pt>
                <c:pt idx="30">
                  <c:v>49.842813739999997</c:v>
                </c:pt>
                <c:pt idx="31">
                  <c:v>48.871634270000001</c:v>
                </c:pt>
                <c:pt idx="32">
                  <c:v>41.724420000000002</c:v>
                </c:pt>
                <c:pt idx="33">
                  <c:v>41.724420000000002</c:v>
                </c:pt>
                <c:pt idx="34">
                  <c:v>45.99268799</c:v>
                </c:pt>
                <c:pt idx="35">
                  <c:v>57.461687830000002</c:v>
                </c:pt>
                <c:pt idx="36">
                  <c:v>105.2136455</c:v>
                </c:pt>
                <c:pt idx="37">
                  <c:v>165.2013354</c:v>
                </c:pt>
                <c:pt idx="38">
                  <c:v>165.2013354</c:v>
                </c:pt>
                <c:pt idx="39">
                  <c:v>57.461687830000002</c:v>
                </c:pt>
                <c:pt idx="40">
                  <c:v>47.031459339999998</c:v>
                </c:pt>
                <c:pt idx="41">
                  <c:v>50.00419986</c:v>
                </c:pt>
                <c:pt idx="42">
                  <c:v>50.00419986</c:v>
                </c:pt>
                <c:pt idx="43">
                  <c:v>48.114296760000002</c:v>
                </c:pt>
                <c:pt idx="44">
                  <c:v>41.790971169999999</c:v>
                </c:pt>
                <c:pt idx="45">
                  <c:v>41.790971169999999</c:v>
                </c:pt>
                <c:pt idx="46">
                  <c:v>46.152457849999998</c:v>
                </c:pt>
                <c:pt idx="47">
                  <c:v>57.919345980000003</c:v>
                </c:pt>
                <c:pt idx="48">
                  <c:v>106.4071165</c:v>
                </c:pt>
                <c:pt idx="49">
                  <c:v>168.53742829999999</c:v>
                </c:pt>
                <c:pt idx="50">
                  <c:v>168.53742829999999</c:v>
                </c:pt>
                <c:pt idx="51">
                  <c:v>57.919345980000003</c:v>
                </c:pt>
                <c:pt idx="52">
                  <c:v>47.742775229999999</c:v>
                </c:pt>
                <c:pt idx="53">
                  <c:v>50.15598731</c:v>
                </c:pt>
                <c:pt idx="54">
                  <c:v>50.15598731</c:v>
                </c:pt>
                <c:pt idx="55">
                  <c:v>48.06361708</c:v>
                </c:pt>
                <c:pt idx="56">
                  <c:v>41.746887319999999</c:v>
                </c:pt>
                <c:pt idx="57">
                  <c:v>41.746887319999999</c:v>
                </c:pt>
                <c:pt idx="58">
                  <c:v>46.158718229999998</c:v>
                </c:pt>
                <c:pt idx="59">
                  <c:v>53.610625630000001</c:v>
                </c:pt>
                <c:pt idx="60">
                  <c:v>94.655896670000004</c:v>
                </c:pt>
                <c:pt idx="61">
                  <c:v>139.3279043</c:v>
                </c:pt>
                <c:pt idx="62">
                  <c:v>139.3279043</c:v>
                </c:pt>
                <c:pt idx="63">
                  <c:v>53.610625630000001</c:v>
                </c:pt>
                <c:pt idx="64">
                  <c:v>47.844415580000003</c:v>
                </c:pt>
                <c:pt idx="65">
                  <c:v>50.177827559999997</c:v>
                </c:pt>
                <c:pt idx="66">
                  <c:v>50.177827559999997</c:v>
                </c:pt>
                <c:pt idx="67">
                  <c:v>47.985188090000001</c:v>
                </c:pt>
                <c:pt idx="68">
                  <c:v>41.739237850000002</c:v>
                </c:pt>
                <c:pt idx="69">
                  <c:v>41.739237850000002</c:v>
                </c:pt>
                <c:pt idx="70">
                  <c:v>46.17733114</c:v>
                </c:pt>
                <c:pt idx="71">
                  <c:v>56.393782999999999</c:v>
                </c:pt>
                <c:pt idx="72">
                  <c:v>102.64554800000001</c:v>
                </c:pt>
                <c:pt idx="73">
                  <c:v>159.35017020000001</c:v>
                </c:pt>
                <c:pt idx="74">
                  <c:v>159.35017020000001</c:v>
                </c:pt>
                <c:pt idx="75">
                  <c:v>56.393782999999999</c:v>
                </c:pt>
                <c:pt idx="76">
                  <c:v>47.893237370000001</c:v>
                </c:pt>
                <c:pt idx="77">
                  <c:v>50.220165530000003</c:v>
                </c:pt>
                <c:pt idx="78">
                  <c:v>50.220165530000003</c:v>
                </c:pt>
                <c:pt idx="79">
                  <c:v>47.92342798</c:v>
                </c:pt>
                <c:pt idx="80">
                  <c:v>41.750481800000003</c:v>
                </c:pt>
                <c:pt idx="81">
                  <c:v>41.750481800000003</c:v>
                </c:pt>
                <c:pt idx="82">
                  <c:v>46.215252710000001</c:v>
                </c:pt>
                <c:pt idx="83">
                  <c:v>58.915942250000001</c:v>
                </c:pt>
                <c:pt idx="84">
                  <c:v>109.4849347</c:v>
                </c:pt>
                <c:pt idx="85">
                  <c:v>178.5405433</c:v>
                </c:pt>
                <c:pt idx="86">
                  <c:v>178.5405433</c:v>
                </c:pt>
                <c:pt idx="87">
                  <c:v>58.915942250000001</c:v>
                </c:pt>
                <c:pt idx="88">
                  <c:v>47.945772689999998</c:v>
                </c:pt>
                <c:pt idx="89">
                  <c:v>50.242813720000001</c:v>
                </c:pt>
                <c:pt idx="90">
                  <c:v>50.242813720000001</c:v>
                </c:pt>
                <c:pt idx="91">
                  <c:v>47.851334469999998</c:v>
                </c:pt>
                <c:pt idx="92">
                  <c:v>41.745338220000001</c:v>
                </c:pt>
                <c:pt idx="93">
                  <c:v>41.745338220000001</c:v>
                </c:pt>
                <c:pt idx="94">
                  <c:v>46.195517700000003</c:v>
                </c:pt>
                <c:pt idx="95">
                  <c:v>59.030088880000001</c:v>
                </c:pt>
                <c:pt idx="96">
                  <c:v>109.5895077</c:v>
                </c:pt>
                <c:pt idx="97">
                  <c:v>178.80340810000001</c:v>
                </c:pt>
                <c:pt idx="98">
                  <c:v>178.80340810000001</c:v>
                </c:pt>
                <c:pt idx="99">
                  <c:v>59.030088880000001</c:v>
                </c:pt>
                <c:pt idx="100">
                  <c:v>48.051463550000001</c:v>
                </c:pt>
                <c:pt idx="101">
                  <c:v>50.286237190000001</c:v>
                </c:pt>
                <c:pt idx="102">
                  <c:v>50.286237190000001</c:v>
                </c:pt>
                <c:pt idx="103">
                  <c:v>47.800795440000002</c:v>
                </c:pt>
                <c:pt idx="104">
                  <c:v>41.759888549999999</c:v>
                </c:pt>
                <c:pt idx="105">
                  <c:v>41.759888549999999</c:v>
                </c:pt>
                <c:pt idx="106">
                  <c:v>46.225966669999998</c:v>
                </c:pt>
                <c:pt idx="107">
                  <c:v>58.185289750000003</c:v>
                </c:pt>
                <c:pt idx="108">
                  <c:v>107.21891189999999</c:v>
                </c:pt>
                <c:pt idx="109">
                  <c:v>170.34071489999999</c:v>
                </c:pt>
                <c:pt idx="110">
                  <c:v>170.34071489999999</c:v>
                </c:pt>
                <c:pt idx="111">
                  <c:v>58.185289750000003</c:v>
                </c:pt>
                <c:pt idx="112">
                  <c:v>48.074641470000003</c:v>
                </c:pt>
                <c:pt idx="113">
                  <c:v>50.299502140000001</c:v>
                </c:pt>
                <c:pt idx="114">
                  <c:v>50.299502140000001</c:v>
                </c:pt>
                <c:pt idx="115">
                  <c:v>47.727659449999997</c:v>
                </c:pt>
                <c:pt idx="116">
                  <c:v>41.834905370000001</c:v>
                </c:pt>
                <c:pt idx="117">
                  <c:v>41.834905370000001</c:v>
                </c:pt>
                <c:pt idx="118">
                  <c:v>46.245486280000001</c:v>
                </c:pt>
                <c:pt idx="119">
                  <c:v>58.186107210000003</c:v>
                </c:pt>
                <c:pt idx="120">
                  <c:v>107.1349637</c:v>
                </c:pt>
                <c:pt idx="121">
                  <c:v>170.04549890000001</c:v>
                </c:pt>
                <c:pt idx="122">
                  <c:v>170.04549890000001</c:v>
                </c:pt>
                <c:pt idx="123">
                  <c:v>58.186107210000003</c:v>
                </c:pt>
                <c:pt idx="124">
                  <c:v>48.125682779999998</c:v>
                </c:pt>
                <c:pt idx="125">
                  <c:v>50.292528799999999</c:v>
                </c:pt>
                <c:pt idx="126">
                  <c:v>50.292528799999999</c:v>
                </c:pt>
                <c:pt idx="127">
                  <c:v>47.627052849999998</c:v>
                </c:pt>
                <c:pt idx="128">
                  <c:v>41.87551191</c:v>
                </c:pt>
                <c:pt idx="129">
                  <c:v>41.87551191</c:v>
                </c:pt>
                <c:pt idx="130">
                  <c:v>46.286573279999999</c:v>
                </c:pt>
                <c:pt idx="131">
                  <c:v>57.018796610000003</c:v>
                </c:pt>
                <c:pt idx="132">
                  <c:v>104.3683817</c:v>
                </c:pt>
                <c:pt idx="133">
                  <c:v>163.52485100000001</c:v>
                </c:pt>
                <c:pt idx="134">
                  <c:v>163.52485100000001</c:v>
                </c:pt>
                <c:pt idx="135">
                  <c:v>57.018796610000003</c:v>
                </c:pt>
                <c:pt idx="136">
                  <c:v>48.206387999999997</c:v>
                </c:pt>
                <c:pt idx="137">
                  <c:v>50.32686254</c:v>
                </c:pt>
                <c:pt idx="138">
                  <c:v>50.32686254</c:v>
                </c:pt>
                <c:pt idx="139">
                  <c:v>47.543011270000001</c:v>
                </c:pt>
                <c:pt idx="140">
                  <c:v>41.835226169999999</c:v>
                </c:pt>
                <c:pt idx="141">
                  <c:v>41.835226169999999</c:v>
                </c:pt>
                <c:pt idx="142">
                  <c:v>46.314709980000003</c:v>
                </c:pt>
                <c:pt idx="143">
                  <c:v>56.019390420000001</c:v>
                </c:pt>
                <c:pt idx="144">
                  <c:v>101.02728279999999</c:v>
                </c:pt>
                <c:pt idx="145">
                  <c:v>155.51577209999999</c:v>
                </c:pt>
                <c:pt idx="146">
                  <c:v>155.51577209999999</c:v>
                </c:pt>
                <c:pt idx="147">
                  <c:v>56.019390420000001</c:v>
                </c:pt>
                <c:pt idx="148">
                  <c:v>48.172355099999997</c:v>
                </c:pt>
                <c:pt idx="149">
                  <c:v>50.320336650000002</c:v>
                </c:pt>
                <c:pt idx="150">
                  <c:v>50.320336650000002</c:v>
                </c:pt>
                <c:pt idx="151">
                  <c:v>47.51406309</c:v>
                </c:pt>
                <c:pt idx="152">
                  <c:v>41.857962829999998</c:v>
                </c:pt>
                <c:pt idx="153">
                  <c:v>41.857962829999998</c:v>
                </c:pt>
                <c:pt idx="154">
                  <c:v>46.347454259999999</c:v>
                </c:pt>
                <c:pt idx="155">
                  <c:v>54.785273279999998</c:v>
                </c:pt>
                <c:pt idx="156">
                  <c:v>97.5558604</c:v>
                </c:pt>
                <c:pt idx="157">
                  <c:v>145.99592559999999</c:v>
                </c:pt>
                <c:pt idx="158">
                  <c:v>145.99592559999999</c:v>
                </c:pt>
                <c:pt idx="159">
                  <c:v>54.785273279999998</c:v>
                </c:pt>
                <c:pt idx="160">
                  <c:v>48.179096860000001</c:v>
                </c:pt>
                <c:pt idx="161">
                  <c:v>50.344943149999999</c:v>
                </c:pt>
                <c:pt idx="162">
                  <c:v>50.344943149999999</c:v>
                </c:pt>
                <c:pt idx="163">
                  <c:v>47.472470049999998</c:v>
                </c:pt>
                <c:pt idx="164">
                  <c:v>41.819254440000002</c:v>
                </c:pt>
                <c:pt idx="165">
                  <c:v>41.819254440000002</c:v>
                </c:pt>
                <c:pt idx="166">
                  <c:v>46.364830099999999</c:v>
                </c:pt>
                <c:pt idx="167">
                  <c:v>56.348211910000003</c:v>
                </c:pt>
                <c:pt idx="168">
                  <c:v>102.08996550000001</c:v>
                </c:pt>
                <c:pt idx="169">
                  <c:v>158.10978119999999</c:v>
                </c:pt>
                <c:pt idx="170">
                  <c:v>158.10978119999999</c:v>
                </c:pt>
                <c:pt idx="171">
                  <c:v>56.348211910000003</c:v>
                </c:pt>
                <c:pt idx="172">
                  <c:v>48.214159109999997</c:v>
                </c:pt>
                <c:pt idx="173">
                  <c:v>50.359455420000003</c:v>
                </c:pt>
                <c:pt idx="174">
                  <c:v>50.359455420000003</c:v>
                </c:pt>
                <c:pt idx="175">
                  <c:v>48.311608300000003</c:v>
                </c:pt>
                <c:pt idx="176">
                  <c:v>42.662712560000003</c:v>
                </c:pt>
                <c:pt idx="177">
                  <c:v>42.662712560000003</c:v>
                </c:pt>
                <c:pt idx="178">
                  <c:v>47.220839869999999</c:v>
                </c:pt>
                <c:pt idx="179">
                  <c:v>59.278648250000003</c:v>
                </c:pt>
                <c:pt idx="180">
                  <c:v>107.58108249999999</c:v>
                </c:pt>
                <c:pt idx="181">
                  <c:v>171.14359540000001</c:v>
                </c:pt>
                <c:pt idx="182">
                  <c:v>171.14359540000001</c:v>
                </c:pt>
                <c:pt idx="183">
                  <c:v>59.278648250000003</c:v>
                </c:pt>
                <c:pt idx="184">
                  <c:v>49.610740900000003</c:v>
                </c:pt>
                <c:pt idx="185">
                  <c:v>51.339711940000001</c:v>
                </c:pt>
                <c:pt idx="186">
                  <c:v>51.339711940000001</c:v>
                </c:pt>
                <c:pt idx="187">
                  <c:v>48.278161849999996</c:v>
                </c:pt>
                <c:pt idx="188">
                  <c:v>42.681394259999998</c:v>
                </c:pt>
                <c:pt idx="189">
                  <c:v>42.681394259999998</c:v>
                </c:pt>
                <c:pt idx="190">
                  <c:v>47.235548139999999</c:v>
                </c:pt>
                <c:pt idx="191">
                  <c:v>60.213965199999997</c:v>
                </c:pt>
                <c:pt idx="192">
                  <c:v>110.5573703</c:v>
                </c:pt>
                <c:pt idx="193">
                  <c:v>180.9578376</c:v>
                </c:pt>
                <c:pt idx="194">
                  <c:v>180.9578376</c:v>
                </c:pt>
                <c:pt idx="195">
                  <c:v>60.213965199999997</c:v>
                </c:pt>
                <c:pt idx="196">
                  <c:v>49.635343859999999</c:v>
                </c:pt>
                <c:pt idx="197">
                  <c:v>51.334918649999999</c:v>
                </c:pt>
                <c:pt idx="198">
                  <c:v>51.334918649999999</c:v>
                </c:pt>
                <c:pt idx="199">
                  <c:v>48.241320610000002</c:v>
                </c:pt>
                <c:pt idx="200">
                  <c:v>42.643273039999997</c:v>
                </c:pt>
                <c:pt idx="201">
                  <c:v>42.643273039999997</c:v>
                </c:pt>
                <c:pt idx="202">
                  <c:v>47.271625739999998</c:v>
                </c:pt>
                <c:pt idx="203">
                  <c:v>60.133431620000003</c:v>
                </c:pt>
                <c:pt idx="204">
                  <c:v>110.1751727</c:v>
                </c:pt>
                <c:pt idx="205">
                  <c:v>180.10846520000001</c:v>
                </c:pt>
                <c:pt idx="206">
                  <c:v>180.10846520000001</c:v>
                </c:pt>
                <c:pt idx="207">
                  <c:v>60.133431620000003</c:v>
                </c:pt>
                <c:pt idx="208">
                  <c:v>49.71153984</c:v>
                </c:pt>
                <c:pt idx="209">
                  <c:v>51.330231499999996</c:v>
                </c:pt>
                <c:pt idx="210">
                  <c:v>51.330231499999996</c:v>
                </c:pt>
                <c:pt idx="211">
                  <c:v>48.23143288</c:v>
                </c:pt>
                <c:pt idx="212">
                  <c:v>42.634758580000003</c:v>
                </c:pt>
                <c:pt idx="213">
                  <c:v>42.634758580000003</c:v>
                </c:pt>
                <c:pt idx="214">
                  <c:v>47.3161731</c:v>
                </c:pt>
                <c:pt idx="215">
                  <c:v>60.237749559999997</c:v>
                </c:pt>
                <c:pt idx="216">
                  <c:v>110.4394211</c:v>
                </c:pt>
                <c:pt idx="217">
                  <c:v>180.73672049999999</c:v>
                </c:pt>
                <c:pt idx="218">
                  <c:v>180.73672049999999</c:v>
                </c:pt>
                <c:pt idx="219">
                  <c:v>60.237749559999997</c:v>
                </c:pt>
                <c:pt idx="220">
                  <c:v>49.706975929999999</c:v>
                </c:pt>
                <c:pt idx="221">
                  <c:v>51.336928190000002</c:v>
                </c:pt>
                <c:pt idx="222">
                  <c:v>51.336928190000002</c:v>
                </c:pt>
                <c:pt idx="223">
                  <c:v>48.193177519999999</c:v>
                </c:pt>
                <c:pt idx="224">
                  <c:v>42.626866929999998</c:v>
                </c:pt>
                <c:pt idx="225">
                  <c:v>42.626866929999998</c:v>
                </c:pt>
                <c:pt idx="226">
                  <c:v>47.346890139999999</c:v>
                </c:pt>
                <c:pt idx="227">
                  <c:v>57.747255699999997</c:v>
                </c:pt>
                <c:pt idx="228">
                  <c:v>104.0923138</c:v>
                </c:pt>
                <c:pt idx="229">
                  <c:v>162.35939680000001</c:v>
                </c:pt>
                <c:pt idx="230">
                  <c:v>162.35939680000001</c:v>
                </c:pt>
                <c:pt idx="231">
                  <c:v>57.747255699999997</c:v>
                </c:pt>
                <c:pt idx="232">
                  <c:v>49.720502250000003</c:v>
                </c:pt>
                <c:pt idx="233">
                  <c:v>51.332499489999996</c:v>
                </c:pt>
                <c:pt idx="234">
                  <c:v>51.332499489999996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FD-40E0-8135-D4508C5020A8}"/>
            </c:ext>
          </c:extLst>
        </c:ser>
        <c:ser>
          <c:idx val="1"/>
          <c:order val="1"/>
          <c:tx>
            <c:v>Enron's Curve - PJM East Hub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'Curve Comparison'!$G$4:$G$238</c:f>
              <c:numCache>
                <c:formatCode>mmm\-yy</c:formatCode>
                <c:ptCount val="235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  <c:pt idx="24">
                  <c:v>37408</c:v>
                </c:pt>
                <c:pt idx="25">
                  <c:v>37438</c:v>
                </c:pt>
                <c:pt idx="26">
                  <c:v>37469</c:v>
                </c:pt>
                <c:pt idx="27">
                  <c:v>37500</c:v>
                </c:pt>
                <c:pt idx="28">
                  <c:v>37530</c:v>
                </c:pt>
                <c:pt idx="29">
                  <c:v>37561</c:v>
                </c:pt>
                <c:pt idx="30">
                  <c:v>37591</c:v>
                </c:pt>
                <c:pt idx="31">
                  <c:v>37622</c:v>
                </c:pt>
                <c:pt idx="32">
                  <c:v>37653</c:v>
                </c:pt>
                <c:pt idx="33">
                  <c:v>37681</c:v>
                </c:pt>
                <c:pt idx="34">
                  <c:v>37712</c:v>
                </c:pt>
                <c:pt idx="35">
                  <c:v>37742</c:v>
                </c:pt>
                <c:pt idx="36">
                  <c:v>37773</c:v>
                </c:pt>
                <c:pt idx="37">
                  <c:v>37803</c:v>
                </c:pt>
                <c:pt idx="38">
                  <c:v>37834</c:v>
                </c:pt>
                <c:pt idx="39">
                  <c:v>37865</c:v>
                </c:pt>
                <c:pt idx="40">
                  <c:v>37895</c:v>
                </c:pt>
                <c:pt idx="41">
                  <c:v>37926</c:v>
                </c:pt>
                <c:pt idx="42">
                  <c:v>37956</c:v>
                </c:pt>
                <c:pt idx="43">
                  <c:v>37987</c:v>
                </c:pt>
                <c:pt idx="44">
                  <c:v>38018</c:v>
                </c:pt>
                <c:pt idx="45">
                  <c:v>38047</c:v>
                </c:pt>
                <c:pt idx="46">
                  <c:v>38078</c:v>
                </c:pt>
                <c:pt idx="47">
                  <c:v>38108</c:v>
                </c:pt>
                <c:pt idx="48">
                  <c:v>38139</c:v>
                </c:pt>
                <c:pt idx="49">
                  <c:v>38169</c:v>
                </c:pt>
                <c:pt idx="50">
                  <c:v>38200</c:v>
                </c:pt>
                <c:pt idx="51">
                  <c:v>38231</c:v>
                </c:pt>
                <c:pt idx="52">
                  <c:v>38261</c:v>
                </c:pt>
                <c:pt idx="53">
                  <c:v>38292</c:v>
                </c:pt>
                <c:pt idx="54">
                  <c:v>38322</c:v>
                </c:pt>
                <c:pt idx="55">
                  <c:v>38353</c:v>
                </c:pt>
                <c:pt idx="56">
                  <c:v>38384</c:v>
                </c:pt>
                <c:pt idx="57">
                  <c:v>38412</c:v>
                </c:pt>
                <c:pt idx="58">
                  <c:v>38443</c:v>
                </c:pt>
                <c:pt idx="59">
                  <c:v>38473</c:v>
                </c:pt>
                <c:pt idx="60">
                  <c:v>38504</c:v>
                </c:pt>
                <c:pt idx="61">
                  <c:v>38534</c:v>
                </c:pt>
                <c:pt idx="62">
                  <c:v>38565</c:v>
                </c:pt>
                <c:pt idx="63">
                  <c:v>38596</c:v>
                </c:pt>
                <c:pt idx="64">
                  <c:v>38626</c:v>
                </c:pt>
                <c:pt idx="65">
                  <c:v>38657</c:v>
                </c:pt>
                <c:pt idx="66">
                  <c:v>38687</c:v>
                </c:pt>
                <c:pt idx="67">
                  <c:v>38718</c:v>
                </c:pt>
                <c:pt idx="68">
                  <c:v>38749</c:v>
                </c:pt>
                <c:pt idx="69">
                  <c:v>38777</c:v>
                </c:pt>
                <c:pt idx="70">
                  <c:v>38808</c:v>
                </c:pt>
                <c:pt idx="71">
                  <c:v>38838</c:v>
                </c:pt>
                <c:pt idx="72">
                  <c:v>38869</c:v>
                </c:pt>
                <c:pt idx="73">
                  <c:v>38899</c:v>
                </c:pt>
                <c:pt idx="74">
                  <c:v>38930</c:v>
                </c:pt>
                <c:pt idx="75">
                  <c:v>38961</c:v>
                </c:pt>
                <c:pt idx="76">
                  <c:v>38991</c:v>
                </c:pt>
                <c:pt idx="77">
                  <c:v>39022</c:v>
                </c:pt>
                <c:pt idx="78">
                  <c:v>39052</c:v>
                </c:pt>
                <c:pt idx="79">
                  <c:v>39083</c:v>
                </c:pt>
                <c:pt idx="80">
                  <c:v>39114</c:v>
                </c:pt>
                <c:pt idx="81">
                  <c:v>39142</c:v>
                </c:pt>
                <c:pt idx="82">
                  <c:v>39173</c:v>
                </c:pt>
                <c:pt idx="83">
                  <c:v>39203</c:v>
                </c:pt>
                <c:pt idx="84">
                  <c:v>39234</c:v>
                </c:pt>
                <c:pt idx="85">
                  <c:v>39264</c:v>
                </c:pt>
                <c:pt idx="86">
                  <c:v>39295</c:v>
                </c:pt>
                <c:pt idx="87">
                  <c:v>39326</c:v>
                </c:pt>
                <c:pt idx="88">
                  <c:v>39356</c:v>
                </c:pt>
                <c:pt idx="89">
                  <c:v>39387</c:v>
                </c:pt>
                <c:pt idx="90">
                  <c:v>39417</c:v>
                </c:pt>
                <c:pt idx="91">
                  <c:v>39448</c:v>
                </c:pt>
                <c:pt idx="92">
                  <c:v>39479</c:v>
                </c:pt>
                <c:pt idx="93">
                  <c:v>39508</c:v>
                </c:pt>
                <c:pt idx="94">
                  <c:v>39539</c:v>
                </c:pt>
                <c:pt idx="95">
                  <c:v>39569</c:v>
                </c:pt>
                <c:pt idx="96">
                  <c:v>39600</c:v>
                </c:pt>
                <c:pt idx="97">
                  <c:v>39630</c:v>
                </c:pt>
                <c:pt idx="98">
                  <c:v>39661</c:v>
                </c:pt>
                <c:pt idx="99">
                  <c:v>39692</c:v>
                </c:pt>
                <c:pt idx="100">
                  <c:v>39722</c:v>
                </c:pt>
                <c:pt idx="101">
                  <c:v>39753</c:v>
                </c:pt>
                <c:pt idx="102">
                  <c:v>39783</c:v>
                </c:pt>
                <c:pt idx="103">
                  <c:v>39814</c:v>
                </c:pt>
                <c:pt idx="104">
                  <c:v>39845</c:v>
                </c:pt>
                <c:pt idx="105">
                  <c:v>39873</c:v>
                </c:pt>
                <c:pt idx="106">
                  <c:v>39904</c:v>
                </c:pt>
                <c:pt idx="107">
                  <c:v>39934</c:v>
                </c:pt>
                <c:pt idx="108">
                  <c:v>39965</c:v>
                </c:pt>
                <c:pt idx="109">
                  <c:v>39995</c:v>
                </c:pt>
                <c:pt idx="110">
                  <c:v>40026</c:v>
                </c:pt>
                <c:pt idx="111">
                  <c:v>40057</c:v>
                </c:pt>
                <c:pt idx="112">
                  <c:v>40087</c:v>
                </c:pt>
                <c:pt idx="113">
                  <c:v>40118</c:v>
                </c:pt>
                <c:pt idx="114">
                  <c:v>40148</c:v>
                </c:pt>
                <c:pt idx="115">
                  <c:v>40179</c:v>
                </c:pt>
                <c:pt idx="116">
                  <c:v>40210</c:v>
                </c:pt>
                <c:pt idx="117">
                  <c:v>40238</c:v>
                </c:pt>
                <c:pt idx="118">
                  <c:v>40269</c:v>
                </c:pt>
                <c:pt idx="119">
                  <c:v>40299</c:v>
                </c:pt>
                <c:pt idx="120">
                  <c:v>40330</c:v>
                </c:pt>
                <c:pt idx="121">
                  <c:v>40360</c:v>
                </c:pt>
                <c:pt idx="122">
                  <c:v>40391</c:v>
                </c:pt>
                <c:pt idx="123">
                  <c:v>40422</c:v>
                </c:pt>
                <c:pt idx="124">
                  <c:v>40452</c:v>
                </c:pt>
                <c:pt idx="125">
                  <c:v>40483</c:v>
                </c:pt>
                <c:pt idx="126">
                  <c:v>40513</c:v>
                </c:pt>
                <c:pt idx="127">
                  <c:v>40544</c:v>
                </c:pt>
                <c:pt idx="128">
                  <c:v>40575</c:v>
                </c:pt>
                <c:pt idx="129">
                  <c:v>40603</c:v>
                </c:pt>
                <c:pt idx="130">
                  <c:v>40634</c:v>
                </c:pt>
                <c:pt idx="131">
                  <c:v>40664</c:v>
                </c:pt>
                <c:pt idx="132">
                  <c:v>40695</c:v>
                </c:pt>
                <c:pt idx="133">
                  <c:v>40725</c:v>
                </c:pt>
                <c:pt idx="134">
                  <c:v>40756</c:v>
                </c:pt>
                <c:pt idx="135">
                  <c:v>40787</c:v>
                </c:pt>
                <c:pt idx="136">
                  <c:v>40817</c:v>
                </c:pt>
                <c:pt idx="137">
                  <c:v>40848</c:v>
                </c:pt>
                <c:pt idx="138">
                  <c:v>40878</c:v>
                </c:pt>
                <c:pt idx="139">
                  <c:v>40909</c:v>
                </c:pt>
                <c:pt idx="140">
                  <c:v>40940</c:v>
                </c:pt>
                <c:pt idx="141">
                  <c:v>40969</c:v>
                </c:pt>
                <c:pt idx="142">
                  <c:v>41000</c:v>
                </c:pt>
                <c:pt idx="143">
                  <c:v>41030</c:v>
                </c:pt>
                <c:pt idx="144">
                  <c:v>41061</c:v>
                </c:pt>
                <c:pt idx="145">
                  <c:v>41091</c:v>
                </c:pt>
                <c:pt idx="146">
                  <c:v>41122</c:v>
                </c:pt>
                <c:pt idx="147">
                  <c:v>41153</c:v>
                </c:pt>
                <c:pt idx="148">
                  <c:v>41183</c:v>
                </c:pt>
                <c:pt idx="149">
                  <c:v>41214</c:v>
                </c:pt>
                <c:pt idx="150">
                  <c:v>41244</c:v>
                </c:pt>
                <c:pt idx="151">
                  <c:v>41275</c:v>
                </c:pt>
                <c:pt idx="152">
                  <c:v>41306</c:v>
                </c:pt>
                <c:pt idx="153">
                  <c:v>41334</c:v>
                </c:pt>
                <c:pt idx="154">
                  <c:v>41365</c:v>
                </c:pt>
                <c:pt idx="155">
                  <c:v>41395</c:v>
                </c:pt>
                <c:pt idx="156">
                  <c:v>41426</c:v>
                </c:pt>
                <c:pt idx="157">
                  <c:v>41456</c:v>
                </c:pt>
                <c:pt idx="158">
                  <c:v>41487</c:v>
                </c:pt>
                <c:pt idx="159">
                  <c:v>41518</c:v>
                </c:pt>
                <c:pt idx="160">
                  <c:v>41548</c:v>
                </c:pt>
                <c:pt idx="161">
                  <c:v>41579</c:v>
                </c:pt>
                <c:pt idx="162">
                  <c:v>41609</c:v>
                </c:pt>
                <c:pt idx="163">
                  <c:v>41640</c:v>
                </c:pt>
                <c:pt idx="164">
                  <c:v>41671</c:v>
                </c:pt>
                <c:pt idx="165">
                  <c:v>41699</c:v>
                </c:pt>
                <c:pt idx="166">
                  <c:v>41730</c:v>
                </c:pt>
                <c:pt idx="167">
                  <c:v>41760</c:v>
                </c:pt>
                <c:pt idx="168">
                  <c:v>41791</c:v>
                </c:pt>
                <c:pt idx="169">
                  <c:v>41821</c:v>
                </c:pt>
                <c:pt idx="170">
                  <c:v>41852</c:v>
                </c:pt>
                <c:pt idx="171">
                  <c:v>41883</c:v>
                </c:pt>
                <c:pt idx="172">
                  <c:v>41913</c:v>
                </c:pt>
                <c:pt idx="173">
                  <c:v>41944</c:v>
                </c:pt>
                <c:pt idx="174">
                  <c:v>41974</c:v>
                </c:pt>
                <c:pt idx="175">
                  <c:v>42005</c:v>
                </c:pt>
                <c:pt idx="176">
                  <c:v>42036</c:v>
                </c:pt>
                <c:pt idx="177">
                  <c:v>42064</c:v>
                </c:pt>
                <c:pt idx="178">
                  <c:v>42095</c:v>
                </c:pt>
                <c:pt idx="179">
                  <c:v>42125</c:v>
                </c:pt>
                <c:pt idx="180">
                  <c:v>42156</c:v>
                </c:pt>
                <c:pt idx="181">
                  <c:v>42186</c:v>
                </c:pt>
                <c:pt idx="182">
                  <c:v>42217</c:v>
                </c:pt>
                <c:pt idx="183">
                  <c:v>42248</c:v>
                </c:pt>
                <c:pt idx="184">
                  <c:v>42278</c:v>
                </c:pt>
                <c:pt idx="185">
                  <c:v>42309</c:v>
                </c:pt>
                <c:pt idx="186">
                  <c:v>42339</c:v>
                </c:pt>
                <c:pt idx="187">
                  <c:v>42370</c:v>
                </c:pt>
                <c:pt idx="188">
                  <c:v>42401</c:v>
                </c:pt>
                <c:pt idx="189">
                  <c:v>42430</c:v>
                </c:pt>
                <c:pt idx="190">
                  <c:v>42461</c:v>
                </c:pt>
                <c:pt idx="191">
                  <c:v>42491</c:v>
                </c:pt>
                <c:pt idx="192">
                  <c:v>42522</c:v>
                </c:pt>
                <c:pt idx="193">
                  <c:v>42552</c:v>
                </c:pt>
                <c:pt idx="194">
                  <c:v>42583</c:v>
                </c:pt>
                <c:pt idx="195">
                  <c:v>42614</c:v>
                </c:pt>
                <c:pt idx="196">
                  <c:v>42644</c:v>
                </c:pt>
                <c:pt idx="197">
                  <c:v>42675</c:v>
                </c:pt>
                <c:pt idx="198">
                  <c:v>42705</c:v>
                </c:pt>
                <c:pt idx="199">
                  <c:v>42736</c:v>
                </c:pt>
                <c:pt idx="200">
                  <c:v>42767</c:v>
                </c:pt>
                <c:pt idx="201">
                  <c:v>42795</c:v>
                </c:pt>
                <c:pt idx="202">
                  <c:v>42826</c:v>
                </c:pt>
                <c:pt idx="203">
                  <c:v>42856</c:v>
                </c:pt>
                <c:pt idx="204">
                  <c:v>42887</c:v>
                </c:pt>
                <c:pt idx="205">
                  <c:v>42917</c:v>
                </c:pt>
                <c:pt idx="206">
                  <c:v>42948</c:v>
                </c:pt>
                <c:pt idx="207">
                  <c:v>42979</c:v>
                </c:pt>
                <c:pt idx="208">
                  <c:v>43009</c:v>
                </c:pt>
                <c:pt idx="209">
                  <c:v>43040</c:v>
                </c:pt>
                <c:pt idx="210">
                  <c:v>43070</c:v>
                </c:pt>
                <c:pt idx="211">
                  <c:v>43101</c:v>
                </c:pt>
                <c:pt idx="212">
                  <c:v>43132</c:v>
                </c:pt>
                <c:pt idx="213">
                  <c:v>43160</c:v>
                </c:pt>
                <c:pt idx="214">
                  <c:v>43191</c:v>
                </c:pt>
                <c:pt idx="215">
                  <c:v>43221</c:v>
                </c:pt>
                <c:pt idx="216">
                  <c:v>43252</c:v>
                </c:pt>
                <c:pt idx="217">
                  <c:v>43282</c:v>
                </c:pt>
                <c:pt idx="218">
                  <c:v>43313</c:v>
                </c:pt>
                <c:pt idx="219">
                  <c:v>43344</c:v>
                </c:pt>
                <c:pt idx="220">
                  <c:v>43374</c:v>
                </c:pt>
                <c:pt idx="221">
                  <c:v>43405</c:v>
                </c:pt>
                <c:pt idx="222">
                  <c:v>43435</c:v>
                </c:pt>
                <c:pt idx="223">
                  <c:v>43466</c:v>
                </c:pt>
                <c:pt idx="224">
                  <c:v>43497</c:v>
                </c:pt>
                <c:pt idx="225">
                  <c:v>43525</c:v>
                </c:pt>
                <c:pt idx="226">
                  <c:v>43556</c:v>
                </c:pt>
                <c:pt idx="227">
                  <c:v>43586</c:v>
                </c:pt>
                <c:pt idx="228">
                  <c:v>43617</c:v>
                </c:pt>
                <c:pt idx="229">
                  <c:v>43647</c:v>
                </c:pt>
                <c:pt idx="230">
                  <c:v>43678</c:v>
                </c:pt>
                <c:pt idx="231">
                  <c:v>43709</c:v>
                </c:pt>
                <c:pt idx="232">
                  <c:v>43739</c:v>
                </c:pt>
                <c:pt idx="233">
                  <c:v>43770</c:v>
                </c:pt>
                <c:pt idx="234">
                  <c:v>43800</c:v>
                </c:pt>
              </c:numCache>
            </c:numRef>
          </c:cat>
          <c:val>
            <c:numRef>
              <c:f>'Curve Comparison'!$I$4:$I$238</c:f>
              <c:numCache>
                <c:formatCode>_(* #,##0.000_);_(* \(#,##0.000\);_(* "-"??_);_(@_)</c:formatCode>
                <c:ptCount val="235"/>
                <c:pt idx="0">
                  <c:v>71.662938491251083</c:v>
                </c:pt>
                <c:pt idx="1">
                  <c:v>136.23057296609247</c:v>
                </c:pt>
                <c:pt idx="2">
                  <c:v>111.38109511546418</c:v>
                </c:pt>
                <c:pt idx="3">
                  <c:v>41.062843130248382</c:v>
                </c:pt>
                <c:pt idx="4">
                  <c:v>29.896752146244047</c:v>
                </c:pt>
                <c:pt idx="5">
                  <c:v>29.949248295736314</c:v>
                </c:pt>
                <c:pt idx="6">
                  <c:v>33.013261496810017</c:v>
                </c:pt>
                <c:pt idx="7">
                  <c:v>43.193518347371054</c:v>
                </c:pt>
                <c:pt idx="8">
                  <c:v>43.193518347371054</c:v>
                </c:pt>
                <c:pt idx="9">
                  <c:v>31.104955302906035</c:v>
                </c:pt>
                <c:pt idx="10">
                  <c:v>29.011316442349415</c:v>
                </c:pt>
                <c:pt idx="11">
                  <c:v>33.894704276056729</c:v>
                </c:pt>
                <c:pt idx="12">
                  <c:v>68.300361326435493</c:v>
                </c:pt>
                <c:pt idx="13">
                  <c:v>126.97345532605712</c:v>
                </c:pt>
                <c:pt idx="14">
                  <c:v>102.72834513780963</c:v>
                </c:pt>
                <c:pt idx="15">
                  <c:v>37.799761114469234</c:v>
                </c:pt>
                <c:pt idx="16">
                  <c:v>30.807163573122022</c:v>
                </c:pt>
                <c:pt idx="17">
                  <c:v>30.839389347267151</c:v>
                </c:pt>
                <c:pt idx="18">
                  <c:v>33.344901106602272</c:v>
                </c:pt>
                <c:pt idx="19">
                  <c:v>43.867938109475716</c:v>
                </c:pt>
                <c:pt idx="20">
                  <c:v>43.867938109475716</c:v>
                </c:pt>
                <c:pt idx="21">
                  <c:v>31.469822802906034</c:v>
                </c:pt>
                <c:pt idx="22">
                  <c:v>29.238188900428785</c:v>
                </c:pt>
                <c:pt idx="23">
                  <c:v>33.894704276056729</c:v>
                </c:pt>
                <c:pt idx="24">
                  <c:v>67.683375208916715</c:v>
                </c:pt>
                <c:pt idx="25">
                  <c:v>124.34732379899991</c:v>
                </c:pt>
                <c:pt idx="26">
                  <c:v>100.27366535565065</c:v>
                </c:pt>
                <c:pt idx="27">
                  <c:v>37.915268411266695</c:v>
                </c:pt>
                <c:pt idx="28">
                  <c:v>31.100844823122024</c:v>
                </c:pt>
                <c:pt idx="29">
                  <c:v>31.137095597267155</c:v>
                </c:pt>
                <c:pt idx="30">
                  <c:v>33.646392079175875</c:v>
                </c:pt>
                <c:pt idx="31">
                  <c:v>44.542357871580379</c:v>
                </c:pt>
                <c:pt idx="32">
                  <c:v>44.542357871580379</c:v>
                </c:pt>
                <c:pt idx="33">
                  <c:v>31.86509592790604</c:v>
                </c:pt>
                <c:pt idx="34">
                  <c:v>29.465061358508159</c:v>
                </c:pt>
                <c:pt idx="35">
                  <c:v>34.004484694764606</c:v>
                </c:pt>
                <c:pt idx="36">
                  <c:v>67.991868267676097</c:v>
                </c:pt>
                <c:pt idx="37">
                  <c:v>123.69079091723562</c:v>
                </c:pt>
                <c:pt idx="38">
                  <c:v>99.659995410110895</c:v>
                </c:pt>
                <c:pt idx="39">
                  <c:v>38.204036653260367</c:v>
                </c:pt>
                <c:pt idx="40">
                  <c:v>31.394526073122023</c:v>
                </c:pt>
                <c:pt idx="41">
                  <c:v>31.434801847267153</c:v>
                </c:pt>
                <c:pt idx="42">
                  <c:v>33.947883051749486</c:v>
                </c:pt>
                <c:pt idx="43">
                  <c:v>45.155466746220995</c:v>
                </c:pt>
                <c:pt idx="44">
                  <c:v>45.155466746220995</c:v>
                </c:pt>
                <c:pt idx="45">
                  <c:v>32.290774677906036</c:v>
                </c:pt>
                <c:pt idx="46">
                  <c:v>29.86208816014706</c:v>
                </c:pt>
                <c:pt idx="47">
                  <c:v>34.388716160242168</c:v>
                </c:pt>
                <c:pt idx="48">
                  <c:v>68.608854385194874</c:v>
                </c:pt>
                <c:pt idx="49">
                  <c:v>124.01905735811776</c:v>
                </c:pt>
                <c:pt idx="50">
                  <c:v>99.966830382880772</c:v>
                </c:pt>
                <c:pt idx="51">
                  <c:v>38.6083121920515</c:v>
                </c:pt>
                <c:pt idx="52">
                  <c:v>31.805679823122031</c:v>
                </c:pt>
                <c:pt idx="53">
                  <c:v>31.851590597267155</c:v>
                </c:pt>
                <c:pt idx="54">
                  <c:v>34.369970413352533</c:v>
                </c:pt>
                <c:pt idx="55">
                  <c:v>45.768575620861604</c:v>
                </c:pt>
                <c:pt idx="56">
                  <c:v>45.768575620861604</c:v>
                </c:pt>
                <c:pt idx="57">
                  <c:v>32.898887177906033</c:v>
                </c:pt>
                <c:pt idx="58">
                  <c:v>30.429269305345489</c:v>
                </c:pt>
                <c:pt idx="59">
                  <c:v>34.937618253781551</c:v>
                </c:pt>
                <c:pt idx="60">
                  <c:v>69.534333561473005</c:v>
                </c:pt>
                <c:pt idx="61">
                  <c:v>125.66038956252852</c:v>
                </c:pt>
                <c:pt idx="62">
                  <c:v>101.50100524673013</c:v>
                </c:pt>
                <c:pt idx="63">
                  <c:v>39.18584867603883</c:v>
                </c:pt>
                <c:pt idx="64">
                  <c:v>32.393042323122025</c:v>
                </c:pt>
                <c:pt idx="65">
                  <c:v>32.447003097267157</c:v>
                </c:pt>
                <c:pt idx="66">
                  <c:v>34.972952358499754</c:v>
                </c:pt>
                <c:pt idx="67">
                  <c:v>46.381684495502206</c:v>
                </c:pt>
                <c:pt idx="68">
                  <c:v>46.381684495502206</c:v>
                </c:pt>
                <c:pt idx="69">
                  <c:v>33.506999677906038</c:v>
                </c:pt>
                <c:pt idx="70">
                  <c:v>30.996450450543918</c:v>
                </c:pt>
                <c:pt idx="71">
                  <c:v>35.760971394090625</c:v>
                </c:pt>
                <c:pt idx="72">
                  <c:v>70.76830579651056</c:v>
                </c:pt>
                <c:pt idx="73">
                  <c:v>128.61478753046788</c:v>
                </c:pt>
                <c:pt idx="74">
                  <c:v>104.262520001659</c:v>
                </c:pt>
                <c:pt idx="75">
                  <c:v>39.763385160026154</c:v>
                </c:pt>
                <c:pt idx="76">
                  <c:v>32.980404823122029</c:v>
                </c:pt>
                <c:pt idx="77">
                  <c:v>33.042415597267158</c:v>
                </c:pt>
                <c:pt idx="78">
                  <c:v>35.575934303646967</c:v>
                </c:pt>
                <c:pt idx="79">
                  <c:v>46.994793370142816</c:v>
                </c:pt>
                <c:pt idx="80">
                  <c:v>46.994793370142816</c:v>
                </c:pt>
                <c:pt idx="81">
                  <c:v>34.115112177906042</c:v>
                </c:pt>
                <c:pt idx="82">
                  <c:v>31.563631595742347</c:v>
                </c:pt>
                <c:pt idx="83">
                  <c:v>36.85877558116939</c:v>
                </c:pt>
                <c:pt idx="84">
                  <c:v>72.310771090307469</c:v>
                </c:pt>
                <c:pt idx="85">
                  <c:v>131.56918549840722</c:v>
                </c:pt>
                <c:pt idx="86">
                  <c:v>107.02403475658787</c:v>
                </c:pt>
                <c:pt idx="87">
                  <c:v>40.340921644013484</c:v>
                </c:pt>
                <c:pt idx="88">
                  <c:v>33.567767323122027</c:v>
                </c:pt>
                <c:pt idx="89">
                  <c:v>33.637828097267153</c:v>
                </c:pt>
                <c:pt idx="90">
                  <c:v>36.178916248794181</c:v>
                </c:pt>
                <c:pt idx="91">
                  <c:v>47.607902244783425</c:v>
                </c:pt>
                <c:pt idx="92">
                  <c:v>47.607902244783425</c:v>
                </c:pt>
                <c:pt idx="93">
                  <c:v>34.723224677906039</c:v>
                </c:pt>
                <c:pt idx="94">
                  <c:v>32.130812740940776</c:v>
                </c:pt>
                <c:pt idx="95">
                  <c:v>38.231030815017846</c:v>
                </c:pt>
                <c:pt idx="96">
                  <c:v>73.853236384104392</c:v>
                </c:pt>
                <c:pt idx="97">
                  <c:v>134.52358346634657</c:v>
                </c:pt>
                <c:pt idx="98">
                  <c:v>109.78554951151672</c:v>
                </c:pt>
                <c:pt idx="99">
                  <c:v>40.918458128000815</c:v>
                </c:pt>
                <c:pt idx="100">
                  <c:v>34.155129823122024</c:v>
                </c:pt>
                <c:pt idx="101">
                  <c:v>34.233240597267155</c:v>
                </c:pt>
                <c:pt idx="102">
                  <c:v>36.781898193941402</c:v>
                </c:pt>
                <c:pt idx="103">
                  <c:v>48.221011119424034</c:v>
                </c:pt>
                <c:pt idx="104">
                  <c:v>48.221011119424034</c:v>
                </c:pt>
                <c:pt idx="105">
                  <c:v>35.331337177906036</c:v>
                </c:pt>
                <c:pt idx="106">
                  <c:v>32.697993886139209</c:v>
                </c:pt>
                <c:pt idx="107">
                  <c:v>39.603286048866288</c:v>
                </c:pt>
                <c:pt idx="108">
                  <c:v>75.395701677901314</c:v>
                </c:pt>
                <c:pt idx="109">
                  <c:v>137.47798143428594</c:v>
                </c:pt>
                <c:pt idx="110">
                  <c:v>112.5470642664456</c:v>
                </c:pt>
                <c:pt idx="111">
                  <c:v>41.495994611988145</c:v>
                </c:pt>
                <c:pt idx="112">
                  <c:v>34.742492323122029</c:v>
                </c:pt>
                <c:pt idx="113">
                  <c:v>34.828653097267157</c:v>
                </c:pt>
                <c:pt idx="114">
                  <c:v>37.384880139088608</c:v>
                </c:pt>
                <c:pt idx="115">
                  <c:v>48.834119994064636</c:v>
                </c:pt>
                <c:pt idx="116">
                  <c:v>48.834119994064636</c:v>
                </c:pt>
                <c:pt idx="117">
                  <c:v>35.93944967790604</c:v>
                </c:pt>
                <c:pt idx="118">
                  <c:v>33.265175031337634</c:v>
                </c:pt>
                <c:pt idx="119">
                  <c:v>40.975541282714737</c:v>
                </c:pt>
                <c:pt idx="120">
                  <c:v>76.938166971698237</c:v>
                </c:pt>
                <c:pt idx="121">
                  <c:v>140.43237940222531</c:v>
                </c:pt>
                <c:pt idx="122">
                  <c:v>115.30857902137446</c:v>
                </c:pt>
                <c:pt idx="123">
                  <c:v>42.073531095975476</c:v>
                </c:pt>
                <c:pt idx="124">
                  <c:v>35.329854823122027</c:v>
                </c:pt>
                <c:pt idx="125">
                  <c:v>35.424065597267152</c:v>
                </c:pt>
                <c:pt idx="126">
                  <c:v>37.987862084235829</c:v>
                </c:pt>
                <c:pt idx="127">
                  <c:v>49.140674431384944</c:v>
                </c:pt>
                <c:pt idx="128">
                  <c:v>49.140674431384944</c:v>
                </c:pt>
                <c:pt idx="129">
                  <c:v>36.243505927906035</c:v>
                </c:pt>
                <c:pt idx="130">
                  <c:v>33.54876560393685</c:v>
                </c:pt>
                <c:pt idx="131">
                  <c:v>41.249992329484428</c:v>
                </c:pt>
                <c:pt idx="132">
                  <c:v>77.863646147976382</c:v>
                </c:pt>
                <c:pt idx="133">
                  <c:v>143.38677737016465</c:v>
                </c:pt>
                <c:pt idx="134">
                  <c:v>118.07009377630331</c:v>
                </c:pt>
                <c:pt idx="135">
                  <c:v>42.651067579962799</c:v>
                </c:pt>
                <c:pt idx="136">
                  <c:v>35.623536073122025</c:v>
                </c:pt>
                <c:pt idx="137">
                  <c:v>35.721771847267156</c:v>
                </c:pt>
                <c:pt idx="138">
                  <c:v>38.289353056809432</c:v>
                </c:pt>
                <c:pt idx="139">
                  <c:v>49.447228868705253</c:v>
                </c:pt>
                <c:pt idx="140">
                  <c:v>49.447228868705253</c:v>
                </c:pt>
                <c:pt idx="141">
                  <c:v>36.547562177906038</c:v>
                </c:pt>
                <c:pt idx="142">
                  <c:v>33.832356176536067</c:v>
                </c:pt>
                <c:pt idx="143">
                  <c:v>41.524443376254119</c:v>
                </c:pt>
                <c:pt idx="144">
                  <c:v>78.789125324254542</c:v>
                </c:pt>
                <c:pt idx="145">
                  <c:v>146.34117533810399</c:v>
                </c:pt>
                <c:pt idx="146">
                  <c:v>120.83160853123218</c:v>
                </c:pt>
                <c:pt idx="147">
                  <c:v>43.228604063950129</c:v>
                </c:pt>
                <c:pt idx="148">
                  <c:v>35.917217323122024</c:v>
                </c:pt>
                <c:pt idx="149">
                  <c:v>36.019478097267154</c:v>
                </c:pt>
                <c:pt idx="150">
                  <c:v>38.590844029383035</c:v>
                </c:pt>
                <c:pt idx="151">
                  <c:v>49.753783306025554</c:v>
                </c:pt>
                <c:pt idx="152">
                  <c:v>49.753783306025554</c:v>
                </c:pt>
                <c:pt idx="153">
                  <c:v>36.85161842790604</c:v>
                </c:pt>
                <c:pt idx="154">
                  <c:v>34.115946749135276</c:v>
                </c:pt>
                <c:pt idx="155">
                  <c:v>41.79889442302381</c:v>
                </c:pt>
                <c:pt idx="156">
                  <c:v>79.714604500532701</c:v>
                </c:pt>
                <c:pt idx="157">
                  <c:v>149.29557330604337</c:v>
                </c:pt>
                <c:pt idx="158">
                  <c:v>123.59312328616105</c:v>
                </c:pt>
                <c:pt idx="159">
                  <c:v>43.80614054793746</c:v>
                </c:pt>
                <c:pt idx="160">
                  <c:v>36.210898573122023</c:v>
                </c:pt>
                <c:pt idx="161">
                  <c:v>36.317184347267158</c:v>
                </c:pt>
                <c:pt idx="162">
                  <c:v>38.892335001956646</c:v>
                </c:pt>
                <c:pt idx="163">
                  <c:v>50.060337743345862</c:v>
                </c:pt>
                <c:pt idx="164">
                  <c:v>50.060337743345862</c:v>
                </c:pt>
                <c:pt idx="165">
                  <c:v>37.155674677906035</c:v>
                </c:pt>
                <c:pt idx="166">
                  <c:v>34.399537321734492</c:v>
                </c:pt>
                <c:pt idx="167">
                  <c:v>42.073345469793502</c:v>
                </c:pt>
                <c:pt idx="168">
                  <c:v>80.64008367681086</c:v>
                </c:pt>
                <c:pt idx="169">
                  <c:v>152.24997127398271</c:v>
                </c:pt>
                <c:pt idx="170">
                  <c:v>126.3546380410899</c:v>
                </c:pt>
                <c:pt idx="171">
                  <c:v>44.38367703192479</c:v>
                </c:pt>
                <c:pt idx="172">
                  <c:v>36.504579823122029</c:v>
                </c:pt>
                <c:pt idx="173">
                  <c:v>36.614890597267149</c:v>
                </c:pt>
                <c:pt idx="174">
                  <c:v>39.193825974530256</c:v>
                </c:pt>
                <c:pt idx="175">
                  <c:v>50.366892180666163</c:v>
                </c:pt>
                <c:pt idx="176">
                  <c:v>50.366892180666163</c:v>
                </c:pt>
                <c:pt idx="177">
                  <c:v>37.459730927906037</c:v>
                </c:pt>
                <c:pt idx="178">
                  <c:v>34.683127894333708</c:v>
                </c:pt>
                <c:pt idx="179">
                  <c:v>42.347796516563193</c:v>
                </c:pt>
                <c:pt idx="180">
                  <c:v>81.565562853089006</c:v>
                </c:pt>
                <c:pt idx="181">
                  <c:v>155.20436924192205</c:v>
                </c:pt>
                <c:pt idx="182">
                  <c:v>129.11615279601878</c:v>
                </c:pt>
                <c:pt idx="183">
                  <c:v>44.961213515912121</c:v>
                </c:pt>
                <c:pt idx="184">
                  <c:v>36.798261073122028</c:v>
                </c:pt>
                <c:pt idx="185">
                  <c:v>36.912596847267153</c:v>
                </c:pt>
                <c:pt idx="186">
                  <c:v>39.495316947103859</c:v>
                </c:pt>
                <c:pt idx="187">
                  <c:v>50.673446617986471</c:v>
                </c:pt>
                <c:pt idx="188">
                  <c:v>50.673446617986471</c:v>
                </c:pt>
                <c:pt idx="189">
                  <c:v>37.763787177906039</c:v>
                </c:pt>
                <c:pt idx="190">
                  <c:v>34.966718466932925</c:v>
                </c:pt>
                <c:pt idx="191">
                  <c:v>42.622247563332877</c:v>
                </c:pt>
                <c:pt idx="192">
                  <c:v>82.491042029367151</c:v>
                </c:pt>
                <c:pt idx="193">
                  <c:v>158.15876720986142</c:v>
                </c:pt>
                <c:pt idx="194">
                  <c:v>131.87766755094762</c:v>
                </c:pt>
                <c:pt idx="195">
                  <c:v>45.538749999899451</c:v>
                </c:pt>
                <c:pt idx="196">
                  <c:v>37.091942323122026</c:v>
                </c:pt>
                <c:pt idx="197">
                  <c:v>37.210303097267158</c:v>
                </c:pt>
                <c:pt idx="198">
                  <c:v>39.79680791967747</c:v>
                </c:pt>
                <c:pt idx="199">
                  <c:v>50.980001055306772</c:v>
                </c:pt>
                <c:pt idx="200">
                  <c:v>50.980001055306772</c:v>
                </c:pt>
                <c:pt idx="201">
                  <c:v>38.067843427906041</c:v>
                </c:pt>
                <c:pt idx="202">
                  <c:v>35.250309039532141</c:v>
                </c:pt>
                <c:pt idx="203">
                  <c:v>42.896698610102575</c:v>
                </c:pt>
                <c:pt idx="204">
                  <c:v>83.416521205645296</c:v>
                </c:pt>
                <c:pt idx="205">
                  <c:v>161.11316517780077</c:v>
                </c:pt>
                <c:pt idx="206">
                  <c:v>134.63918230587652</c:v>
                </c:pt>
                <c:pt idx="207">
                  <c:v>46.116286483886782</c:v>
                </c:pt>
                <c:pt idx="208">
                  <c:v>37.385623573122025</c:v>
                </c:pt>
                <c:pt idx="209">
                  <c:v>37.508009347267155</c:v>
                </c:pt>
                <c:pt idx="210">
                  <c:v>40.09829889225108</c:v>
                </c:pt>
                <c:pt idx="211">
                  <c:v>51.286555492627073</c:v>
                </c:pt>
                <c:pt idx="212">
                  <c:v>51.286555492627073</c:v>
                </c:pt>
                <c:pt idx="213">
                  <c:v>38.371899677906043</c:v>
                </c:pt>
                <c:pt idx="214">
                  <c:v>35.53389961213135</c:v>
                </c:pt>
                <c:pt idx="215">
                  <c:v>43.171149656872267</c:v>
                </c:pt>
                <c:pt idx="216">
                  <c:v>84.342000381923455</c:v>
                </c:pt>
                <c:pt idx="217">
                  <c:v>164.06756314574017</c:v>
                </c:pt>
                <c:pt idx="218">
                  <c:v>137.40069706080536</c:v>
                </c:pt>
                <c:pt idx="219">
                  <c:v>46.116286483886782</c:v>
                </c:pt>
                <c:pt idx="220">
                  <c:v>37.385623573122025</c:v>
                </c:pt>
                <c:pt idx="221">
                  <c:v>37.508009347267155</c:v>
                </c:pt>
                <c:pt idx="222">
                  <c:v>40.09829889225108</c:v>
                </c:pt>
                <c:pt idx="223">
                  <c:v>51.286555492627073</c:v>
                </c:pt>
                <c:pt idx="224">
                  <c:v>51.286555492627073</c:v>
                </c:pt>
                <c:pt idx="225">
                  <c:v>38.371899677906043</c:v>
                </c:pt>
                <c:pt idx="226">
                  <c:v>35.53389961213135</c:v>
                </c:pt>
                <c:pt idx="227">
                  <c:v>43.171149656872267</c:v>
                </c:pt>
                <c:pt idx="228">
                  <c:v>84.342000381923455</c:v>
                </c:pt>
                <c:pt idx="229">
                  <c:v>164.06756314574017</c:v>
                </c:pt>
                <c:pt idx="230">
                  <c:v>137.40069706080536</c:v>
                </c:pt>
                <c:pt idx="231">
                  <c:v>46.116286483886782</c:v>
                </c:pt>
                <c:pt idx="232">
                  <c:v>37.385623573122025</c:v>
                </c:pt>
                <c:pt idx="233">
                  <c:v>37.508009347267155</c:v>
                </c:pt>
                <c:pt idx="234">
                  <c:v>40.09829889225108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FD-40E0-8135-D4508C502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12632"/>
        <c:axId val="1"/>
      </c:lineChart>
      <c:dateAx>
        <c:axId val="20201263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  <c:minorUnit val="3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.000_);_(* \(#,##0.00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012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3526490066225167"/>
          <c:y val="0.94565217391304335"/>
          <c:w val="0.39900662251655628"/>
          <c:h val="5.02717391304347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40" b="0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  <a:endParaRPr lang="en-US" sz="150" b="1" i="0" u="none" strike="noStrike" baseline="0">
              <a:solidFill>
                <a:srgbClr val="000000"/>
              </a:solidFill>
              <a:latin typeface="Arial Narrow"/>
            </a:endParaRP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1" u="none" strike="noStrike" baseline="0">
                <a:solidFill>
                  <a:srgbClr val="000000"/>
                </a:solidFill>
                <a:latin typeface="Arial Narrow"/>
              </a:rPr>
              <a:t>(Potential MTM Exposure)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 Shift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[1]Details!$BJ$5:$BJ$194</c:f>
              <c:numCache>
                <c:formatCode>General</c:formatCode>
                <c:ptCount val="190"/>
                <c:pt idx="0">
                  <c:v>975036.55819650367</c:v>
                </c:pt>
                <c:pt idx="1">
                  <c:v>975036.55819650367</c:v>
                </c:pt>
                <c:pt idx="2">
                  <c:v>975036.55819650367</c:v>
                </c:pt>
                <c:pt idx="3">
                  <c:v>975036.55819650367</c:v>
                </c:pt>
                <c:pt idx="4">
                  <c:v>975036.55819650367</c:v>
                </c:pt>
                <c:pt idx="5">
                  <c:v>975036.55819650367</c:v>
                </c:pt>
                <c:pt idx="6">
                  <c:v>975036.55819650367</c:v>
                </c:pt>
                <c:pt idx="7">
                  <c:v>975036.55819650367</c:v>
                </c:pt>
                <c:pt idx="8">
                  <c:v>975036.55819650367</c:v>
                </c:pt>
                <c:pt idx="9">
                  <c:v>975036.55819650367</c:v>
                </c:pt>
                <c:pt idx="10">
                  <c:v>981165.04535997845</c:v>
                </c:pt>
                <c:pt idx="11">
                  <c:v>988172.4916353561</c:v>
                </c:pt>
                <c:pt idx="12">
                  <c:v>1007100.4256436136</c:v>
                </c:pt>
                <c:pt idx="13">
                  <c:v>1030199.3556076996</c:v>
                </c:pt>
                <c:pt idx="14">
                  <c:v>1022076.1404552227</c:v>
                </c:pt>
                <c:pt idx="15">
                  <c:v>982064.27999464981</c:v>
                </c:pt>
                <c:pt idx="16">
                  <c:v>953468.92031057179</c:v>
                </c:pt>
                <c:pt idx="17">
                  <c:v>958759.81041801535</c:v>
                </c:pt>
                <c:pt idx="18">
                  <c:v>958202.67783046141</c:v>
                </c:pt>
                <c:pt idx="19">
                  <c:v>954736.31341589056</c:v>
                </c:pt>
                <c:pt idx="20">
                  <c:v>957189.05789299682</c:v>
                </c:pt>
                <c:pt idx="21">
                  <c:v>964866.1198037453</c:v>
                </c:pt>
                <c:pt idx="22">
                  <c:v>981393.39869495854</c:v>
                </c:pt>
                <c:pt idx="23">
                  <c:v>999621.30655038916</c:v>
                </c:pt>
                <c:pt idx="24">
                  <c:v>1026009.566918578</c:v>
                </c:pt>
                <c:pt idx="25">
                  <c:v>1046222.4614740582</c:v>
                </c:pt>
                <c:pt idx="26">
                  <c:v>1035101.2682018038</c:v>
                </c:pt>
                <c:pt idx="27">
                  <c:v>993988.89504383691</c:v>
                </c:pt>
                <c:pt idx="28">
                  <c:v>963755.75443063118</c:v>
                </c:pt>
                <c:pt idx="29">
                  <c:v>967177.01982827857</c:v>
                </c:pt>
                <c:pt idx="30">
                  <c:v>965154.93725783378</c:v>
                </c:pt>
                <c:pt idx="31">
                  <c:v>960354.87988791801</c:v>
                </c:pt>
                <c:pt idx="32">
                  <c:v>961188.91381756682</c:v>
                </c:pt>
                <c:pt idx="33">
                  <c:v>967084.40711896494</c:v>
                </c:pt>
                <c:pt idx="34">
                  <c:v>981165.59999447316</c:v>
                </c:pt>
                <c:pt idx="35">
                  <c:v>996898.41714305431</c:v>
                </c:pt>
                <c:pt idx="36">
                  <c:v>1020261.4192951387</c:v>
                </c:pt>
                <c:pt idx="37">
                  <c:v>1037871.7798742894</c:v>
                </c:pt>
                <c:pt idx="38">
                  <c:v>1024211.670532573</c:v>
                </c:pt>
                <c:pt idx="39">
                  <c:v>982383.60976884328</c:v>
                </c:pt>
                <c:pt idx="40">
                  <c:v>950901.16579079535</c:v>
                </c:pt>
                <c:pt idx="41">
                  <c:v>952710.64737679064</c:v>
                </c:pt>
                <c:pt idx="42">
                  <c:v>949457.89203235041</c:v>
                </c:pt>
                <c:pt idx="43">
                  <c:v>943557.3799468847</c:v>
                </c:pt>
                <c:pt idx="44">
                  <c:v>942954.3949857736</c:v>
                </c:pt>
                <c:pt idx="45">
                  <c:v>947246.9480807716</c:v>
                </c:pt>
                <c:pt idx="46">
                  <c:v>959101.69320845976</c:v>
                </c:pt>
                <c:pt idx="47">
                  <c:v>972558.19780713785</c:v>
                </c:pt>
                <c:pt idx="48">
                  <c:v>993143.33346648701</c:v>
                </c:pt>
                <c:pt idx="49">
                  <c:v>1008374.8083276413</c:v>
                </c:pt>
                <c:pt idx="50">
                  <c:v>992532.38881371357</c:v>
                </c:pt>
                <c:pt idx="51">
                  <c:v>950260.91979265958</c:v>
                </c:pt>
                <c:pt idx="52">
                  <c:v>917819.57414026931</c:v>
                </c:pt>
                <c:pt idx="53">
                  <c:v>918195.79849384632</c:v>
                </c:pt>
                <c:pt idx="54">
                  <c:v>913870.55630118307</c:v>
                </c:pt>
                <c:pt idx="55">
                  <c:v>907025.83538364712</c:v>
                </c:pt>
                <c:pt idx="56">
                  <c:v>904541.2480766587</c:v>
                </c:pt>
                <c:pt idx="57">
                  <c:v>906926.48758726008</c:v>
                </c:pt>
                <c:pt idx="58">
                  <c:v>916144.82301439717</c:v>
                </c:pt>
                <c:pt idx="59">
                  <c:v>926934.0202847058</c:v>
                </c:pt>
                <c:pt idx="60">
                  <c:v>944352.4450592082</c:v>
                </c:pt>
                <c:pt idx="61">
                  <c:v>956822.71246863063</c:v>
                </c:pt>
                <c:pt idx="62">
                  <c:v>938908.2002147967</c:v>
                </c:pt>
                <c:pt idx="63">
                  <c:v>896233.20451892447</c:v>
                </c:pt>
                <c:pt idx="64">
                  <c:v>862886.40522916615</c:v>
                </c:pt>
                <c:pt idx="65">
                  <c:v>861410.54639591649</c:v>
                </c:pt>
                <c:pt idx="66">
                  <c:v>855595.0727381194</c:v>
                </c:pt>
                <c:pt idx="67">
                  <c:v>847367.71731318161</c:v>
                </c:pt>
                <c:pt idx="68">
                  <c:v>843395.74266709387</c:v>
                </c:pt>
                <c:pt idx="69">
                  <c:v>844080.39248230401</c:v>
                </c:pt>
                <c:pt idx="70">
                  <c:v>851102.63304428104</c:v>
                </c:pt>
                <c:pt idx="71">
                  <c:v>859660.29564956482</c:v>
                </c:pt>
                <c:pt idx="72">
                  <c:v>874394.77665869333</c:v>
                </c:pt>
                <c:pt idx="73">
                  <c:v>884546.09221683908</c:v>
                </c:pt>
                <c:pt idx="74">
                  <c:v>865246.29996737558</c:v>
                </c:pt>
                <c:pt idx="75">
                  <c:v>822737.21144890971</c:v>
                </c:pt>
                <c:pt idx="76">
                  <c:v>789073.60941912513</c:v>
                </c:pt>
                <c:pt idx="77">
                  <c:v>786124.66424817219</c:v>
                </c:pt>
                <c:pt idx="78">
                  <c:v>779165.3070617076</c:v>
                </c:pt>
                <c:pt idx="79">
                  <c:v>769903.07665061951</c:v>
                </c:pt>
                <c:pt idx="80">
                  <c:v>765176.91178210266</c:v>
                </c:pt>
                <c:pt idx="81">
                  <c:v>764918.4372736644</c:v>
                </c:pt>
                <c:pt idx="82">
                  <c:v>770509.18733433727</c:v>
                </c:pt>
                <c:pt idx="83">
                  <c:v>777575.78316943906</c:v>
                </c:pt>
                <c:pt idx="84">
                  <c:v>790404.19518299773</c:v>
                </c:pt>
                <c:pt idx="85">
                  <c:v>798973.79553046729</c:v>
                </c:pt>
                <c:pt idx="86">
                  <c:v>778856.38308935892</c:v>
                </c:pt>
                <c:pt idx="87">
                  <c:v>736999.61005634069</c:v>
                </c:pt>
                <c:pt idx="88">
                  <c:v>703508.89363993704</c:v>
                </c:pt>
                <c:pt idx="89">
                  <c:v>699790.60808963235</c:v>
                </c:pt>
                <c:pt idx="90">
                  <c:v>692350.01804210106</c:v>
                </c:pt>
                <c:pt idx="91">
                  <c:v>682725.90913970815</c:v>
                </c:pt>
                <c:pt idx="92">
                  <c:v>677381.12200490991</c:v>
                </c:pt>
                <c:pt idx="93">
                  <c:v>676316.17015286023</c:v>
                </c:pt>
                <c:pt idx="94">
                  <c:v>680648.8294238667</c:v>
                </c:pt>
                <c:pt idx="95">
                  <c:v>686398.50545100449</c:v>
                </c:pt>
                <c:pt idx="96">
                  <c:v>697523.0915004639</c:v>
                </c:pt>
                <c:pt idx="97">
                  <c:v>704690.04711900419</c:v>
                </c:pt>
                <c:pt idx="98">
                  <c:v>684061.17582847085</c:v>
                </c:pt>
                <c:pt idx="99">
                  <c:v>643076.68201527139</c:v>
                </c:pt>
                <c:pt idx="100">
                  <c:v>609998.89348429115</c:v>
                </c:pt>
                <c:pt idx="101">
                  <c:v>605643.69338835124</c:v>
                </c:pt>
                <c:pt idx="102">
                  <c:v>597835.00717440993</c:v>
                </c:pt>
                <c:pt idx="103">
                  <c:v>587958.44012683863</c:v>
                </c:pt>
                <c:pt idx="104">
                  <c:v>582099.29600480339</c:v>
                </c:pt>
                <c:pt idx="105">
                  <c:v>580272.34383206163</c:v>
                </c:pt>
                <c:pt idx="106">
                  <c:v>583484.39218289126</c:v>
                </c:pt>
                <c:pt idx="107">
                  <c:v>588054.53100473853</c:v>
                </c:pt>
                <c:pt idx="108">
                  <c:v>597633.25016119145</c:v>
                </c:pt>
                <c:pt idx="109">
                  <c:v>603538.20559928007</c:v>
                </c:pt>
                <c:pt idx="110">
                  <c:v>583218.46250950731</c:v>
                </c:pt>
                <c:pt idx="111">
                  <c:v>543854.87051141635</c:v>
                </c:pt>
                <c:pt idx="112">
                  <c:v>511931.31824013544</c:v>
                </c:pt>
                <c:pt idx="113">
                  <c:v>507043.72119742492</c:v>
                </c:pt>
                <c:pt idx="114">
                  <c:v>498955.58840805013</c:v>
                </c:pt>
                <c:pt idx="115">
                  <c:v>488911.55538776657</c:v>
                </c:pt>
                <c:pt idx="116">
                  <c:v>482675.48473864002</c:v>
                </c:pt>
                <c:pt idx="117">
                  <c:v>480347.70406269003</c:v>
                </c:pt>
                <c:pt idx="118">
                  <c:v>482606.64616740076</c:v>
                </c:pt>
                <c:pt idx="119">
                  <c:v>486164.10077807633</c:v>
                </c:pt>
                <c:pt idx="120">
                  <c:v>494387.03522970062</c:v>
                </c:pt>
                <c:pt idx="121">
                  <c:v>499201.45772389416</c:v>
                </c:pt>
                <c:pt idx="122">
                  <c:v>479284.21800693823</c:v>
                </c:pt>
                <c:pt idx="123">
                  <c:v>441548.27848195308</c:v>
                </c:pt>
                <c:pt idx="124">
                  <c:v>410805.25668034982</c:v>
                </c:pt>
                <c:pt idx="125">
                  <c:v>405512.16901973728</c:v>
                </c:pt>
                <c:pt idx="126">
                  <c:v>397249.37423113827</c:v>
                </c:pt>
                <c:pt idx="127">
                  <c:v>387135.16332239378</c:v>
                </c:pt>
                <c:pt idx="128">
                  <c:v>380689.2224639398</c:v>
                </c:pt>
                <c:pt idx="129">
                  <c:v>377964.41096472205</c:v>
                </c:pt>
                <c:pt idx="130">
                  <c:v>379479.98188525485</c:v>
                </c:pt>
                <c:pt idx="131">
                  <c:v>382234.78756152606</c:v>
                </c:pt>
                <c:pt idx="132">
                  <c:v>389344.83621003153</c:v>
                </c:pt>
                <c:pt idx="133">
                  <c:v>391738.00468794256</c:v>
                </c:pt>
                <c:pt idx="134">
                  <c:v>376287.31456056889</c:v>
                </c:pt>
                <c:pt idx="135">
                  <c:v>348579.10880196397</c:v>
                </c:pt>
                <c:pt idx="136">
                  <c:v>326331.91189349908</c:v>
                </c:pt>
                <c:pt idx="137">
                  <c:v>322310.27038998436</c:v>
                </c:pt>
                <c:pt idx="138">
                  <c:v>316618.9218059401</c:v>
                </c:pt>
                <c:pt idx="139">
                  <c:v>309550.83973989356</c:v>
                </c:pt>
                <c:pt idx="140">
                  <c:v>305068.09301536391</c:v>
                </c:pt>
                <c:pt idx="141">
                  <c:v>303168.54584062379</c:v>
                </c:pt>
                <c:pt idx="142">
                  <c:v>303910.15683821822</c:v>
                </c:pt>
                <c:pt idx="143">
                  <c:v>305459.96167377243</c:v>
                </c:pt>
                <c:pt idx="144">
                  <c:v>309837.61918805796</c:v>
                </c:pt>
                <c:pt idx="145">
                  <c:v>311682.00362085039</c:v>
                </c:pt>
                <c:pt idx="146">
                  <c:v>296806.4297907541</c:v>
                </c:pt>
                <c:pt idx="147">
                  <c:v>270456.21244734991</c:v>
                </c:pt>
                <c:pt idx="148">
                  <c:v>249235.47100641811</c:v>
                </c:pt>
                <c:pt idx="149">
                  <c:v>245069.11295271199</c:v>
                </c:pt>
                <c:pt idx="150">
                  <c:v>239354.71018596995</c:v>
                </c:pt>
                <c:pt idx="151">
                  <c:v>232340.86479605967</c:v>
                </c:pt>
                <c:pt idx="152">
                  <c:v>227769.05906991567</c:v>
                </c:pt>
                <c:pt idx="153">
                  <c:v>225578.35109238187</c:v>
                </c:pt>
                <c:pt idx="154">
                  <c:v>225901.43519641575</c:v>
                </c:pt>
                <c:pt idx="155">
                  <c:v>226994.88363350672</c:v>
                </c:pt>
                <c:pt idx="156">
                  <c:v>230724.9489897422</c:v>
                </c:pt>
                <c:pt idx="157">
                  <c:v>232097.91235607862</c:v>
                </c:pt>
                <c:pt idx="158">
                  <c:v>217814.07924872171</c:v>
                </c:pt>
                <c:pt idx="159">
                  <c:v>192794.92463268596</c:v>
                </c:pt>
                <c:pt idx="160">
                  <c:v>172590.19734023919</c:v>
                </c:pt>
                <c:pt idx="161">
                  <c:v>168334.75760423264</c:v>
                </c:pt>
                <c:pt idx="162">
                  <c:v>162644.42004274786</c:v>
                </c:pt>
                <c:pt idx="163">
                  <c:v>155728.93047292496</c:v>
                </c:pt>
                <c:pt idx="164">
                  <c:v>151142.74880546972</c:v>
                </c:pt>
                <c:pt idx="165">
                  <c:v>148886.54925314314</c:v>
                </c:pt>
                <c:pt idx="166">
                  <c:v>148883.48084620968</c:v>
                </c:pt>
                <c:pt idx="167">
                  <c:v>149612.74525396538</c:v>
                </c:pt>
                <c:pt idx="168">
                  <c:v>152800.82244047732</c:v>
                </c:pt>
                <c:pt idx="169">
                  <c:v>153794.79454175872</c:v>
                </c:pt>
                <c:pt idx="170">
                  <c:v>140132.25242294965</c:v>
                </c:pt>
                <c:pt idx="171">
                  <c:v>116428.32842802478</c:v>
                </c:pt>
                <c:pt idx="172">
                  <c:v>97240.474075366743</c:v>
                </c:pt>
                <c:pt idx="173">
                  <c:v>92965.867491039622</c:v>
                </c:pt>
                <c:pt idx="174">
                  <c:v>87360.19147670659</c:v>
                </c:pt>
                <c:pt idx="175">
                  <c:v>80600.848032031616</c:v>
                </c:pt>
                <c:pt idx="176">
                  <c:v>76047.14572644711</c:v>
                </c:pt>
                <c:pt idx="177">
                  <c:v>73699.845432457281</c:v>
                </c:pt>
                <c:pt idx="178">
                  <c:v>73436.006267368153</c:v>
                </c:pt>
                <c:pt idx="179">
                  <c:v>73866.966981214704</c:v>
                </c:pt>
                <c:pt idx="180">
                  <c:v>76590.601286577061</c:v>
                </c:pt>
                <c:pt idx="181">
                  <c:v>77271.878138635948</c:v>
                </c:pt>
                <c:pt idx="182">
                  <c:v>64239.52808310432</c:v>
                </c:pt>
                <c:pt idx="183">
                  <c:v>41818.759329671389</c:v>
                </c:pt>
                <c:pt idx="184">
                  <c:v>23631.473326905601</c:v>
                </c:pt>
                <c:pt idx="185">
                  <c:v>19383.413684329964</c:v>
                </c:pt>
                <c:pt idx="186">
                  <c:v>13900.337048608242</c:v>
                </c:pt>
                <c:pt idx="187">
                  <c:v>7332.0653701154806</c:v>
                </c:pt>
                <c:pt idx="188">
                  <c:v>2855.1099976867117</c:v>
                </c:pt>
                <c:pt idx="189">
                  <c:v>463.55288938220838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A-40DA-906E-6A634D0E4BE1}"/>
            </c:ext>
          </c:extLst>
        </c:ser>
        <c:ser>
          <c:idx val="1"/>
          <c:order val="1"/>
          <c:tx>
            <c:v>1 Std. Dev. Shift Upward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[1]Details!$BK$5:$BK$194</c:f>
              <c:numCache>
                <c:formatCode>General</c:formatCode>
                <c:ptCount val="190"/>
                <c:pt idx="0">
                  <c:v>1098162.8274325021</c:v>
                </c:pt>
                <c:pt idx="1">
                  <c:v>1360968.2399776466</c:v>
                </c:pt>
                <c:pt idx="2">
                  <c:v>1510653.818501683</c:v>
                </c:pt>
                <c:pt idx="3">
                  <c:v>1626589.7763410117</c:v>
                </c:pt>
                <c:pt idx="4">
                  <c:v>1721644.9428000543</c:v>
                </c:pt>
                <c:pt idx="5">
                  <c:v>1808374.7027158923</c:v>
                </c:pt>
                <c:pt idx="6">
                  <c:v>1884302.9752778895</c:v>
                </c:pt>
                <c:pt idx="7">
                  <c:v>1956455.4864329062</c:v>
                </c:pt>
                <c:pt idx="8">
                  <c:v>2023506.6354934331</c:v>
                </c:pt>
                <c:pt idx="9">
                  <c:v>2082435.5557876416</c:v>
                </c:pt>
                <c:pt idx="10">
                  <c:v>2144901.0197993461</c:v>
                </c:pt>
                <c:pt idx="11">
                  <c:v>2203462.7914204672</c:v>
                </c:pt>
                <c:pt idx="12">
                  <c:v>2270384.7520813085</c:v>
                </c:pt>
                <c:pt idx="13">
                  <c:v>2333629.8178060353</c:v>
                </c:pt>
                <c:pt idx="14">
                  <c:v>2357855.4071580032</c:v>
                </c:pt>
                <c:pt idx="15">
                  <c:v>2340629.1995037012</c:v>
                </c:pt>
                <c:pt idx="16">
                  <c:v>2333371.1841321904</c:v>
                </c:pt>
                <c:pt idx="17">
                  <c:v>2365833.1923474167</c:v>
                </c:pt>
                <c:pt idx="18">
                  <c:v>2388313.9791247658</c:v>
                </c:pt>
                <c:pt idx="19">
                  <c:v>2411188.7071371693</c:v>
                </c:pt>
                <c:pt idx="20">
                  <c:v>2439214.3376269918</c:v>
                </c:pt>
                <c:pt idx="21">
                  <c:v>2469648.1474413313</c:v>
                </c:pt>
                <c:pt idx="22">
                  <c:v>2511499.9373930246</c:v>
                </c:pt>
                <c:pt idx="23">
                  <c:v>2553480.1554687712</c:v>
                </c:pt>
                <c:pt idx="24">
                  <c:v>2604704.3258124366</c:v>
                </c:pt>
                <c:pt idx="25">
                  <c:v>2646983.2477837233</c:v>
                </c:pt>
                <c:pt idx="26">
                  <c:v>2651498.2993245553</c:v>
                </c:pt>
                <c:pt idx="27">
                  <c:v>2618944.9966407232</c:v>
                </c:pt>
                <c:pt idx="28">
                  <c:v>2597647.6236549262</c:v>
                </c:pt>
                <c:pt idx="29">
                  <c:v>2616189.0433036778</c:v>
                </c:pt>
                <c:pt idx="30">
                  <c:v>2626827.7091235891</c:v>
                </c:pt>
                <c:pt idx="31">
                  <c:v>2633646.6922623459</c:v>
                </c:pt>
                <c:pt idx="32">
                  <c:v>2646288.3672416825</c:v>
                </c:pt>
                <c:pt idx="33">
                  <c:v>2663266.2393670324</c:v>
                </c:pt>
                <c:pt idx="34">
                  <c:v>2690566.4924404509</c:v>
                </c:pt>
                <c:pt idx="35">
                  <c:v>2718926.1957179159</c:v>
                </c:pt>
                <c:pt idx="36">
                  <c:v>2756325.7980434047</c:v>
                </c:pt>
                <c:pt idx="37">
                  <c:v>2785844.5697208242</c:v>
                </c:pt>
                <c:pt idx="38">
                  <c:v>2776539.0496689826</c:v>
                </c:pt>
                <c:pt idx="39">
                  <c:v>2731714.7118533403</c:v>
                </c:pt>
                <c:pt idx="40">
                  <c:v>2698645.5892153997</c:v>
                </c:pt>
                <c:pt idx="41">
                  <c:v>2706304.3067599889</c:v>
                </c:pt>
                <c:pt idx="42">
                  <c:v>2706953.0187819004</c:v>
                </c:pt>
                <c:pt idx="43">
                  <c:v>2703888.7704725321</c:v>
                </c:pt>
                <c:pt idx="44">
                  <c:v>2706733.7680955678</c:v>
                </c:pt>
                <c:pt idx="45">
                  <c:v>2714906.932229354</c:v>
                </c:pt>
                <c:pt idx="46">
                  <c:v>2732400.7844597362</c:v>
                </c:pt>
                <c:pt idx="47">
                  <c:v>2751416.5936892917</c:v>
                </c:pt>
                <c:pt idx="48">
                  <c:v>2779080.3466390129</c:v>
                </c:pt>
                <c:pt idx="49">
                  <c:v>2799597.7928614486</c:v>
                </c:pt>
                <c:pt idx="50">
                  <c:v>2780507.0528724352</c:v>
                </c:pt>
                <c:pt idx="51">
                  <c:v>2727420.6342208087</c:v>
                </c:pt>
                <c:pt idx="52">
                  <c:v>2686194.4083274575</c:v>
                </c:pt>
                <c:pt idx="53">
                  <c:v>2686143.0104091307</c:v>
                </c:pt>
                <c:pt idx="54">
                  <c:v>2679748.4151605871</c:v>
                </c:pt>
                <c:pt idx="55">
                  <c:v>2669712.2570528584</c:v>
                </c:pt>
                <c:pt idx="56">
                  <c:v>2664717.291915074</c:v>
                </c:pt>
                <c:pt idx="57">
                  <c:v>2665745.2352872565</c:v>
                </c:pt>
                <c:pt idx="58">
                  <c:v>2675075.2278162455</c:v>
                </c:pt>
                <c:pt idx="59">
                  <c:v>2686226.3410235634</c:v>
                </c:pt>
                <c:pt idx="60">
                  <c:v>2705550.0190017801</c:v>
                </c:pt>
                <c:pt idx="61">
                  <c:v>2718360.7782054404</c:v>
                </c:pt>
                <c:pt idx="62">
                  <c:v>2691537.6423213324</c:v>
                </c:pt>
                <c:pt idx="63">
                  <c:v>2632273.2432927014</c:v>
                </c:pt>
                <c:pt idx="64">
                  <c:v>2584772.8351061763</c:v>
                </c:pt>
                <c:pt idx="65">
                  <c:v>2578101.3087677965</c:v>
                </c:pt>
                <c:pt idx="66">
                  <c:v>2565667.3034673026</c:v>
                </c:pt>
                <c:pt idx="67">
                  <c:v>2549635.5507475641</c:v>
                </c:pt>
                <c:pt idx="68">
                  <c:v>2538728.5919760745</c:v>
                </c:pt>
                <c:pt idx="69">
                  <c:v>2534230.7872996088</c:v>
                </c:pt>
                <c:pt idx="70">
                  <c:v>2537214.1837110212</c:v>
                </c:pt>
                <c:pt idx="71">
                  <c:v>2542209.3944602711</c:v>
                </c:pt>
                <c:pt idx="72">
                  <c:v>2554910.3797545936</c:v>
                </c:pt>
                <c:pt idx="73">
                  <c:v>2561637.6559386896</c:v>
                </c:pt>
                <c:pt idx="74">
                  <c:v>2529166.5025549633</c:v>
                </c:pt>
                <c:pt idx="75">
                  <c:v>2465780.0027782004</c:v>
                </c:pt>
                <c:pt idx="76">
                  <c:v>2413953.1079441225</c:v>
                </c:pt>
                <c:pt idx="77">
                  <c:v>2402187.030132357</c:v>
                </c:pt>
                <c:pt idx="78">
                  <c:v>2385161.1971126739</c:v>
                </c:pt>
                <c:pt idx="79">
                  <c:v>2364600.5622966373</c:v>
                </c:pt>
                <c:pt idx="80">
                  <c:v>2349714.0127287023</c:v>
                </c:pt>
                <c:pt idx="81">
                  <c:v>2341434.7277012672</c:v>
                </c:pt>
                <c:pt idx="82">
                  <c:v>2339923.9470977513</c:v>
                </c:pt>
                <c:pt idx="83">
                  <c:v>2340527.3391109537</c:v>
                </c:pt>
                <c:pt idx="84">
                  <c:v>2348393.3578922004</c:v>
                </c:pt>
                <c:pt idx="85">
                  <c:v>2350749.590241448</c:v>
                </c:pt>
                <c:pt idx="86">
                  <c:v>2314239.5771816559</c:v>
                </c:pt>
                <c:pt idx="87">
                  <c:v>2248334.9036438046</c:v>
                </c:pt>
                <c:pt idx="88">
                  <c:v>2193693.5485373419</c:v>
                </c:pt>
                <c:pt idx="89">
                  <c:v>2178510.4652858432</c:v>
                </c:pt>
                <c:pt idx="90">
                  <c:v>2158494.8889618726</c:v>
                </c:pt>
                <c:pt idx="91">
                  <c:v>2135037.0442183185</c:v>
                </c:pt>
                <c:pt idx="92">
                  <c:v>2117059.6275614607</c:v>
                </c:pt>
                <c:pt idx="93">
                  <c:v>2105783.0472815046</c:v>
                </c:pt>
                <c:pt idx="94">
                  <c:v>2100628.5673266891</c:v>
                </c:pt>
                <c:pt idx="95">
                  <c:v>2097646.9301638743</c:v>
                </c:pt>
                <c:pt idx="96">
                  <c:v>2101498.3069531349</c:v>
                </c:pt>
                <c:pt idx="97">
                  <c:v>2100261.3192176768</c:v>
                </c:pt>
                <c:pt idx="98">
                  <c:v>2060760.5165827279</c:v>
                </c:pt>
                <c:pt idx="99">
                  <c:v>1993358.7133526425</c:v>
                </c:pt>
                <c:pt idx="100">
                  <c:v>1936879.4784371401</c:v>
                </c:pt>
                <c:pt idx="101">
                  <c:v>1919017.9204458864</c:v>
                </c:pt>
                <c:pt idx="102">
                  <c:v>1896713.0643407153</c:v>
                </c:pt>
                <c:pt idx="103">
                  <c:v>1871068.6120448783</c:v>
                </c:pt>
                <c:pt idx="104">
                  <c:v>1850672.3201656584</c:v>
                </c:pt>
                <c:pt idx="105">
                  <c:v>1836505.904384817</c:v>
                </c:pt>
                <c:pt idx="106">
                  <c:v>1828358.9320418295</c:v>
                </c:pt>
                <c:pt idx="107">
                  <c:v>1822412.8846774641</c:v>
                </c:pt>
                <c:pt idx="108">
                  <c:v>1822881.974228357</c:v>
                </c:pt>
                <c:pt idx="109">
                  <c:v>1818653.7181035522</c:v>
                </c:pt>
                <c:pt idx="110">
                  <c:v>1777788.084307462</c:v>
                </c:pt>
                <c:pt idx="111">
                  <c:v>1710493.2146060085</c:v>
                </c:pt>
                <c:pt idx="112">
                  <c:v>1653714.8834862853</c:v>
                </c:pt>
                <c:pt idx="113">
                  <c:v>1633753.7125261053</c:v>
                </c:pt>
                <c:pt idx="114">
                  <c:v>1609708.6537806038</c:v>
                </c:pt>
                <c:pt idx="115">
                  <c:v>1582434.2944432232</c:v>
                </c:pt>
                <c:pt idx="116">
                  <c:v>1560222.2390101864</c:v>
                </c:pt>
                <c:pt idx="117">
                  <c:v>1544687.2472865074</c:v>
                </c:pt>
                <c:pt idx="118">
                  <c:v>1534146.927721201</c:v>
                </c:pt>
                <c:pt idx="119">
                  <c:v>1525810.0836889567</c:v>
                </c:pt>
                <c:pt idx="120">
                  <c:v>1523487.5647711167</c:v>
                </c:pt>
                <c:pt idx="121">
                  <c:v>1516826.612044917</c:v>
                </c:pt>
                <c:pt idx="122">
                  <c:v>1475143.785925922</c:v>
                </c:pt>
                <c:pt idx="123">
                  <c:v>1408445.5469638302</c:v>
                </c:pt>
                <c:pt idx="124">
                  <c:v>1351833.6844355064</c:v>
                </c:pt>
                <c:pt idx="125">
                  <c:v>1330280.4880451076</c:v>
                </c:pt>
                <c:pt idx="126">
                  <c:v>1304964.5886098095</c:v>
                </c:pt>
                <c:pt idx="127">
                  <c:v>1276526.3460188569</c:v>
                </c:pt>
                <c:pt idx="128">
                  <c:v>1253038.0362150129</c:v>
                </c:pt>
                <c:pt idx="129">
                  <c:v>1236132.4308040489</c:v>
                </c:pt>
                <c:pt idx="130">
                  <c:v>1223745.9711784574</c:v>
                </c:pt>
                <c:pt idx="131">
                  <c:v>1213544.6121546598</c:v>
                </c:pt>
                <c:pt idx="132">
                  <c:v>1208986.7938125883</c:v>
                </c:pt>
                <c:pt idx="133">
                  <c:v>1202089.0821057628</c:v>
                </c:pt>
                <c:pt idx="134">
                  <c:v>1169621.0343899741</c:v>
                </c:pt>
                <c:pt idx="135">
                  <c:v>1119754.8682487658</c:v>
                </c:pt>
                <c:pt idx="136">
                  <c:v>1077868.6029002066</c:v>
                </c:pt>
                <c:pt idx="137">
                  <c:v>1061369.2328088251</c:v>
                </c:pt>
                <c:pt idx="138">
                  <c:v>1042820.8325230735</c:v>
                </c:pt>
                <c:pt idx="139">
                  <c:v>1021932.903119378</c:v>
                </c:pt>
                <c:pt idx="140">
                  <c:v>1004571.7847864525</c:v>
                </c:pt>
                <c:pt idx="141">
                  <c:v>991922.90144767682</c:v>
                </c:pt>
                <c:pt idx="142">
                  <c:v>981940.6770170154</c:v>
                </c:pt>
                <c:pt idx="143">
                  <c:v>973452.20823798981</c:v>
                </c:pt>
                <c:pt idx="144">
                  <c:v>968624.81295202719</c:v>
                </c:pt>
                <c:pt idx="145">
                  <c:v>960538.50391457416</c:v>
                </c:pt>
                <c:pt idx="146">
                  <c:v>928214.66371263261</c:v>
                </c:pt>
                <c:pt idx="147">
                  <c:v>879445.39968488156</c:v>
                </c:pt>
                <c:pt idx="148">
                  <c:v>838297.60952717881</c:v>
                </c:pt>
                <c:pt idx="149">
                  <c:v>821136.33775473689</c:v>
                </c:pt>
                <c:pt idx="150">
                  <c:v>802100.96132027428</c:v>
                </c:pt>
                <c:pt idx="151">
                  <c:v>780817.66443309002</c:v>
                </c:pt>
                <c:pt idx="152">
                  <c:v>762901.89109709044</c:v>
                </c:pt>
                <c:pt idx="153">
                  <c:v>749123.69819692476</c:v>
                </c:pt>
                <c:pt idx="154">
                  <c:v>738212.04714562232</c:v>
                </c:pt>
                <c:pt idx="155">
                  <c:v>728772.43032875168</c:v>
                </c:pt>
                <c:pt idx="156">
                  <c:v>722758.58024554374</c:v>
                </c:pt>
                <c:pt idx="157">
                  <c:v>713722.51616774034</c:v>
                </c:pt>
                <c:pt idx="158">
                  <c:v>681745.15121498983</c:v>
                </c:pt>
                <c:pt idx="159">
                  <c:v>634242.51229868107</c:v>
                </c:pt>
                <c:pt idx="160">
                  <c:v>594004.44284573302</c:v>
                </c:pt>
                <c:pt idx="161">
                  <c:v>576400.35982770927</c:v>
                </c:pt>
                <c:pt idx="162">
                  <c:v>557082.93514715903</c:v>
                </c:pt>
                <c:pt idx="163">
                  <c:v>535610.28839573788</c:v>
                </c:pt>
                <c:pt idx="164">
                  <c:v>517380.51915580279</c:v>
                </c:pt>
                <c:pt idx="165">
                  <c:v>503645.77060004952</c:v>
                </c:pt>
                <c:pt idx="166">
                  <c:v>492054.01396758039</c:v>
                </c:pt>
                <c:pt idx="167">
                  <c:v>481904.55798121763</c:v>
                </c:pt>
                <c:pt idx="168">
                  <c:v>474959.54978572461</c:v>
                </c:pt>
                <c:pt idx="169">
                  <c:v>465211.29156485037</c:v>
                </c:pt>
                <c:pt idx="170">
                  <c:v>433771.99545885168</c:v>
                </c:pt>
                <c:pt idx="171">
                  <c:v>387688.87913855584</c:v>
                </c:pt>
                <c:pt idx="172">
                  <c:v>348518.37987932493</c:v>
                </c:pt>
                <c:pt idx="173">
                  <c:v>330687.20660904469</c:v>
                </c:pt>
                <c:pt idx="174">
                  <c:v>311288.74378937576</c:v>
                </c:pt>
                <c:pt idx="175">
                  <c:v>289828.39775200735</c:v>
                </c:pt>
                <c:pt idx="176">
                  <c:v>271462.39651899028</c:v>
                </c:pt>
                <c:pt idx="177">
                  <c:v>257459.94832938199</c:v>
                </c:pt>
                <c:pt idx="178">
                  <c:v>245377.17067307071</c:v>
                </c:pt>
                <c:pt idx="179">
                  <c:v>234701.33104031743</c:v>
                </c:pt>
                <c:pt idx="180">
                  <c:v>227020.88052505173</c:v>
                </c:pt>
                <c:pt idx="181">
                  <c:v>216741.11068620527</c:v>
                </c:pt>
                <c:pt idx="182">
                  <c:v>185975.3325871691</c:v>
                </c:pt>
                <c:pt idx="183">
                  <c:v>141410.63391264429</c:v>
                </c:pt>
                <c:pt idx="184">
                  <c:v>103413.40828894914</c:v>
                </c:pt>
                <c:pt idx="185">
                  <c:v>85515.179242921047</c:v>
                </c:pt>
                <c:pt idx="186">
                  <c:v>66183.544934088481</c:v>
                </c:pt>
                <c:pt idx="187">
                  <c:v>44882.919049192918</c:v>
                </c:pt>
                <c:pt idx="188">
                  <c:v>26534.689081212564</c:v>
                </c:pt>
                <c:pt idx="189">
                  <c:v>12408.183516526329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A-40DA-906E-6A634D0E4BE1}"/>
            </c:ext>
          </c:extLst>
        </c:ser>
        <c:ser>
          <c:idx val="2"/>
          <c:order val="2"/>
          <c:tx>
            <c:v>2 Std. Dev. Shifts Upward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[1]Details!$BL$5:$BL$194</c:f>
              <c:numCache>
                <c:formatCode>General</c:formatCode>
                <c:ptCount val="190"/>
                <c:pt idx="0">
                  <c:v>1223735.0506431721</c:v>
                </c:pt>
                <c:pt idx="1">
                  <c:v>1771633.7627585195</c:v>
                </c:pt>
                <c:pt idx="2">
                  <c:v>2094476.4676592276</c:v>
                </c:pt>
                <c:pt idx="3">
                  <c:v>2350134.4682916552</c:v>
                </c:pt>
                <c:pt idx="4">
                  <c:v>2563507.4853900392</c:v>
                </c:pt>
                <c:pt idx="5">
                  <c:v>2761222.9887961298</c:v>
                </c:pt>
                <c:pt idx="6">
                  <c:v>2936741.4881186746</c:v>
                </c:pt>
                <c:pt idx="7">
                  <c:v>3105674.5028813872</c:v>
                </c:pt>
                <c:pt idx="8">
                  <c:v>3264571.2203702964</c:v>
                </c:pt>
                <c:pt idx="9">
                  <c:v>3405764.4941461962</c:v>
                </c:pt>
                <c:pt idx="10">
                  <c:v>3548698.200134797</c:v>
                </c:pt>
                <c:pt idx="11">
                  <c:v>3682173.1577390432</c:v>
                </c:pt>
                <c:pt idx="12">
                  <c:v>3820376.9800996687</c:v>
                </c:pt>
                <c:pt idx="13">
                  <c:v>3944855.8840860818</c:v>
                </c:pt>
                <c:pt idx="14">
                  <c:v>4020513.7098002927</c:v>
                </c:pt>
                <c:pt idx="15">
                  <c:v>4041918.4342556596</c:v>
                </c:pt>
                <c:pt idx="16">
                  <c:v>4071110.1195396855</c:v>
                </c:pt>
                <c:pt idx="17">
                  <c:v>4148457.7155260835</c:v>
                </c:pt>
                <c:pt idx="18">
                  <c:v>4209992.1870928798</c:v>
                </c:pt>
                <c:pt idx="19">
                  <c:v>4278751.0430811029</c:v>
                </c:pt>
                <c:pt idx="20">
                  <c:v>4351860.0904364958</c:v>
                </c:pt>
                <c:pt idx="21">
                  <c:v>4422729.800330786</c:v>
                </c:pt>
                <c:pt idx="22">
                  <c:v>4509693.9418239556</c:v>
                </c:pt>
                <c:pt idx="23">
                  <c:v>4594520.6163536534</c:v>
                </c:pt>
                <c:pt idx="24">
                  <c:v>4690584.7489732504</c:v>
                </c:pt>
                <c:pt idx="25">
                  <c:v>4773823.1582546113</c:v>
                </c:pt>
                <c:pt idx="26">
                  <c:v>4811249.9078083467</c:v>
                </c:pt>
                <c:pt idx="27">
                  <c:v>4802160.5329398755</c:v>
                </c:pt>
                <c:pt idx="28">
                  <c:v>4804416.1803129781</c:v>
                </c:pt>
                <c:pt idx="29">
                  <c:v>4855267.7774072457</c:v>
                </c:pt>
                <c:pt idx="30">
                  <c:v>4894548.6846185047</c:v>
                </c:pt>
                <c:pt idx="31">
                  <c:v>4928999.5333425999</c:v>
                </c:pt>
                <c:pt idx="32">
                  <c:v>4969560.1219106112</c:v>
                </c:pt>
                <c:pt idx="33">
                  <c:v>5012361.9084761739</c:v>
                </c:pt>
                <c:pt idx="34">
                  <c:v>5069615.1954428107</c:v>
                </c:pt>
                <c:pt idx="35">
                  <c:v>5126786.1722827591</c:v>
                </c:pt>
                <c:pt idx="36">
                  <c:v>5195405.1941317664</c:v>
                </c:pt>
                <c:pt idx="37">
                  <c:v>5252843.2259672964</c:v>
                </c:pt>
                <c:pt idx="38">
                  <c:v>5261167.8585448842</c:v>
                </c:pt>
                <c:pt idx="39">
                  <c:v>5223456.6752387732</c:v>
                </c:pt>
                <c:pt idx="40">
                  <c:v>5199018.5164028183</c:v>
                </c:pt>
                <c:pt idx="41">
                  <c:v>5226243.3669690415</c:v>
                </c:pt>
                <c:pt idx="42">
                  <c:v>5243272.1101432536</c:v>
                </c:pt>
                <c:pt idx="43">
                  <c:v>5255364.6609646864</c:v>
                </c:pt>
                <c:pt idx="44">
                  <c:v>5274207.2983036526</c:v>
                </c:pt>
                <c:pt idx="45">
                  <c:v>5297915.8496146286</c:v>
                </c:pt>
                <c:pt idx="46">
                  <c:v>5334554.6455613486</c:v>
                </c:pt>
                <c:pt idx="47">
                  <c:v>5372240.6383051323</c:v>
                </c:pt>
                <c:pt idx="48">
                  <c:v>5421165.7124937531</c:v>
                </c:pt>
                <c:pt idx="49">
                  <c:v>5459947.7719238773</c:v>
                </c:pt>
                <c:pt idx="50">
                  <c:v>5446736.7514959918</c:v>
                </c:pt>
                <c:pt idx="51">
                  <c:v>5388095.0062018</c:v>
                </c:pt>
                <c:pt idx="52">
                  <c:v>5343834.9342807001</c:v>
                </c:pt>
                <c:pt idx="53">
                  <c:v>5353532.124866019</c:v>
                </c:pt>
                <c:pt idx="54">
                  <c:v>5354001.6298406627</c:v>
                </c:pt>
                <c:pt idx="55">
                  <c:v>5349374.7541762954</c:v>
                </c:pt>
                <c:pt idx="56">
                  <c:v>5350734.1383194905</c:v>
                </c:pt>
                <c:pt idx="57">
                  <c:v>5359147.8110159412</c:v>
                </c:pt>
                <c:pt idx="58">
                  <c:v>5378706.4636161476</c:v>
                </c:pt>
                <c:pt idx="59">
                  <c:v>5400099.242353824</c:v>
                </c:pt>
                <c:pt idx="60">
                  <c:v>5432330.8735658545</c:v>
                </c:pt>
                <c:pt idx="61">
                  <c:v>5455270.8179886853</c:v>
                </c:pt>
                <c:pt idx="62">
                  <c:v>5424431.0265183048</c:v>
                </c:pt>
                <c:pt idx="63">
                  <c:v>5348984.0892049735</c:v>
                </c:pt>
                <c:pt idx="64">
                  <c:v>5288588.9920168612</c:v>
                </c:pt>
                <c:pt idx="65">
                  <c:v>5283250.0302498909</c:v>
                </c:pt>
                <c:pt idx="66">
                  <c:v>5269496.1081614038</c:v>
                </c:pt>
                <c:pt idx="67">
                  <c:v>5250454.7467109077</c:v>
                </c:pt>
                <c:pt idx="68">
                  <c:v>5237797.2097998643</c:v>
                </c:pt>
                <c:pt idx="69">
                  <c:v>5233347.0620949753</c:v>
                </c:pt>
                <c:pt idx="70">
                  <c:v>5239010.4683510568</c:v>
                </c:pt>
                <c:pt idx="71">
                  <c:v>5247079.2256819354</c:v>
                </c:pt>
                <c:pt idx="72">
                  <c:v>5265539.8569069961</c:v>
                </c:pt>
                <c:pt idx="73">
                  <c:v>5275430.8646423323</c:v>
                </c:pt>
                <c:pt idx="74">
                  <c:v>5230519.0340354787</c:v>
                </c:pt>
                <c:pt idx="75">
                  <c:v>5141967.2215664275</c:v>
                </c:pt>
                <c:pt idx="76">
                  <c:v>5068880.0888318988</c:v>
                </c:pt>
                <c:pt idx="77">
                  <c:v>5051232.4882626161</c:v>
                </c:pt>
                <c:pt idx="78">
                  <c:v>5025876.1709102094</c:v>
                </c:pt>
                <c:pt idx="79">
                  <c:v>4995092.9231656697</c:v>
                </c:pt>
                <c:pt idx="80">
                  <c:v>4971720.6487447433</c:v>
                </c:pt>
                <c:pt idx="81">
                  <c:v>4957581.1663485579</c:v>
                </c:pt>
                <c:pt idx="82">
                  <c:v>4952430.0164520117</c:v>
                </c:pt>
                <c:pt idx="83">
                  <c:v>4950099.0509590134</c:v>
                </c:pt>
                <c:pt idx="84">
                  <c:v>4957714.5820766268</c:v>
                </c:pt>
                <c:pt idx="85">
                  <c:v>4957386.0548893502</c:v>
                </c:pt>
                <c:pt idx="86">
                  <c:v>4901211.2586369114</c:v>
                </c:pt>
                <c:pt idx="87">
                  <c:v>4802513.1582589792</c:v>
                </c:pt>
                <c:pt idx="88">
                  <c:v>4719477.0172131024</c:v>
                </c:pt>
                <c:pt idx="89">
                  <c:v>4692377.2451763013</c:v>
                </c:pt>
                <c:pt idx="90">
                  <c:v>4658175.2011100668</c:v>
                </c:pt>
                <c:pt idx="91">
                  <c:v>4618472.7930952348</c:v>
                </c:pt>
                <c:pt idx="92">
                  <c:v>4586151.235586293</c:v>
                </c:pt>
                <c:pt idx="93">
                  <c:v>4563853.6213658061</c:v>
                </c:pt>
                <c:pt idx="94">
                  <c:v>4549507.6729242373</c:v>
                </c:pt>
                <c:pt idx="95">
                  <c:v>4538301.0120786065</c:v>
                </c:pt>
                <c:pt idx="96">
                  <c:v>4536580.6913051913</c:v>
                </c:pt>
                <c:pt idx="97">
                  <c:v>4527491.4509541802</c:v>
                </c:pt>
                <c:pt idx="98">
                  <c:v>4462005.2864829395</c:v>
                </c:pt>
                <c:pt idx="99">
                  <c:v>4355216.4049774725</c:v>
                </c:pt>
                <c:pt idx="100">
                  <c:v>4264151.6300767604</c:v>
                </c:pt>
                <c:pt idx="101">
                  <c:v>4229077.9817465143</c:v>
                </c:pt>
                <c:pt idx="102">
                  <c:v>4187461.4039030941</c:v>
                </c:pt>
                <c:pt idx="103">
                  <c:v>4140307.9807522176</c:v>
                </c:pt>
                <c:pt idx="104">
                  <c:v>4100416.7726933416</c:v>
                </c:pt>
                <c:pt idx="105">
                  <c:v>4070112.0776620461</c:v>
                </c:pt>
                <c:pt idx="106">
                  <c:v>4047841.7166536665</c:v>
                </c:pt>
                <c:pt idx="107">
                  <c:v>4028961.9170495672</c:v>
                </c:pt>
                <c:pt idx="108">
                  <c:v>4019099.4173785038</c:v>
                </c:pt>
                <c:pt idx="109">
                  <c:v>4002409.4379903786</c:v>
                </c:pt>
                <c:pt idx="110">
                  <c:v>3930400.2887074659</c:v>
                </c:pt>
                <c:pt idx="111">
                  <c:v>3818407.7078955276</c:v>
                </c:pt>
                <c:pt idx="112">
                  <c:v>3722047.3419839931</c:v>
                </c:pt>
                <c:pt idx="113">
                  <c:v>3680201.4281982267</c:v>
                </c:pt>
                <c:pt idx="114">
                  <c:v>3632335.9157223534</c:v>
                </c:pt>
                <c:pt idx="115">
                  <c:v>3578927.8876558789</c:v>
                </c:pt>
                <c:pt idx="116">
                  <c:v>3532703.663581626</c:v>
                </c:pt>
                <c:pt idx="117">
                  <c:v>3497584.4759304402</c:v>
                </c:pt>
                <c:pt idx="118">
                  <c:v>3468573.9017100488</c:v>
                </c:pt>
                <c:pt idx="119">
                  <c:v>3443145.6729410808</c:v>
                </c:pt>
                <c:pt idx="120">
                  <c:v>3426265.7141329059</c:v>
                </c:pt>
                <c:pt idx="121">
                  <c:v>3403059.4788964959</c:v>
                </c:pt>
                <c:pt idx="122">
                  <c:v>3325749.8606815394</c:v>
                </c:pt>
                <c:pt idx="123">
                  <c:v>3209803.3837620458</c:v>
                </c:pt>
                <c:pt idx="124">
                  <c:v>3109296.8019527248</c:v>
                </c:pt>
                <c:pt idx="125">
                  <c:v>3061735.6620365344</c:v>
                </c:pt>
                <c:pt idx="126">
                  <c:v>3008625.6300333235</c:v>
                </c:pt>
                <c:pt idx="127">
                  <c:v>2949975.438614036</c:v>
                </c:pt>
                <c:pt idx="128">
                  <c:v>2898514.278209399</c:v>
                </c:pt>
                <c:pt idx="129">
                  <c:v>2858492.0948450509</c:v>
                </c:pt>
                <c:pt idx="130">
                  <c:v>2823774.4979763608</c:v>
                </c:pt>
                <c:pt idx="131">
                  <c:v>2792778.0417599678</c:v>
                </c:pt>
                <c:pt idx="132">
                  <c:v>2769879.302327245</c:v>
                </c:pt>
                <c:pt idx="133">
                  <c:v>2748942.4674069555</c:v>
                </c:pt>
                <c:pt idx="134">
                  <c:v>2687682.0348701612</c:v>
                </c:pt>
                <c:pt idx="135">
                  <c:v>2598999.6349822977</c:v>
                </c:pt>
                <c:pt idx="136">
                  <c:v>2522817.4404213498</c:v>
                </c:pt>
                <c:pt idx="137">
                  <c:v>2485752.8802511115</c:v>
                </c:pt>
                <c:pt idx="138">
                  <c:v>2445678.0490376442</c:v>
                </c:pt>
                <c:pt idx="139">
                  <c:v>2401386.4810027173</c:v>
                </c:pt>
                <c:pt idx="140">
                  <c:v>2362317.2730265544</c:v>
                </c:pt>
                <c:pt idx="141">
                  <c:v>2331672.5493230373</c:v>
                </c:pt>
                <c:pt idx="142">
                  <c:v>2303953.5661430126</c:v>
                </c:pt>
                <c:pt idx="143">
                  <c:v>2278866.5993712633</c:v>
                </c:pt>
                <c:pt idx="144">
                  <c:v>2259077.5439261361</c:v>
                </c:pt>
                <c:pt idx="145">
                  <c:v>2234420.7138134637</c:v>
                </c:pt>
                <c:pt idx="146">
                  <c:v>2170735.8738907063</c:v>
                </c:pt>
                <c:pt idx="147">
                  <c:v>2080637.860705079</c:v>
                </c:pt>
                <c:pt idx="148">
                  <c:v>2002792.8068427113</c:v>
                </c:pt>
                <c:pt idx="149">
                  <c:v>1962574.5451058932</c:v>
                </c:pt>
                <c:pt idx="150">
                  <c:v>1919630.2491608963</c:v>
                </c:pt>
                <c:pt idx="151">
                  <c:v>1872510.7338340073</c:v>
                </c:pt>
                <c:pt idx="152">
                  <c:v>1830472.3436549797</c:v>
                </c:pt>
                <c:pt idx="153">
                  <c:v>1795806.0014335285</c:v>
                </c:pt>
                <c:pt idx="154">
                  <c:v>1764762.3503622459</c:v>
                </c:pt>
                <c:pt idx="155">
                  <c:v>1736421.992554371</c:v>
                </c:pt>
                <c:pt idx="156">
                  <c:v>1713072.9123253804</c:v>
                </c:pt>
                <c:pt idx="157">
                  <c:v>1685198.9983061012</c:v>
                </c:pt>
                <c:pt idx="158">
                  <c:v>1619632.9032395547</c:v>
                </c:pt>
                <c:pt idx="159">
                  <c:v>1528674.2968127383</c:v>
                </c:pt>
                <c:pt idx="160">
                  <c:v>1449689.0532848742</c:v>
                </c:pt>
                <c:pt idx="161">
                  <c:v>1406822.9375377316</c:v>
                </c:pt>
                <c:pt idx="162">
                  <c:v>1361496.0440549401</c:v>
                </c:pt>
                <c:pt idx="163">
                  <c:v>1312047.8796400409</c:v>
                </c:pt>
                <c:pt idx="164">
                  <c:v>1267581.268503699</c:v>
                </c:pt>
                <c:pt idx="165">
                  <c:v>1231775.614298512</c:v>
                </c:pt>
                <c:pt idx="166">
                  <c:v>1197941.3145983468</c:v>
                </c:pt>
                <c:pt idx="167">
                  <c:v>1166859.288967534</c:v>
                </c:pt>
                <c:pt idx="168">
                  <c:v>1140472.8480241024</c:v>
                </c:pt>
                <c:pt idx="169">
                  <c:v>1109884.9152033974</c:v>
                </c:pt>
                <c:pt idx="170">
                  <c:v>1042961.2045436435</c:v>
                </c:pt>
                <c:pt idx="171">
                  <c:v>951664.47931502701</c:v>
                </c:pt>
                <c:pt idx="172">
                  <c:v>872036.2035002138</c:v>
                </c:pt>
                <c:pt idx="173">
                  <c:v>827023.76956423535</c:v>
                </c:pt>
                <c:pt idx="174">
                  <c:v>779795.55533293239</c:v>
                </c:pt>
                <c:pt idx="175">
                  <c:v>728511.5530543864</c:v>
                </c:pt>
                <c:pt idx="176">
                  <c:v>682057.29514485714</c:v>
                </c:pt>
                <c:pt idx="177">
                  <c:v>644305.62459326966</c:v>
                </c:pt>
                <c:pt idx="178">
                  <c:v>608107.95781244966</c:v>
                </c:pt>
                <c:pt idx="179">
                  <c:v>574693.85273243929</c:v>
                </c:pt>
                <c:pt idx="180">
                  <c:v>545689.10516969278</c:v>
                </c:pt>
                <c:pt idx="181">
                  <c:v>512789.72132782469</c:v>
                </c:pt>
                <c:pt idx="182">
                  <c:v>444922.37936605932</c:v>
                </c:pt>
                <c:pt idx="183">
                  <c:v>353696.98150614911</c:v>
                </c:pt>
                <c:pt idx="184">
                  <c:v>273816.19304468716</c:v>
                </c:pt>
                <c:pt idx="185">
                  <c:v>227056.39737601799</c:v>
                </c:pt>
                <c:pt idx="186">
                  <c:v>178309.03679883588</c:v>
                </c:pt>
                <c:pt idx="187">
                  <c:v>125580.01071861325</c:v>
                </c:pt>
                <c:pt idx="188">
                  <c:v>77527.105650499521</c:v>
                </c:pt>
                <c:pt idx="189">
                  <c:v>38177.884604126579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A-40DA-906E-6A634D0E4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30456"/>
        <c:axId val="1"/>
      </c:lineChart>
      <c:catAx>
        <c:axId val="20923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7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09230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  <a:endParaRPr lang="en-US" sz="150" b="1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SP15 Curve Shift Analysis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SP15 Curve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[1]Details!$BO$5:$BO$194</c:f>
              <c:numCache>
                <c:formatCode>General</c:formatCode>
                <c:ptCount val="190"/>
                <c:pt idx="0">
                  <c:v>20.509663333333332</c:v>
                </c:pt>
                <c:pt idx="1">
                  <c:v>31.460445161290316</c:v>
                </c:pt>
                <c:pt idx="2">
                  <c:v>38.310170967741932</c:v>
                </c:pt>
                <c:pt idx="3">
                  <c:v>34.077733333333327</c:v>
                </c:pt>
                <c:pt idx="4">
                  <c:v>23.966481451612903</c:v>
                </c:pt>
                <c:pt idx="5">
                  <c:v>21.968045833333331</c:v>
                </c:pt>
                <c:pt idx="6">
                  <c:v>23.151037903225806</c:v>
                </c:pt>
                <c:pt idx="7">
                  <c:v>21.336875806451612</c:v>
                </c:pt>
                <c:pt idx="8">
                  <c:v>20.133046551724135</c:v>
                </c:pt>
                <c:pt idx="9">
                  <c:v>19.423949999999998</c:v>
                </c:pt>
                <c:pt idx="10">
                  <c:v>19.144816666666664</c:v>
                </c:pt>
                <c:pt idx="11">
                  <c:v>18.087840322580643</c:v>
                </c:pt>
                <c:pt idx="12">
                  <c:v>22.019263333333331</c:v>
                </c:pt>
                <c:pt idx="13">
                  <c:v>33.711875806451616</c:v>
                </c:pt>
                <c:pt idx="14">
                  <c:v>42.019272580645158</c:v>
                </c:pt>
                <c:pt idx="15">
                  <c:v>35.654608333333336</c:v>
                </c:pt>
                <c:pt idx="16">
                  <c:v>23.363110483870965</c:v>
                </c:pt>
                <c:pt idx="17">
                  <c:v>22.597004166666665</c:v>
                </c:pt>
                <c:pt idx="18">
                  <c:v>24.003246774193549</c:v>
                </c:pt>
                <c:pt idx="19">
                  <c:v>22.541704838709677</c:v>
                </c:pt>
                <c:pt idx="20">
                  <c:v>20.797671428571423</c:v>
                </c:pt>
                <c:pt idx="21">
                  <c:v>20.366949999999996</c:v>
                </c:pt>
                <c:pt idx="22">
                  <c:v>20.087816666666662</c:v>
                </c:pt>
                <c:pt idx="23">
                  <c:v>19.030840322580644</c:v>
                </c:pt>
                <c:pt idx="24">
                  <c:v>22.962263333333329</c:v>
                </c:pt>
                <c:pt idx="25">
                  <c:v>35.395875806451613</c:v>
                </c:pt>
                <c:pt idx="26">
                  <c:v>43.703272580645162</c:v>
                </c:pt>
                <c:pt idx="27">
                  <c:v>37.338608333333333</c:v>
                </c:pt>
                <c:pt idx="28">
                  <c:v>24.306110483870967</c:v>
                </c:pt>
                <c:pt idx="29">
                  <c:v>23.54000416666667</c:v>
                </c:pt>
                <c:pt idx="30">
                  <c:v>24.946246774193547</c:v>
                </c:pt>
                <c:pt idx="31">
                  <c:v>23.398704838709676</c:v>
                </c:pt>
                <c:pt idx="32">
                  <c:v>21.654671428571426</c:v>
                </c:pt>
                <c:pt idx="33">
                  <c:v>21.223949999999999</c:v>
                </c:pt>
                <c:pt idx="34">
                  <c:v>20.944816666666664</c:v>
                </c:pt>
                <c:pt idx="35">
                  <c:v>19.887840322580644</c:v>
                </c:pt>
                <c:pt idx="36">
                  <c:v>23.819263333333332</c:v>
                </c:pt>
                <c:pt idx="37">
                  <c:v>36.993875806451612</c:v>
                </c:pt>
                <c:pt idx="38">
                  <c:v>45.301272580645161</c:v>
                </c:pt>
                <c:pt idx="39">
                  <c:v>38.936608333333332</c:v>
                </c:pt>
                <c:pt idx="40">
                  <c:v>25.163110483870966</c:v>
                </c:pt>
                <c:pt idx="41">
                  <c:v>24.397004166666669</c:v>
                </c:pt>
                <c:pt idx="42">
                  <c:v>25.80324677419355</c:v>
                </c:pt>
                <c:pt idx="43">
                  <c:v>24.255704838709679</c:v>
                </c:pt>
                <c:pt idx="44">
                  <c:v>22.511671428571425</c:v>
                </c:pt>
                <c:pt idx="45">
                  <c:v>22.080949999999998</c:v>
                </c:pt>
                <c:pt idx="46">
                  <c:v>21.801816666666664</c:v>
                </c:pt>
                <c:pt idx="47">
                  <c:v>20.744840322580643</c:v>
                </c:pt>
                <c:pt idx="48">
                  <c:v>24.676263333333331</c:v>
                </c:pt>
                <c:pt idx="49">
                  <c:v>38.591875806451618</c:v>
                </c:pt>
                <c:pt idx="50">
                  <c:v>46.89927258064516</c:v>
                </c:pt>
                <c:pt idx="51">
                  <c:v>40.534608333333338</c:v>
                </c:pt>
                <c:pt idx="52">
                  <c:v>26.020110483870969</c:v>
                </c:pt>
                <c:pt idx="53">
                  <c:v>25.254004166666668</c:v>
                </c:pt>
                <c:pt idx="54">
                  <c:v>26.660246774193549</c:v>
                </c:pt>
                <c:pt idx="55">
                  <c:v>25.397704838709679</c:v>
                </c:pt>
                <c:pt idx="56">
                  <c:v>23.653671428571425</c:v>
                </c:pt>
                <c:pt idx="57">
                  <c:v>23.222949999999997</c:v>
                </c:pt>
                <c:pt idx="58">
                  <c:v>22.943816666666663</c:v>
                </c:pt>
                <c:pt idx="59">
                  <c:v>21.886840322580646</c:v>
                </c:pt>
                <c:pt idx="60">
                  <c:v>25.818263333333331</c:v>
                </c:pt>
                <c:pt idx="61">
                  <c:v>40.303875806451614</c:v>
                </c:pt>
                <c:pt idx="62">
                  <c:v>48.611272580645164</c:v>
                </c:pt>
                <c:pt idx="63">
                  <c:v>42.246608333333327</c:v>
                </c:pt>
                <c:pt idx="64">
                  <c:v>27.162110483870968</c:v>
                </c:pt>
                <c:pt idx="65">
                  <c:v>26.396004166666668</c:v>
                </c:pt>
                <c:pt idx="66">
                  <c:v>27.802246774193549</c:v>
                </c:pt>
                <c:pt idx="67">
                  <c:v>26.439704838709677</c:v>
                </c:pt>
                <c:pt idx="68">
                  <c:v>24.695671428571423</c:v>
                </c:pt>
                <c:pt idx="69">
                  <c:v>24.264949999999995</c:v>
                </c:pt>
                <c:pt idx="70">
                  <c:v>23.985816666666665</c:v>
                </c:pt>
                <c:pt idx="71">
                  <c:v>22.928840322580644</c:v>
                </c:pt>
                <c:pt idx="72">
                  <c:v>26.860263333333332</c:v>
                </c:pt>
                <c:pt idx="73">
                  <c:v>41.801875806451612</c:v>
                </c:pt>
                <c:pt idx="74">
                  <c:v>50.109272580645154</c:v>
                </c:pt>
                <c:pt idx="75">
                  <c:v>43.744608333333332</c:v>
                </c:pt>
                <c:pt idx="76">
                  <c:v>28.204110483870966</c:v>
                </c:pt>
                <c:pt idx="77">
                  <c:v>27.438004166666669</c:v>
                </c:pt>
                <c:pt idx="78">
                  <c:v>28.84424677419355</c:v>
                </c:pt>
                <c:pt idx="79">
                  <c:v>27.196704838709675</c:v>
                </c:pt>
                <c:pt idx="80">
                  <c:v>25.452671428571424</c:v>
                </c:pt>
                <c:pt idx="81">
                  <c:v>25.021949999999997</c:v>
                </c:pt>
                <c:pt idx="82">
                  <c:v>24.742816666666663</c:v>
                </c:pt>
                <c:pt idx="83">
                  <c:v>23.685840322580646</c:v>
                </c:pt>
                <c:pt idx="84">
                  <c:v>27.61726333333333</c:v>
                </c:pt>
                <c:pt idx="85">
                  <c:v>43.12887580645161</c:v>
                </c:pt>
                <c:pt idx="86">
                  <c:v>51.436272580645159</c:v>
                </c:pt>
                <c:pt idx="87">
                  <c:v>45.07160833333333</c:v>
                </c:pt>
                <c:pt idx="88">
                  <c:v>28.961110483870968</c:v>
                </c:pt>
                <c:pt idx="89">
                  <c:v>28.195004166666671</c:v>
                </c:pt>
                <c:pt idx="90">
                  <c:v>29.601246774193548</c:v>
                </c:pt>
                <c:pt idx="91">
                  <c:v>27.910704838709677</c:v>
                </c:pt>
                <c:pt idx="92">
                  <c:v>26.166671428571426</c:v>
                </c:pt>
                <c:pt idx="93">
                  <c:v>25.735949999999999</c:v>
                </c:pt>
                <c:pt idx="94">
                  <c:v>25.456816666666661</c:v>
                </c:pt>
                <c:pt idx="95">
                  <c:v>24.399840322580644</c:v>
                </c:pt>
                <c:pt idx="96">
                  <c:v>28.331263333333332</c:v>
                </c:pt>
                <c:pt idx="97">
                  <c:v>44.355875806451621</c:v>
                </c:pt>
                <c:pt idx="98">
                  <c:v>52.663272580645156</c:v>
                </c:pt>
                <c:pt idx="99">
                  <c:v>46.298608333333334</c:v>
                </c:pt>
                <c:pt idx="100">
                  <c:v>29.675110483870967</c:v>
                </c:pt>
                <c:pt idx="101">
                  <c:v>28.909004166666666</c:v>
                </c:pt>
                <c:pt idx="102">
                  <c:v>30.315246774193547</c:v>
                </c:pt>
                <c:pt idx="103">
                  <c:v>28.624704838709675</c:v>
                </c:pt>
                <c:pt idx="104">
                  <c:v>26.880671428571425</c:v>
                </c:pt>
                <c:pt idx="105">
                  <c:v>26.449950000000001</c:v>
                </c:pt>
                <c:pt idx="106">
                  <c:v>26.170816666666664</c:v>
                </c:pt>
                <c:pt idx="107">
                  <c:v>25.113840322580643</c:v>
                </c:pt>
                <c:pt idx="108">
                  <c:v>29.045263333333331</c:v>
                </c:pt>
                <c:pt idx="109">
                  <c:v>45.18387580645161</c:v>
                </c:pt>
                <c:pt idx="110">
                  <c:v>53.491272580645159</c:v>
                </c:pt>
                <c:pt idx="111">
                  <c:v>47.12660833333333</c:v>
                </c:pt>
                <c:pt idx="112">
                  <c:v>30.389110483870969</c:v>
                </c:pt>
                <c:pt idx="113">
                  <c:v>29.623004166666668</c:v>
                </c:pt>
                <c:pt idx="114">
                  <c:v>31.029246774193549</c:v>
                </c:pt>
                <c:pt idx="115">
                  <c:v>29.317204838709678</c:v>
                </c:pt>
                <c:pt idx="116">
                  <c:v>27.573171428571428</c:v>
                </c:pt>
                <c:pt idx="117">
                  <c:v>27.142449999999997</c:v>
                </c:pt>
                <c:pt idx="118">
                  <c:v>26.86331666666667</c:v>
                </c:pt>
                <c:pt idx="119">
                  <c:v>25.806340322580645</c:v>
                </c:pt>
                <c:pt idx="120">
                  <c:v>29.737763333333334</c:v>
                </c:pt>
                <c:pt idx="121">
                  <c:v>45.99037580645161</c:v>
                </c:pt>
                <c:pt idx="122">
                  <c:v>54.297772580645159</c:v>
                </c:pt>
                <c:pt idx="123">
                  <c:v>47.93310833333333</c:v>
                </c:pt>
                <c:pt idx="124">
                  <c:v>31.081610483870968</c:v>
                </c:pt>
                <c:pt idx="125">
                  <c:v>30.31550416666667</c:v>
                </c:pt>
                <c:pt idx="126">
                  <c:v>31.721746774193555</c:v>
                </c:pt>
                <c:pt idx="127">
                  <c:v>29.952704838709678</c:v>
                </c:pt>
                <c:pt idx="128">
                  <c:v>28.208671428571424</c:v>
                </c:pt>
                <c:pt idx="129">
                  <c:v>27.777949999999997</c:v>
                </c:pt>
                <c:pt idx="130">
                  <c:v>27.498816666666663</c:v>
                </c:pt>
                <c:pt idx="131">
                  <c:v>26.441840322580646</c:v>
                </c:pt>
                <c:pt idx="132">
                  <c:v>30.373263333333334</c:v>
                </c:pt>
                <c:pt idx="133">
                  <c:v>46.625875806451617</c:v>
                </c:pt>
                <c:pt idx="134">
                  <c:v>54.933272580645159</c:v>
                </c:pt>
                <c:pt idx="135">
                  <c:v>48.56860833333333</c:v>
                </c:pt>
                <c:pt idx="136">
                  <c:v>31.717110483870968</c:v>
                </c:pt>
                <c:pt idx="137">
                  <c:v>30.951004166666671</c:v>
                </c:pt>
                <c:pt idx="138">
                  <c:v>32.357246774193548</c:v>
                </c:pt>
                <c:pt idx="139">
                  <c:v>30.588204838709679</c:v>
                </c:pt>
                <c:pt idx="140">
                  <c:v>28.844171428571428</c:v>
                </c:pt>
                <c:pt idx="141">
                  <c:v>28.413449999999997</c:v>
                </c:pt>
                <c:pt idx="142">
                  <c:v>28.134316666666667</c:v>
                </c:pt>
                <c:pt idx="143">
                  <c:v>27.077340322580646</c:v>
                </c:pt>
                <c:pt idx="144">
                  <c:v>31.008763333333334</c:v>
                </c:pt>
                <c:pt idx="145">
                  <c:v>47.261375806451618</c:v>
                </c:pt>
                <c:pt idx="146">
                  <c:v>55.56877258064516</c:v>
                </c:pt>
                <c:pt idx="147">
                  <c:v>49.204108333333323</c:v>
                </c:pt>
                <c:pt idx="148">
                  <c:v>32.352610483870968</c:v>
                </c:pt>
                <c:pt idx="149">
                  <c:v>31.586504166666668</c:v>
                </c:pt>
                <c:pt idx="150">
                  <c:v>32.992746774193549</c:v>
                </c:pt>
                <c:pt idx="151">
                  <c:v>31.223704838709676</c:v>
                </c:pt>
                <c:pt idx="152">
                  <c:v>29.479671428571422</c:v>
                </c:pt>
                <c:pt idx="153">
                  <c:v>29.048950000000001</c:v>
                </c:pt>
                <c:pt idx="154">
                  <c:v>28.769816666666667</c:v>
                </c:pt>
                <c:pt idx="155">
                  <c:v>27.712840322580643</c:v>
                </c:pt>
                <c:pt idx="156">
                  <c:v>31.644263333333335</c:v>
                </c:pt>
                <c:pt idx="157">
                  <c:v>47.896875806451618</c:v>
                </c:pt>
                <c:pt idx="158">
                  <c:v>56.20427258064516</c:v>
                </c:pt>
                <c:pt idx="159">
                  <c:v>49.839608333333331</c:v>
                </c:pt>
                <c:pt idx="160">
                  <c:v>32.988110483870969</c:v>
                </c:pt>
                <c:pt idx="161">
                  <c:v>32.222004166666665</c:v>
                </c:pt>
                <c:pt idx="162">
                  <c:v>33.628246774193549</c:v>
                </c:pt>
                <c:pt idx="163">
                  <c:v>31.837704838709676</c:v>
                </c:pt>
                <c:pt idx="164">
                  <c:v>30.093671428571426</c:v>
                </c:pt>
                <c:pt idx="165">
                  <c:v>29.662949999999999</c:v>
                </c:pt>
                <c:pt idx="166">
                  <c:v>29.383816666666664</c:v>
                </c:pt>
                <c:pt idx="167">
                  <c:v>28.326840322580647</c:v>
                </c:pt>
                <c:pt idx="168">
                  <c:v>32.258263333333332</c:v>
                </c:pt>
                <c:pt idx="169">
                  <c:v>48.510875806451615</c:v>
                </c:pt>
                <c:pt idx="170">
                  <c:v>56.818272580645171</c:v>
                </c:pt>
                <c:pt idx="171">
                  <c:v>50.453608333333335</c:v>
                </c:pt>
                <c:pt idx="172">
                  <c:v>33.602110483870973</c:v>
                </c:pt>
                <c:pt idx="173">
                  <c:v>32.836004166666669</c:v>
                </c:pt>
                <c:pt idx="174">
                  <c:v>34.242246774193546</c:v>
                </c:pt>
                <c:pt idx="175">
                  <c:v>32.451704838709681</c:v>
                </c:pt>
                <c:pt idx="176">
                  <c:v>30.70767142857143</c:v>
                </c:pt>
                <c:pt idx="177">
                  <c:v>30.276949999999999</c:v>
                </c:pt>
                <c:pt idx="178">
                  <c:v>29.997816666666665</c:v>
                </c:pt>
                <c:pt idx="179">
                  <c:v>28.940840322580645</c:v>
                </c:pt>
                <c:pt idx="180">
                  <c:v>32.872263333333336</c:v>
                </c:pt>
                <c:pt idx="181">
                  <c:v>49.124875806451612</c:v>
                </c:pt>
                <c:pt idx="182">
                  <c:v>57.432272580645154</c:v>
                </c:pt>
                <c:pt idx="183">
                  <c:v>51.067608333333339</c:v>
                </c:pt>
                <c:pt idx="184">
                  <c:v>34.21611048387097</c:v>
                </c:pt>
                <c:pt idx="185">
                  <c:v>33.450004166666666</c:v>
                </c:pt>
                <c:pt idx="186">
                  <c:v>34.856246774193551</c:v>
                </c:pt>
                <c:pt idx="187">
                  <c:v>33.065704838709678</c:v>
                </c:pt>
                <c:pt idx="188">
                  <c:v>31.321671428571427</c:v>
                </c:pt>
                <c:pt idx="189">
                  <c:v>30.890949999999997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7-4D7E-94AC-1907E357061D}"/>
            </c:ext>
          </c:extLst>
        </c:ser>
        <c:ser>
          <c:idx val="1"/>
          <c:order val="1"/>
          <c:tx>
            <c:v>SP15 Curve Shifted 1 Std. Dev.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[1]Details!$BQ$5:$BQ$194</c:f>
              <c:numCache>
                <c:formatCode>General</c:formatCode>
                <c:ptCount val="190"/>
                <c:pt idx="0">
                  <c:v>22.863711781813635</c:v>
                </c:pt>
                <c:pt idx="1">
                  <c:v>34.128081842925639</c:v>
                </c:pt>
                <c:pt idx="2">
                  <c:v>42.859169562087892</c:v>
                </c:pt>
                <c:pt idx="3">
                  <c:v>38.578402749227479</c:v>
                </c:pt>
                <c:pt idx="4">
                  <c:v>27.426158573218274</c:v>
                </c:pt>
                <c:pt idx="5">
                  <c:v>25.283336589292457</c:v>
                </c:pt>
                <c:pt idx="6">
                  <c:v>26.738499548617142</c:v>
                </c:pt>
                <c:pt idx="7">
                  <c:v>24.766286911317</c:v>
                </c:pt>
                <c:pt idx="8">
                  <c:v>23.4742053618257</c:v>
                </c:pt>
                <c:pt idx="9">
                  <c:v>22.722151327546893</c:v>
                </c:pt>
                <c:pt idx="10">
                  <c:v>22.55660657187471</c:v>
                </c:pt>
                <c:pt idx="11">
                  <c:v>21.451310970654319</c:v>
                </c:pt>
                <c:pt idx="12">
                  <c:v>26.282067443140924</c:v>
                </c:pt>
                <c:pt idx="13">
                  <c:v>40.485048628542337</c:v>
                </c:pt>
                <c:pt idx="14">
                  <c:v>50.747570281331519</c:v>
                </c:pt>
                <c:pt idx="15">
                  <c:v>43.30248892180272</c:v>
                </c:pt>
                <c:pt idx="16">
                  <c:v>28.522433550866229</c:v>
                </c:pt>
                <c:pt idx="17">
                  <c:v>27.730192346383017</c:v>
                </c:pt>
                <c:pt idx="18">
                  <c:v>27.962269122091922</c:v>
                </c:pt>
                <c:pt idx="19">
                  <c:v>26.347382892953082</c:v>
                </c:pt>
                <c:pt idx="20">
                  <c:v>24.396208112343338</c:v>
                </c:pt>
                <c:pt idx="21">
                  <c:v>23.971593917899828</c:v>
                </c:pt>
                <c:pt idx="22">
                  <c:v>23.72323880148409</c:v>
                </c:pt>
                <c:pt idx="23">
                  <c:v>22.546769878508769</c:v>
                </c:pt>
                <c:pt idx="24">
                  <c:v>27.292025612175525</c:v>
                </c:pt>
                <c:pt idx="25">
                  <c:v>42.202046235832313</c:v>
                </c:pt>
                <c:pt idx="26">
                  <c:v>52.261199368711125</c:v>
                </c:pt>
                <c:pt idx="27">
                  <c:v>44.783739085726765</c:v>
                </c:pt>
                <c:pt idx="28">
                  <c:v>29.235104862923798</c:v>
                </c:pt>
                <c:pt idx="29">
                  <c:v>28.3946254540658</c:v>
                </c:pt>
                <c:pt idx="30">
                  <c:v>30.175102383141041</c:v>
                </c:pt>
                <c:pt idx="31">
                  <c:v>28.373317873092059</c:v>
                </c:pt>
                <c:pt idx="32">
                  <c:v>26.329154993538843</c:v>
                </c:pt>
                <c:pt idx="33">
                  <c:v>25.871345070384372</c:v>
                </c:pt>
                <c:pt idx="34">
                  <c:v>25.597179873798826</c:v>
                </c:pt>
                <c:pt idx="35">
                  <c:v>24.365183728224277</c:v>
                </c:pt>
                <c:pt idx="36">
                  <c:v>29.254495742551686</c:v>
                </c:pt>
                <c:pt idx="37">
                  <c:v>45.546710012011673</c:v>
                </c:pt>
                <c:pt idx="38">
                  <c:v>55.904722892612838</c:v>
                </c:pt>
                <c:pt idx="39">
                  <c:v>48.164079941375498</c:v>
                </c:pt>
                <c:pt idx="40">
                  <c:v>31.196583444892521</c:v>
                </c:pt>
                <c:pt idx="41">
                  <c:v>30.316081697878506</c:v>
                </c:pt>
                <c:pt idx="42">
                  <c:v>32.135778442159115</c:v>
                </c:pt>
                <c:pt idx="43">
                  <c:v>30.269021859485076</c:v>
                </c:pt>
                <c:pt idx="44">
                  <c:v>28.154076877795532</c:v>
                </c:pt>
                <c:pt idx="45">
                  <c:v>27.67298663281808</c:v>
                </c:pt>
                <c:pt idx="46">
                  <c:v>27.38117848659536</c:v>
                </c:pt>
                <c:pt idx="47">
                  <c:v>26.106470470041316</c:v>
                </c:pt>
                <c:pt idx="48">
                  <c:v>31.118058997936874</c:v>
                </c:pt>
                <c:pt idx="49">
                  <c:v>48.765352236843071</c:v>
                </c:pt>
                <c:pt idx="50">
                  <c:v>59.377758288862474</c:v>
                </c:pt>
                <c:pt idx="51">
                  <c:v>51.421202810530801</c:v>
                </c:pt>
                <c:pt idx="52">
                  <c:v>33.070840032556568</c:v>
                </c:pt>
                <c:pt idx="53">
                  <c:v>32.158992864107937</c:v>
                </c:pt>
                <c:pt idx="54">
                  <c:v>34.014298908096201</c:v>
                </c:pt>
                <c:pt idx="55">
                  <c:v>32.460419744165854</c:v>
                </c:pt>
                <c:pt idx="56">
                  <c:v>30.287475321725907</c:v>
                </c:pt>
                <c:pt idx="57">
                  <c:v>29.788675192621437</c:v>
                </c:pt>
                <c:pt idx="58">
                  <c:v>29.483886642566823</c:v>
                </c:pt>
                <c:pt idx="59">
                  <c:v>28.174288585353175</c:v>
                </c:pt>
                <c:pt idx="60">
                  <c:v>33.293816396466802</c:v>
                </c:pt>
                <c:pt idx="61">
                  <c:v>52.064407305995303</c:v>
                </c:pt>
                <c:pt idx="62">
                  <c:v>62.900743241324292</c:v>
                </c:pt>
                <c:pt idx="63">
                  <c:v>54.758423015715735</c:v>
                </c:pt>
                <c:pt idx="64">
                  <c:v>35.263949574834825</c:v>
                </c:pt>
                <c:pt idx="65">
                  <c:v>34.326495027980414</c:v>
                </c:pt>
                <c:pt idx="66">
                  <c:v>36.214869065091428</c:v>
                </c:pt>
                <c:pt idx="67">
                  <c:v>34.49080433698245</c:v>
                </c:pt>
                <c:pt idx="68">
                  <c:v>32.26773152609821</c:v>
                </c:pt>
                <c:pt idx="69">
                  <c:v>31.75397223755883</c:v>
                </c:pt>
                <c:pt idx="70">
                  <c:v>31.438319127818659</c:v>
                </c:pt>
                <c:pt idx="71">
                  <c:v>30.098441745241583</c:v>
                </c:pt>
                <c:pt idx="72">
                  <c:v>35.31378142213925</c:v>
                </c:pt>
                <c:pt idx="73">
                  <c:v>55.042077404673421</c:v>
                </c:pt>
                <c:pt idx="74">
                  <c:v>66.077605438369389</c:v>
                </c:pt>
                <c:pt idx="75">
                  <c:v>57.771355615292769</c:v>
                </c:pt>
                <c:pt idx="76">
                  <c:v>37.301389390908653</c:v>
                </c:pt>
                <c:pt idx="77">
                  <c:v>36.34161357326294</c:v>
                </c:pt>
                <c:pt idx="78">
                  <c:v>38.259887732064023</c:v>
                </c:pt>
                <c:pt idx="79">
                  <c:v>36.121604735586686</c:v>
                </c:pt>
                <c:pt idx="80">
                  <c:v>33.85363339243542</c:v>
                </c:pt>
                <c:pt idx="81">
                  <c:v>33.326410248694621</c:v>
                </c:pt>
                <c:pt idx="82">
                  <c:v>33.000923755844944</c:v>
                </c:pt>
                <c:pt idx="83">
                  <c:v>31.633715993281523</c:v>
                </c:pt>
                <c:pt idx="84">
                  <c:v>36.935199901782859</c:v>
                </c:pt>
                <c:pt idx="85">
                  <c:v>57.759153719369998</c:v>
                </c:pt>
                <c:pt idx="86">
                  <c:v>68.974847175160562</c:v>
                </c:pt>
                <c:pt idx="87">
                  <c:v>60.521068855047439</c:v>
                </c:pt>
                <c:pt idx="88">
                  <c:v>38.938322863079897</c:v>
                </c:pt>
                <c:pt idx="89">
                  <c:v>37.958254610919809</c:v>
                </c:pt>
                <c:pt idx="90">
                  <c:v>39.903504975281123</c:v>
                </c:pt>
                <c:pt idx="91">
                  <c:v>37.668615508813758</c:v>
                </c:pt>
                <c:pt idx="92">
                  <c:v>35.36021414606293</c:v>
                </c:pt>
                <c:pt idx="93">
                  <c:v>34.821026950722036</c:v>
                </c:pt>
                <c:pt idx="94">
                  <c:v>34.486854680614769</c:v>
                </c:pt>
                <c:pt idx="95">
                  <c:v>33.095005771428482</c:v>
                </c:pt>
                <c:pt idx="96">
                  <c:v>38.475157331279362</c:v>
                </c:pt>
                <c:pt idx="97">
                  <c:v>60.311492464510756</c:v>
                </c:pt>
                <c:pt idx="98">
                  <c:v>71.691839362420794</c:v>
                </c:pt>
                <c:pt idx="99">
                  <c:v>63.103805970646967</c:v>
                </c:pt>
                <c:pt idx="100">
                  <c:v>40.49343475341022</c:v>
                </c:pt>
                <c:pt idx="101">
                  <c:v>39.495051462053965</c:v>
                </c:pt>
                <c:pt idx="102">
                  <c:v>41.465197555091102</c:v>
                </c:pt>
                <c:pt idx="103">
                  <c:v>39.195830968179791</c:v>
                </c:pt>
                <c:pt idx="104">
                  <c:v>36.850560056296189</c:v>
                </c:pt>
                <c:pt idx="105">
                  <c:v>36.300602336417185</c:v>
                </c:pt>
                <c:pt idx="106">
                  <c:v>35.958660919433463</c:v>
                </c:pt>
                <c:pt idx="107">
                  <c:v>34.544336746977478</c:v>
                </c:pt>
                <c:pt idx="108">
                  <c:v>39.997114838732749</c:v>
                </c:pt>
                <c:pt idx="109">
                  <c:v>62.290618260198372</c:v>
                </c:pt>
                <c:pt idx="110">
                  <c:v>73.8224850887364</c:v>
                </c:pt>
                <c:pt idx="111">
                  <c:v>65.110405241150175</c:v>
                </c:pt>
                <c:pt idx="112">
                  <c:v>42.030230642613184</c:v>
                </c:pt>
                <c:pt idx="113">
                  <c:v>41.015143173991206</c:v>
                </c:pt>
                <c:pt idx="114">
                  <c:v>43.008486388542067</c:v>
                </c:pt>
                <c:pt idx="115">
                  <c:v>40.67475949775482</c:v>
                </c:pt>
                <c:pt idx="116">
                  <c:v>38.295726362184119</c:v>
                </c:pt>
                <c:pt idx="117">
                  <c:v>37.73598251593036</c:v>
                </c:pt>
                <c:pt idx="118">
                  <c:v>37.387008574230286</c:v>
                </c:pt>
                <c:pt idx="119">
                  <c:v>35.952089945351062</c:v>
                </c:pt>
                <c:pt idx="120">
                  <c:v>41.471903831064289</c:v>
                </c:pt>
                <c:pt idx="121">
                  <c:v>64.203296842877293</c:v>
                </c:pt>
                <c:pt idx="122">
                  <c:v>75.875170918190577</c:v>
                </c:pt>
                <c:pt idx="123">
                  <c:v>67.048903608719982</c:v>
                </c:pt>
                <c:pt idx="124">
                  <c:v>43.519199186837149</c:v>
                </c:pt>
                <c:pt idx="125">
                  <c:v>42.488800244372918</c:v>
                </c:pt>
                <c:pt idx="126">
                  <c:v>44.503687733673928</c:v>
                </c:pt>
                <c:pt idx="127">
                  <c:v>42.0591071040187</c:v>
                </c:pt>
                <c:pt idx="128">
                  <c:v>39.648809061115792</c:v>
                </c:pt>
                <c:pt idx="129">
                  <c:v>39.080017093518606</c:v>
                </c:pt>
                <c:pt idx="130">
                  <c:v>38.724542230603369</c:v>
                </c:pt>
                <c:pt idx="131">
                  <c:v>37.270522011643109</c:v>
                </c:pt>
                <c:pt idx="132">
                  <c:v>42.852616006260114</c:v>
                </c:pt>
                <c:pt idx="133">
                  <c:v>65.84490143924468</c:v>
                </c:pt>
                <c:pt idx="134">
                  <c:v>77.646883546483124</c:v>
                </c:pt>
                <c:pt idx="135">
                  <c:v>68.714442060080145</c:v>
                </c:pt>
                <c:pt idx="136">
                  <c:v>44.91321712944184</c:v>
                </c:pt>
                <c:pt idx="137">
                  <c:v>43.868598849736372</c:v>
                </c:pt>
                <c:pt idx="138">
                  <c:v>45.903561545812146</c:v>
                </c:pt>
                <c:pt idx="139">
                  <c:v>43.429421167785087</c:v>
                </c:pt>
                <c:pt idx="140">
                  <c:v>40.990094892610372</c:v>
                </c:pt>
                <c:pt idx="141">
                  <c:v>40.412950792828703</c:v>
                </c:pt>
                <c:pt idx="142">
                  <c:v>40.051492933104413</c:v>
                </c:pt>
                <c:pt idx="143">
                  <c:v>38.579734430225564</c:v>
                </c:pt>
                <c:pt idx="144">
                  <c:v>44.219972556359927</c:v>
                </c:pt>
                <c:pt idx="145">
                  <c:v>67.455706681908111</c:v>
                </c:pt>
                <c:pt idx="146">
                  <c:v>79.379236233338332</c:v>
                </c:pt>
                <c:pt idx="147">
                  <c:v>70.347876304108851</c:v>
                </c:pt>
                <c:pt idx="148">
                  <c:v>46.293299026020392</c:v>
                </c:pt>
                <c:pt idx="149">
                  <c:v>45.23547708617744</c:v>
                </c:pt>
                <c:pt idx="150">
                  <c:v>47.289262519913294</c:v>
                </c:pt>
                <c:pt idx="151">
                  <c:v>44.788776944327829</c:v>
                </c:pt>
                <c:pt idx="152">
                  <c:v>42.322311092255447</c:v>
                </c:pt>
                <c:pt idx="153">
                  <c:v>41.737390140621322</c:v>
                </c:pt>
                <c:pt idx="154">
                  <c:v>41.370372816105117</c:v>
                </c:pt>
                <c:pt idx="155">
                  <c:v>39.882025226116838</c:v>
                </c:pt>
                <c:pt idx="156">
                  <c:v>45.576844678089081</c:v>
                </c:pt>
                <c:pt idx="157">
                  <c:v>69.041044702932169</c:v>
                </c:pt>
                <c:pt idx="158">
                  <c:v>81.07874340677543</c:v>
                </c:pt>
                <c:pt idx="159">
                  <c:v>71.954661891961663</c:v>
                </c:pt>
                <c:pt idx="160">
                  <c:v>47.662320043631212</c:v>
                </c:pt>
                <c:pt idx="161">
                  <c:v>46.592148902550974</c:v>
                </c:pt>
                <c:pt idx="162">
                  <c:v>48.663660580721135</c:v>
                </c:pt>
                <c:pt idx="163">
                  <c:v>46.104990185758922</c:v>
                </c:pt>
                <c:pt idx="164">
                  <c:v>43.613182297528219</c:v>
                </c:pt>
                <c:pt idx="165">
                  <c:v>43.021006447343453</c:v>
                </c:pt>
                <c:pt idx="166">
                  <c:v>42.648803789972654</c:v>
                </c:pt>
                <c:pt idx="167">
                  <c:v>41.14495335531862</c:v>
                </c:pt>
                <c:pt idx="168">
                  <c:v>46.890829899597236</c:v>
                </c:pt>
                <c:pt idx="169">
                  <c:v>70.568775187532012</c:v>
                </c:pt>
                <c:pt idx="170">
                  <c:v>82.713353237153044</c:v>
                </c:pt>
                <c:pt idx="171">
                  <c:v>73.502572535527847</c:v>
                </c:pt>
                <c:pt idx="172">
                  <c:v>48.987732127394004</c:v>
                </c:pt>
                <c:pt idx="173">
                  <c:v>47.906013404256527</c:v>
                </c:pt>
                <c:pt idx="174">
                  <c:v>49.994133930524065</c:v>
                </c:pt>
                <c:pt idx="175">
                  <c:v>47.410997363703515</c:v>
                </c:pt>
                <c:pt idx="176">
                  <c:v>44.895414585259026</c:v>
                </c:pt>
                <c:pt idx="177">
                  <c:v>44.296446642207911</c:v>
                </c:pt>
                <c:pt idx="178">
                  <c:v>43.919394159518838</c:v>
                </c:pt>
                <c:pt idx="179">
                  <c:v>42.400994423317371</c:v>
                </c:pt>
                <c:pt idx="180">
                  <c:v>48.194879836758197</c:v>
                </c:pt>
                <c:pt idx="181">
                  <c:v>72.073792227583084</c:v>
                </c:pt>
                <c:pt idx="182">
                  <c:v>84.318917049182019</c:v>
                </c:pt>
                <c:pt idx="183">
                  <c:v>75.026674960169117</c:v>
                </c:pt>
                <c:pt idx="184">
                  <c:v>50.302621474062313</c:v>
                </c:pt>
                <c:pt idx="185">
                  <c:v>49.210063167462565</c:v>
                </c:pt>
                <c:pt idx="186">
                  <c:v>51.313829997948737</c:v>
                </c:pt>
                <c:pt idx="187">
                  <c:v>48.707692165322619</c:v>
                </c:pt>
                <c:pt idx="188">
                  <c:v>46.169753411670726</c:v>
                </c:pt>
                <c:pt idx="189">
                  <c:v>45.564406311580328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7-4D7E-94AC-1907E357061D}"/>
            </c:ext>
          </c:extLst>
        </c:ser>
        <c:ser>
          <c:idx val="2"/>
          <c:order val="2"/>
          <c:tx>
            <c:v>SP15 Curve Shifted 2 Std. Dev.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[1]Details!$BT$5:$BT$194</c:f>
              <c:numCache>
                <c:formatCode>General</c:formatCode>
                <c:ptCount val="190"/>
                <c:pt idx="0">
                  <c:v>25.657942338908043</c:v>
                </c:pt>
                <c:pt idx="1">
                  <c:v>37.155906868213215</c:v>
                </c:pt>
                <c:pt idx="2">
                  <c:v>48.290884730082091</c:v>
                </c:pt>
                <c:pt idx="3">
                  <c:v>44.060738545404007</c:v>
                </c:pt>
                <c:pt idx="4">
                  <c:v>31.718839284477287</c:v>
                </c:pt>
                <c:pt idx="5">
                  <c:v>29.43762546991119</c:v>
                </c:pt>
                <c:pt idx="6">
                  <c:v>31.261283538647287</c:v>
                </c:pt>
                <c:pt idx="7">
                  <c:v>29.127548846315438</c:v>
                </c:pt>
                <c:pt idx="8">
                  <c:v>27.75687429707002</c:v>
                </c:pt>
                <c:pt idx="9">
                  <c:v>26.974393611184855</c:v>
                </c:pt>
                <c:pt idx="10">
                  <c:v>27.011617268984871</c:v>
                </c:pt>
                <c:pt idx="11">
                  <c:v>25.895108719153527</c:v>
                </c:pt>
                <c:pt idx="12">
                  <c:v>31.979890031624066</c:v>
                </c:pt>
                <c:pt idx="13">
                  <c:v>49.639915829994671</c:v>
                </c:pt>
                <c:pt idx="14">
                  <c:v>62.668472424711773</c:v>
                </c:pt>
                <c:pt idx="15">
                  <c:v>53.85686917792615</c:v>
                </c:pt>
                <c:pt idx="16">
                  <c:v>35.712154596830764</c:v>
                </c:pt>
                <c:pt idx="17">
                  <c:v>34.953637970809176</c:v>
                </c:pt>
                <c:pt idx="18">
                  <c:v>33.029125858631978</c:v>
                </c:pt>
                <c:pt idx="19">
                  <c:v>31.246690724418492</c:v>
                </c:pt>
                <c:pt idx="20">
                  <c:v>29.058339733922537</c:v>
                </c:pt>
                <c:pt idx="21">
                  <c:v>28.669704838758602</c:v>
                </c:pt>
                <c:pt idx="22">
                  <c:v>28.490209889560806</c:v>
                </c:pt>
                <c:pt idx="23">
                  <c:v>27.183518377314474</c:v>
                </c:pt>
                <c:pt idx="24">
                  <c:v>33.035192653042458</c:v>
                </c:pt>
                <c:pt idx="25">
                  <c:v>51.281341877283474</c:v>
                </c:pt>
                <c:pt idx="26">
                  <c:v>63.738869350639796</c:v>
                </c:pt>
                <c:pt idx="27">
                  <c:v>54.823552408905414</c:v>
                </c:pt>
                <c:pt idx="28">
                  <c:v>35.916415474303292</c:v>
                </c:pt>
                <c:pt idx="29">
                  <c:v>35.009823783461457</c:v>
                </c:pt>
                <c:pt idx="30">
                  <c:v>37.337178044262956</c:v>
                </c:pt>
                <c:pt idx="31">
                  <c:v>35.218528217164007</c:v>
                </c:pt>
                <c:pt idx="32">
                  <c:v>32.793671907986955</c:v>
                </c:pt>
                <c:pt idx="33">
                  <c:v>32.329139931355748</c:v>
                </c:pt>
                <c:pt idx="34">
                  <c:v>32.093350104861479</c:v>
                </c:pt>
                <c:pt idx="35">
                  <c:v>30.645991538917691</c:v>
                </c:pt>
                <c:pt idx="36">
                  <c:v>36.915083653302162</c:v>
                </c:pt>
                <c:pt idx="37">
                  <c:v>57.657547831920738</c:v>
                </c:pt>
                <c:pt idx="38">
                  <c:v>70.98606762277511</c:v>
                </c:pt>
                <c:pt idx="39">
                  <c:v>61.347937973694748</c:v>
                </c:pt>
                <c:pt idx="40">
                  <c:v>39.854359951014978</c:v>
                </c:pt>
                <c:pt idx="41">
                  <c:v>38.84729301433314</c:v>
                </c:pt>
                <c:pt idx="42">
                  <c:v>41.302795425530142</c:v>
                </c:pt>
                <c:pt idx="43">
                  <c:v>39.007902853766531</c:v>
                </c:pt>
                <c:pt idx="44">
                  <c:v>36.38895629644265</c:v>
                </c:pt>
                <c:pt idx="45">
                  <c:v>35.86770694682685</c:v>
                </c:pt>
                <c:pt idx="46">
                  <c:v>35.591469418335677</c:v>
                </c:pt>
                <c:pt idx="47">
                  <c:v>34.027896062443084</c:v>
                </c:pt>
                <c:pt idx="48">
                  <c:v>40.674245519625615</c:v>
                </c:pt>
                <c:pt idx="49">
                  <c:v>63.918382107917402</c:v>
                </c:pt>
                <c:pt idx="50">
                  <c:v>78.035993416592461</c:v>
                </c:pt>
                <c:pt idx="51">
                  <c:v>67.763680383554316</c:v>
                </c:pt>
                <c:pt idx="52">
                  <c:v>43.695263734059473</c:v>
                </c:pt>
                <c:pt idx="53">
                  <c:v>42.604228752263531</c:v>
                </c:pt>
                <c:pt idx="54">
                  <c:v>45.181639757255624</c:v>
                </c:pt>
                <c:pt idx="55">
                  <c:v>43.223602056846694</c:v>
                </c:pt>
                <c:pt idx="56">
                  <c:v>40.435217247516583</c:v>
                </c:pt>
                <c:pt idx="57">
                  <c:v>39.868668253365875</c:v>
                </c:pt>
                <c:pt idx="58">
                  <c:v>39.561756790138006</c:v>
                </c:pt>
                <c:pt idx="59">
                  <c:v>37.897377596606468</c:v>
                </c:pt>
                <c:pt idx="60">
                  <c:v>44.896395407239616</c:v>
                </c:pt>
                <c:pt idx="61">
                  <c:v>70.383589945075798</c:v>
                </c:pt>
                <c:pt idx="62">
                  <c:v>85.236474147229046</c:v>
                </c:pt>
                <c:pt idx="63">
                  <c:v>74.385101184650338</c:v>
                </c:pt>
                <c:pt idx="64">
                  <c:v>48.016320615732049</c:v>
                </c:pt>
                <c:pt idx="65">
                  <c:v>46.852875373270862</c:v>
                </c:pt>
                <c:pt idx="66">
                  <c:v>49.548953720623999</c:v>
                </c:pt>
                <c:pt idx="67">
                  <c:v>47.291616608329264</c:v>
                </c:pt>
                <c:pt idx="68">
                  <c:v>44.348116347736564</c:v>
                </c:pt>
                <c:pt idx="69">
                  <c:v>43.741171623905842</c:v>
                </c:pt>
                <c:pt idx="70">
                  <c:v>43.40730731693931</c:v>
                </c:pt>
                <c:pt idx="71">
                  <c:v>41.650402025746587</c:v>
                </c:pt>
                <c:pt idx="72">
                  <c:v>48.979740034395419</c:v>
                </c:pt>
                <c:pt idx="73">
                  <c:v>76.516867868291925</c:v>
                </c:pt>
                <c:pt idx="74">
                  <c:v>92.059446634357172</c:v>
                </c:pt>
                <c:pt idx="75">
                  <c:v>80.668406657140437</c:v>
                </c:pt>
                <c:pt idx="76">
                  <c:v>52.198142470590113</c:v>
                </c:pt>
                <c:pt idx="77">
                  <c:v>50.968090353330425</c:v>
                </c:pt>
                <c:pt idx="78">
                  <c:v>53.776889224809246</c:v>
                </c:pt>
                <c:pt idx="79">
                  <c:v>50.872005012383411</c:v>
                </c:pt>
                <c:pt idx="80">
                  <c:v>47.781887571201786</c:v>
                </c:pt>
                <c:pt idx="81">
                  <c:v>47.13641666035754</c:v>
                </c:pt>
                <c:pt idx="82">
                  <c:v>46.776608321883337</c:v>
                </c:pt>
                <c:pt idx="83">
                  <c:v>44.931595645004926</c:v>
                </c:pt>
                <c:pt idx="84">
                  <c:v>52.573333152661029</c:v>
                </c:pt>
                <c:pt idx="85">
                  <c:v>82.387965614773492</c:v>
                </c:pt>
                <c:pt idx="86">
                  <c:v>98.586357988477417</c:v>
                </c:pt>
                <c:pt idx="87">
                  <c:v>86.684204983689668</c:v>
                </c:pt>
                <c:pt idx="88">
                  <c:v>55.88350852594521</c:v>
                </c:pt>
                <c:pt idx="89">
                  <c:v>54.589576640898272</c:v>
                </c:pt>
                <c:pt idx="90">
                  <c:v>57.505122630354023</c:v>
                </c:pt>
                <c:pt idx="91">
                  <c:v>54.384674798564483</c:v>
                </c:pt>
                <c:pt idx="92">
                  <c:v>51.15573681106612</c:v>
                </c:pt>
                <c:pt idx="93">
                  <c:v>50.474327687999583</c:v>
                </c:pt>
                <c:pt idx="94">
                  <c:v>50.090538946503933</c:v>
                </c:pt>
                <c:pt idx="95">
                  <c:v>48.162065885482725</c:v>
                </c:pt>
                <c:pt idx="96">
                  <c:v>56.103126772288483</c:v>
                </c:pt>
                <c:pt idx="97">
                  <c:v>88.11832222408627</c:v>
                </c:pt>
                <c:pt idx="98">
                  <c:v>104.94539193897654</c:v>
                </c:pt>
                <c:pt idx="99">
                  <c:v>92.555018132518001</c:v>
                </c:pt>
                <c:pt idx="100">
                  <c:v>59.504283765628223</c:v>
                </c:pt>
                <c:pt idx="101">
                  <c:v>58.149851417963681</c:v>
                </c:pt>
                <c:pt idx="102">
                  <c:v>61.168491696307463</c:v>
                </c:pt>
                <c:pt idx="103">
                  <c:v>57.924753745678601</c:v>
                </c:pt>
                <c:pt idx="104">
                  <c:v>54.563040471807362</c:v>
                </c:pt>
                <c:pt idx="105">
                  <c:v>53.847784731078512</c:v>
                </c:pt>
                <c:pt idx="106">
                  <c:v>53.441643888531971</c:v>
                </c:pt>
                <c:pt idx="107">
                  <c:v>51.433395423195819</c:v>
                </c:pt>
                <c:pt idx="108">
                  <c:v>59.663901288491083</c:v>
                </c:pt>
                <c:pt idx="109">
                  <c:v>93.092880018167278</c:v>
                </c:pt>
                <c:pt idx="110">
                  <c:v>110.52578299970561</c:v>
                </c:pt>
                <c:pt idx="111">
                  <c:v>97.662727582458771</c:v>
                </c:pt>
                <c:pt idx="112">
                  <c:v>63.155959866187359</c:v>
                </c:pt>
                <c:pt idx="113">
                  <c:v>61.743774449669509</c:v>
                </c:pt>
                <c:pt idx="114">
                  <c:v>64.862834478014861</c:v>
                </c:pt>
                <c:pt idx="115">
                  <c:v>61.444050852634206</c:v>
                </c:pt>
                <c:pt idx="116">
                  <c:v>57.955057949129092</c:v>
                </c:pt>
                <c:pt idx="117">
                  <c:v>57.207670604112494</c:v>
                </c:pt>
                <c:pt idx="118">
                  <c:v>56.78044858555787</c:v>
                </c:pt>
                <c:pt idx="119">
                  <c:v>54.695729959872374</c:v>
                </c:pt>
                <c:pt idx="120">
                  <c:v>63.205698239156888</c:v>
                </c:pt>
                <c:pt idx="121">
                  <c:v>98.023299855544948</c:v>
                </c:pt>
                <c:pt idx="122">
                  <c:v>116.04154759516824</c:v>
                </c:pt>
                <c:pt idx="123">
                  <c:v>102.72329910786857</c:v>
                </c:pt>
                <c:pt idx="124">
                  <c:v>66.787319162936896</c:v>
                </c:pt>
                <c:pt idx="125">
                  <c:v>65.319808727989312</c:v>
                </c:pt>
                <c:pt idx="126">
                  <c:v>68.536306739737498</c:v>
                </c:pt>
                <c:pt idx="127">
                  <c:v>64.872915601306659</c:v>
                </c:pt>
                <c:pt idx="128">
                  <c:v>61.260714397753503</c:v>
                </c:pt>
                <c:pt idx="129">
                  <c:v>60.48229161708057</c:v>
                </c:pt>
                <c:pt idx="130">
                  <c:v>60.034728108942723</c:v>
                </c:pt>
                <c:pt idx="131">
                  <c:v>57.875903703862946</c:v>
                </c:pt>
                <c:pt idx="132">
                  <c:v>66.657153615109507</c:v>
                </c:pt>
                <c:pt idx="133">
                  <c:v>102.59492341473771</c:v>
                </c:pt>
                <c:pt idx="134">
                  <c:v>121.18132617470354</c:v>
                </c:pt>
                <c:pt idx="135">
                  <c:v>107.42083718578832</c:v>
                </c:pt>
                <c:pt idx="136">
                  <c:v>70.32624051171841</c:v>
                </c:pt>
                <c:pt idx="137">
                  <c:v>68.805079222154191</c:v>
                </c:pt>
                <c:pt idx="138">
                  <c:v>72.116385127778656</c:v>
                </c:pt>
                <c:pt idx="139">
                  <c:v>68.331414634360868</c:v>
                </c:pt>
                <c:pt idx="140">
                  <c:v>64.599793211423787</c:v>
                </c:pt>
                <c:pt idx="141">
                  <c:v>63.791534178358226</c:v>
                </c:pt>
                <c:pt idx="142">
                  <c:v>63.324529014633072</c:v>
                </c:pt>
                <c:pt idx="143">
                  <c:v>61.093911225275527</c:v>
                </c:pt>
                <c:pt idx="144">
                  <c:v>70.139551624828314</c:v>
                </c:pt>
                <c:pt idx="145">
                  <c:v>107.16835288400523</c:v>
                </c:pt>
                <c:pt idx="146">
                  <c:v>126.30865045916464</c:v>
                </c:pt>
                <c:pt idx="147">
                  <c:v>112.11809565438696</c:v>
                </c:pt>
                <c:pt idx="148">
                  <c:v>73.895258658291979</c:v>
                </c:pt>
                <c:pt idx="149">
                  <c:v>72.322171254729483</c:v>
                </c:pt>
                <c:pt idx="150">
                  <c:v>75.726224826839413</c:v>
                </c:pt>
                <c:pt idx="151">
                  <c:v>71.828654413335087</c:v>
                </c:pt>
                <c:pt idx="152">
                  <c:v>67.980585013242433</c:v>
                </c:pt>
                <c:pt idx="153">
                  <c:v>67.14342158839203</c:v>
                </c:pt>
                <c:pt idx="154">
                  <c:v>66.657670742381598</c:v>
                </c:pt>
                <c:pt idx="155">
                  <c:v>64.357071128950935</c:v>
                </c:pt>
                <c:pt idx="156">
                  <c:v>73.661651676802407</c:v>
                </c:pt>
                <c:pt idx="157">
                  <c:v>111.75847912074599</c:v>
                </c:pt>
                <c:pt idx="158">
                  <c:v>131.44140472723936</c:v>
                </c:pt>
                <c:pt idx="159">
                  <c:v>116.8303792659153</c:v>
                </c:pt>
                <c:pt idx="160">
                  <c:v>77.503264256571285</c:v>
                </c:pt>
                <c:pt idx="161">
                  <c:v>75.879601183126255</c:v>
                </c:pt>
                <c:pt idx="162">
                  <c:v>79.374766077381182</c:v>
                </c:pt>
                <c:pt idx="163">
                  <c:v>75.305175601058238</c:v>
                </c:pt>
                <c:pt idx="164">
                  <c:v>71.343780256594272</c:v>
                </c:pt>
                <c:pt idx="165">
                  <c:v>70.478568669703705</c:v>
                </c:pt>
                <c:pt idx="166">
                  <c:v>69.974662954161261</c:v>
                </c:pt>
                <c:pt idx="167">
                  <c:v>67.605942227290612</c:v>
                </c:pt>
                <c:pt idx="168">
                  <c:v>77.163113008696442</c:v>
                </c:pt>
                <c:pt idx="169">
                  <c:v>116.3016718100239</c:v>
                </c:pt>
                <c:pt idx="170">
                  <c:v>136.51415556013049</c:v>
                </c:pt>
                <c:pt idx="171">
                  <c:v>121.49330142775251</c:v>
                </c:pt>
                <c:pt idx="172">
                  <c:v>81.089037186772728</c:v>
                </c:pt>
                <c:pt idx="173">
                  <c:v>79.416148437282402</c:v>
                </c:pt>
                <c:pt idx="174">
                  <c:v>83.000351980381126</c:v>
                </c:pt>
                <c:pt idx="175">
                  <c:v>78.816714719520363</c:v>
                </c:pt>
                <c:pt idx="176">
                  <c:v>74.74459264484733</c:v>
                </c:pt>
                <c:pt idx="177">
                  <c:v>73.852107139101889</c:v>
                </c:pt>
                <c:pt idx="178">
                  <c:v>73.330610265135945</c:v>
                </c:pt>
                <c:pt idx="179">
                  <c:v>70.895350797064609</c:v>
                </c:pt>
                <c:pt idx="180">
                  <c:v>80.700092721371362</c:v>
                </c:pt>
                <c:pt idx="181">
                  <c:v>120.85932038203849</c:v>
                </c:pt>
                <c:pt idx="182">
                  <c:v>141.59093476115041</c:v>
                </c:pt>
                <c:pt idx="183">
                  <c:v>126.16890093587955</c:v>
                </c:pt>
                <c:pt idx="184">
                  <c:v>84.709395140768976</c:v>
                </c:pt>
                <c:pt idx="185">
                  <c:v>82.988455307646092</c:v>
                </c:pt>
                <c:pt idx="186">
                  <c:v>86.660119085164808</c:v>
                </c:pt>
                <c:pt idx="187">
                  <c:v>82.364854589249219</c:v>
                </c:pt>
                <c:pt idx="188">
                  <c:v>78.184349118902944</c:v>
                </c:pt>
                <c:pt idx="189">
                  <c:v>77.265275202841337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7-4D7E-94AC-1907E3570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12960"/>
        <c:axId val="1"/>
      </c:lineChart>
      <c:dateAx>
        <c:axId val="2020129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5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02012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NP15 Curve Analysis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NP15 Curve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[1]Details!$BP$5:$BP$194</c:f>
              <c:numCache>
                <c:formatCode>General</c:formatCode>
                <c:ptCount val="190"/>
                <c:pt idx="0">
                  <c:v>17.766613333333332</c:v>
                </c:pt>
                <c:pt idx="1">
                  <c:v>25.505808064516124</c:v>
                </c:pt>
                <c:pt idx="2">
                  <c:v>35.609687096774188</c:v>
                </c:pt>
                <c:pt idx="3">
                  <c:v>35.868441666666662</c:v>
                </c:pt>
                <c:pt idx="4">
                  <c:v>25.979719354838707</c:v>
                </c:pt>
                <c:pt idx="5">
                  <c:v>29.323858333333334</c:v>
                </c:pt>
                <c:pt idx="6">
                  <c:v>30.194759677419356</c:v>
                </c:pt>
                <c:pt idx="7">
                  <c:v>28.47067419354839</c:v>
                </c:pt>
                <c:pt idx="8">
                  <c:v>24.449055172413793</c:v>
                </c:pt>
                <c:pt idx="9">
                  <c:v>20.357022580645161</c:v>
                </c:pt>
                <c:pt idx="10">
                  <c:v>19.113316666666666</c:v>
                </c:pt>
                <c:pt idx="11">
                  <c:v>15.199251612903224</c:v>
                </c:pt>
                <c:pt idx="12">
                  <c:v>16.366246666666665</c:v>
                </c:pt>
                <c:pt idx="13">
                  <c:v>28.131964516129027</c:v>
                </c:pt>
                <c:pt idx="14">
                  <c:v>41.706348387096767</c:v>
                </c:pt>
                <c:pt idx="15">
                  <c:v>39.161316666666664</c:v>
                </c:pt>
                <c:pt idx="16">
                  <c:v>25.851578225806449</c:v>
                </c:pt>
                <c:pt idx="17">
                  <c:v>29.525962499999999</c:v>
                </c:pt>
                <c:pt idx="18">
                  <c:v>30.461738709677419</c:v>
                </c:pt>
                <c:pt idx="19">
                  <c:v>28.233646774193545</c:v>
                </c:pt>
                <c:pt idx="20">
                  <c:v>25.637849999999997</c:v>
                </c:pt>
                <c:pt idx="21">
                  <c:v>21.21402258064516</c:v>
                </c:pt>
                <c:pt idx="22">
                  <c:v>19.970316666666665</c:v>
                </c:pt>
                <c:pt idx="23">
                  <c:v>16.056251612903225</c:v>
                </c:pt>
                <c:pt idx="24">
                  <c:v>17.223246666666665</c:v>
                </c:pt>
                <c:pt idx="25">
                  <c:v>29.72996451612903</c:v>
                </c:pt>
                <c:pt idx="26">
                  <c:v>43.304348387096766</c:v>
                </c:pt>
                <c:pt idx="27">
                  <c:v>40.759316666666663</c:v>
                </c:pt>
                <c:pt idx="28">
                  <c:v>26.708578225806452</c:v>
                </c:pt>
                <c:pt idx="29">
                  <c:v>30.382962499999998</c:v>
                </c:pt>
                <c:pt idx="30">
                  <c:v>31.318738709677419</c:v>
                </c:pt>
                <c:pt idx="31">
                  <c:v>29.069146774193541</c:v>
                </c:pt>
                <c:pt idx="32">
                  <c:v>26.473349999999996</c:v>
                </c:pt>
                <c:pt idx="33">
                  <c:v>22.04952258064516</c:v>
                </c:pt>
                <c:pt idx="34">
                  <c:v>20.805816666666669</c:v>
                </c:pt>
                <c:pt idx="35">
                  <c:v>16.891751612903224</c:v>
                </c:pt>
                <c:pt idx="36">
                  <c:v>18.058746666666664</c:v>
                </c:pt>
                <c:pt idx="37">
                  <c:v>31.306464516129033</c:v>
                </c:pt>
                <c:pt idx="38">
                  <c:v>44.880848387096776</c:v>
                </c:pt>
                <c:pt idx="39">
                  <c:v>42.335816666666666</c:v>
                </c:pt>
                <c:pt idx="40">
                  <c:v>27.544078225806452</c:v>
                </c:pt>
                <c:pt idx="41">
                  <c:v>31.218462500000001</c:v>
                </c:pt>
                <c:pt idx="42">
                  <c:v>32.154238709677422</c:v>
                </c:pt>
                <c:pt idx="43">
                  <c:v>29.883146774193541</c:v>
                </c:pt>
                <c:pt idx="44">
                  <c:v>27.287349999999996</c:v>
                </c:pt>
                <c:pt idx="45">
                  <c:v>22.86352258064516</c:v>
                </c:pt>
                <c:pt idx="46">
                  <c:v>21.619816666666665</c:v>
                </c:pt>
                <c:pt idx="47">
                  <c:v>17.705751612903224</c:v>
                </c:pt>
                <c:pt idx="48">
                  <c:v>18.872746666666664</c:v>
                </c:pt>
                <c:pt idx="49">
                  <c:v>32.861464516129026</c:v>
                </c:pt>
                <c:pt idx="50">
                  <c:v>46.435848387096769</c:v>
                </c:pt>
                <c:pt idx="51">
                  <c:v>43.890816666666666</c:v>
                </c:pt>
                <c:pt idx="52">
                  <c:v>28.358078225806452</c:v>
                </c:pt>
                <c:pt idx="53">
                  <c:v>32.032462499999994</c:v>
                </c:pt>
                <c:pt idx="54">
                  <c:v>32.968238709677422</c:v>
                </c:pt>
                <c:pt idx="55">
                  <c:v>30.960646774193545</c:v>
                </c:pt>
                <c:pt idx="56">
                  <c:v>28.364849999999997</c:v>
                </c:pt>
                <c:pt idx="57">
                  <c:v>23.941022580645161</c:v>
                </c:pt>
                <c:pt idx="58">
                  <c:v>22.697316666666666</c:v>
                </c:pt>
                <c:pt idx="59">
                  <c:v>18.783251612903221</c:v>
                </c:pt>
                <c:pt idx="60">
                  <c:v>19.950246666666665</c:v>
                </c:pt>
                <c:pt idx="61">
                  <c:v>34.508964516129033</c:v>
                </c:pt>
                <c:pt idx="62">
                  <c:v>48.08334838709677</c:v>
                </c:pt>
                <c:pt idx="63">
                  <c:v>45.538316666666667</c:v>
                </c:pt>
                <c:pt idx="64">
                  <c:v>29.435578225806449</c:v>
                </c:pt>
                <c:pt idx="65">
                  <c:v>33.109962499999995</c:v>
                </c:pt>
                <c:pt idx="66">
                  <c:v>34.045738709677416</c:v>
                </c:pt>
                <c:pt idx="67">
                  <c:v>31.959646774193544</c:v>
                </c:pt>
                <c:pt idx="68">
                  <c:v>29.363849999999999</c:v>
                </c:pt>
                <c:pt idx="69">
                  <c:v>24.940022580645156</c:v>
                </c:pt>
                <c:pt idx="70">
                  <c:v>23.696316666666661</c:v>
                </c:pt>
                <c:pt idx="71">
                  <c:v>19.782251612903224</c:v>
                </c:pt>
                <c:pt idx="72">
                  <c:v>20.949246666666664</c:v>
                </c:pt>
                <c:pt idx="73">
                  <c:v>35.963964516129032</c:v>
                </c:pt>
                <c:pt idx="74">
                  <c:v>49.538348387096775</c:v>
                </c:pt>
                <c:pt idx="75">
                  <c:v>46.993316666666658</c:v>
                </c:pt>
                <c:pt idx="76">
                  <c:v>30.434578225806455</c:v>
                </c:pt>
                <c:pt idx="77">
                  <c:v>34.108962499999997</c:v>
                </c:pt>
                <c:pt idx="78">
                  <c:v>35.044738709677418</c:v>
                </c:pt>
                <c:pt idx="79">
                  <c:v>32.673646774193543</c:v>
                </c:pt>
                <c:pt idx="80">
                  <c:v>30.077850000000002</c:v>
                </c:pt>
                <c:pt idx="81">
                  <c:v>25.654022580645158</c:v>
                </c:pt>
                <c:pt idx="82">
                  <c:v>24.410316666666667</c:v>
                </c:pt>
                <c:pt idx="83">
                  <c:v>20.496251612903222</c:v>
                </c:pt>
                <c:pt idx="84">
                  <c:v>21.663246666666666</c:v>
                </c:pt>
                <c:pt idx="85">
                  <c:v>37.247964516129031</c:v>
                </c:pt>
                <c:pt idx="86">
                  <c:v>50.822348387096774</c:v>
                </c:pt>
                <c:pt idx="87">
                  <c:v>48.277316666666664</c:v>
                </c:pt>
                <c:pt idx="88">
                  <c:v>31.14857822580645</c:v>
                </c:pt>
                <c:pt idx="89">
                  <c:v>34.822962499999996</c:v>
                </c:pt>
                <c:pt idx="90">
                  <c:v>35.758738709677417</c:v>
                </c:pt>
                <c:pt idx="91">
                  <c:v>33.387646774193549</c:v>
                </c:pt>
                <c:pt idx="92">
                  <c:v>30.791849999999997</c:v>
                </c:pt>
                <c:pt idx="93">
                  <c:v>26.36802258064516</c:v>
                </c:pt>
                <c:pt idx="94">
                  <c:v>25.124316666666665</c:v>
                </c:pt>
                <c:pt idx="95">
                  <c:v>21.210251612903221</c:v>
                </c:pt>
                <c:pt idx="96">
                  <c:v>22.377246666666665</c:v>
                </c:pt>
                <c:pt idx="97">
                  <c:v>38.474964516129027</c:v>
                </c:pt>
                <c:pt idx="98">
                  <c:v>52.049348387096771</c:v>
                </c:pt>
                <c:pt idx="99">
                  <c:v>49.504316666666668</c:v>
                </c:pt>
                <c:pt idx="100">
                  <c:v>31.862578225806452</c:v>
                </c:pt>
                <c:pt idx="101">
                  <c:v>35.536962500000001</c:v>
                </c:pt>
                <c:pt idx="102">
                  <c:v>36.472738709677415</c:v>
                </c:pt>
                <c:pt idx="103">
                  <c:v>34.10164677419354</c:v>
                </c:pt>
                <c:pt idx="104">
                  <c:v>31.505849999999995</c:v>
                </c:pt>
                <c:pt idx="105">
                  <c:v>27.082022580645162</c:v>
                </c:pt>
                <c:pt idx="106">
                  <c:v>25.838316666666664</c:v>
                </c:pt>
                <c:pt idx="107">
                  <c:v>21.924251612903223</c:v>
                </c:pt>
                <c:pt idx="108">
                  <c:v>23.091246666666663</c:v>
                </c:pt>
                <c:pt idx="109">
                  <c:v>39.302964516129023</c:v>
                </c:pt>
                <c:pt idx="110">
                  <c:v>52.877348387096774</c:v>
                </c:pt>
                <c:pt idx="111">
                  <c:v>50.332316666666671</c:v>
                </c:pt>
                <c:pt idx="112">
                  <c:v>32.57657822580645</c:v>
                </c:pt>
                <c:pt idx="113">
                  <c:v>36.2509625</c:v>
                </c:pt>
                <c:pt idx="114">
                  <c:v>37.186738709677421</c:v>
                </c:pt>
                <c:pt idx="115">
                  <c:v>34.79414677419355</c:v>
                </c:pt>
                <c:pt idx="116">
                  <c:v>32.198349999999998</c:v>
                </c:pt>
                <c:pt idx="117">
                  <c:v>27.774522580645161</c:v>
                </c:pt>
                <c:pt idx="118">
                  <c:v>26.530816666666666</c:v>
                </c:pt>
                <c:pt idx="119">
                  <c:v>22.616751612903222</c:v>
                </c:pt>
                <c:pt idx="120">
                  <c:v>23.783746666666666</c:v>
                </c:pt>
                <c:pt idx="121">
                  <c:v>40.10946451612903</c:v>
                </c:pt>
                <c:pt idx="122">
                  <c:v>53.683848387096774</c:v>
                </c:pt>
                <c:pt idx="123">
                  <c:v>51.138816666666671</c:v>
                </c:pt>
                <c:pt idx="124">
                  <c:v>33.269078225806453</c:v>
                </c:pt>
                <c:pt idx="125">
                  <c:v>36.943462500000003</c:v>
                </c:pt>
                <c:pt idx="126">
                  <c:v>37.879238709677423</c:v>
                </c:pt>
                <c:pt idx="127">
                  <c:v>35.429646774193543</c:v>
                </c:pt>
                <c:pt idx="128">
                  <c:v>32.833849999999998</c:v>
                </c:pt>
                <c:pt idx="129">
                  <c:v>28.410022580645162</c:v>
                </c:pt>
                <c:pt idx="130">
                  <c:v>27.166316666666663</c:v>
                </c:pt>
                <c:pt idx="131">
                  <c:v>23.252251612903223</c:v>
                </c:pt>
                <c:pt idx="132">
                  <c:v>24.419246666666663</c:v>
                </c:pt>
                <c:pt idx="133">
                  <c:v>40.744964516129031</c:v>
                </c:pt>
                <c:pt idx="134">
                  <c:v>54.319348387096767</c:v>
                </c:pt>
                <c:pt idx="135">
                  <c:v>51.774316666666671</c:v>
                </c:pt>
                <c:pt idx="136">
                  <c:v>33.904578225806453</c:v>
                </c:pt>
                <c:pt idx="137">
                  <c:v>37.578962499999996</c:v>
                </c:pt>
                <c:pt idx="138">
                  <c:v>38.514738709677417</c:v>
                </c:pt>
                <c:pt idx="139">
                  <c:v>36.065146774193543</c:v>
                </c:pt>
                <c:pt idx="140">
                  <c:v>33.469349999999999</c:v>
                </c:pt>
                <c:pt idx="141">
                  <c:v>29.045522580645162</c:v>
                </c:pt>
                <c:pt idx="142">
                  <c:v>27.801816666666667</c:v>
                </c:pt>
                <c:pt idx="143">
                  <c:v>23.887751612903223</c:v>
                </c:pt>
                <c:pt idx="144">
                  <c:v>25.054746666666666</c:v>
                </c:pt>
                <c:pt idx="145">
                  <c:v>41.380464516129031</c:v>
                </c:pt>
                <c:pt idx="146">
                  <c:v>54.954848387096774</c:v>
                </c:pt>
                <c:pt idx="147">
                  <c:v>52.409816666666664</c:v>
                </c:pt>
                <c:pt idx="148">
                  <c:v>34.540078225806454</c:v>
                </c:pt>
                <c:pt idx="149">
                  <c:v>38.214462499999996</c:v>
                </c:pt>
                <c:pt idx="150">
                  <c:v>39.150238709677417</c:v>
                </c:pt>
                <c:pt idx="151">
                  <c:v>36.700646774193544</c:v>
                </c:pt>
                <c:pt idx="152">
                  <c:v>34.104849999999999</c:v>
                </c:pt>
                <c:pt idx="153">
                  <c:v>29.681022580645166</c:v>
                </c:pt>
                <c:pt idx="154">
                  <c:v>28.437316666666668</c:v>
                </c:pt>
                <c:pt idx="155">
                  <c:v>24.523251612903223</c:v>
                </c:pt>
                <c:pt idx="156">
                  <c:v>25.690246666666667</c:v>
                </c:pt>
                <c:pt idx="157">
                  <c:v>42.015964516129031</c:v>
                </c:pt>
                <c:pt idx="158">
                  <c:v>55.590348387096768</c:v>
                </c:pt>
                <c:pt idx="159">
                  <c:v>53.045316666666665</c:v>
                </c:pt>
                <c:pt idx="160">
                  <c:v>35.175578225806454</c:v>
                </c:pt>
                <c:pt idx="161">
                  <c:v>38.849962499999997</c:v>
                </c:pt>
                <c:pt idx="162">
                  <c:v>39.785738709677418</c:v>
                </c:pt>
                <c:pt idx="163">
                  <c:v>37.314646774193548</c:v>
                </c:pt>
                <c:pt idx="164">
                  <c:v>34.718849999999996</c:v>
                </c:pt>
                <c:pt idx="165">
                  <c:v>30.295022580645163</c:v>
                </c:pt>
                <c:pt idx="166">
                  <c:v>29.051316666666665</c:v>
                </c:pt>
                <c:pt idx="167">
                  <c:v>25.137251612903221</c:v>
                </c:pt>
                <c:pt idx="168">
                  <c:v>26.304246666666664</c:v>
                </c:pt>
                <c:pt idx="169">
                  <c:v>42.629964516129036</c:v>
                </c:pt>
                <c:pt idx="170">
                  <c:v>56.204348387096772</c:v>
                </c:pt>
                <c:pt idx="171">
                  <c:v>53.659316666666669</c:v>
                </c:pt>
                <c:pt idx="172">
                  <c:v>35.789578225806451</c:v>
                </c:pt>
                <c:pt idx="173">
                  <c:v>39.463962499999994</c:v>
                </c:pt>
                <c:pt idx="174">
                  <c:v>40.399738709677415</c:v>
                </c:pt>
                <c:pt idx="175">
                  <c:v>37.928646774193545</c:v>
                </c:pt>
                <c:pt idx="176">
                  <c:v>35.332849999999993</c:v>
                </c:pt>
                <c:pt idx="177">
                  <c:v>30.909022580645164</c:v>
                </c:pt>
                <c:pt idx="178">
                  <c:v>29.665316666666666</c:v>
                </c:pt>
                <c:pt idx="179">
                  <c:v>25.751251612903221</c:v>
                </c:pt>
                <c:pt idx="180">
                  <c:v>26.918246666666665</c:v>
                </c:pt>
                <c:pt idx="181">
                  <c:v>43.243964516129033</c:v>
                </c:pt>
                <c:pt idx="182">
                  <c:v>56.818348387096776</c:v>
                </c:pt>
                <c:pt idx="183">
                  <c:v>54.273316666666666</c:v>
                </c:pt>
                <c:pt idx="184">
                  <c:v>36.403578225806449</c:v>
                </c:pt>
                <c:pt idx="185">
                  <c:v>40.077962499999998</c:v>
                </c:pt>
                <c:pt idx="186">
                  <c:v>41.013738709677419</c:v>
                </c:pt>
                <c:pt idx="187">
                  <c:v>38.542646774193543</c:v>
                </c:pt>
                <c:pt idx="188">
                  <c:v>35.946849999999998</c:v>
                </c:pt>
                <c:pt idx="189">
                  <c:v>31.523022580645161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01-494F-8A0C-88D184487AB1}"/>
            </c:ext>
          </c:extLst>
        </c:ser>
        <c:ser>
          <c:idx val="1"/>
          <c:order val="1"/>
          <c:tx>
            <c:v>NP15 Curve Shifted 1 Std. Dev.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[1]Details!$BR$5:$BR$194</c:f>
              <c:numCache>
                <c:formatCode>General</c:formatCode>
                <c:ptCount val="190"/>
                <c:pt idx="0">
                  <c:v>19.547343462848279</c:v>
                </c:pt>
                <c:pt idx="1">
                  <c:v>29.341519187575418</c:v>
                </c:pt>
                <c:pt idx="2">
                  <c:v>42.229699853197651</c:v>
                </c:pt>
                <c:pt idx="3">
                  <c:v>40.605611149915262</c:v>
                </c:pt>
                <c:pt idx="4">
                  <c:v>29.730017072053879</c:v>
                </c:pt>
                <c:pt idx="5">
                  <c:v>33.749245880278544</c:v>
                </c:pt>
                <c:pt idx="6">
                  <c:v>34.873709393944047</c:v>
                </c:pt>
                <c:pt idx="7">
                  <c:v>33.046678999877003</c:v>
                </c:pt>
                <c:pt idx="8">
                  <c:v>28.506472706223349</c:v>
                </c:pt>
                <c:pt idx="9">
                  <c:v>23.813660334571935</c:v>
                </c:pt>
                <c:pt idx="10">
                  <c:v>22.519492969828516</c:v>
                </c:pt>
                <c:pt idx="11">
                  <c:v>18.025583323100051</c:v>
                </c:pt>
                <c:pt idx="12">
                  <c:v>19.534658910830064</c:v>
                </c:pt>
                <c:pt idx="13">
                  <c:v>33.784057522956033</c:v>
                </c:pt>
                <c:pt idx="14">
                  <c:v>50.369645069172073</c:v>
                </c:pt>
                <c:pt idx="15">
                  <c:v>47.561382956944783</c:v>
                </c:pt>
                <c:pt idx="16">
                  <c:v>31.560434670701234</c:v>
                </c:pt>
                <c:pt idx="17">
                  <c:v>36.233149018260733</c:v>
                </c:pt>
                <c:pt idx="18">
                  <c:v>35.486005028395283</c:v>
                </c:pt>
                <c:pt idx="19">
                  <c:v>33.000285796779515</c:v>
                </c:pt>
                <c:pt idx="20">
                  <c:v>30.073863139014136</c:v>
                </c:pt>
                <c:pt idx="21">
                  <c:v>24.96858560895879</c:v>
                </c:pt>
                <c:pt idx="22">
                  <c:v>23.584474066349895</c:v>
                </c:pt>
                <c:pt idx="23">
                  <c:v>19.022628748454213</c:v>
                </c:pt>
                <c:pt idx="24">
                  <c:v>20.47086048652362</c:v>
                </c:pt>
                <c:pt idx="25">
                  <c:v>35.446653275652054</c:v>
                </c:pt>
                <c:pt idx="26">
                  <c:v>51.784158278171191</c:v>
                </c:pt>
                <c:pt idx="27">
                  <c:v>48.886519460420374</c:v>
                </c:pt>
                <c:pt idx="28">
                  <c:v>32.124764910008793</c:v>
                </c:pt>
                <c:pt idx="29">
                  <c:v>36.648797267166721</c:v>
                </c:pt>
                <c:pt idx="30">
                  <c:v>37.883299865893747</c:v>
                </c:pt>
                <c:pt idx="31">
                  <c:v>35.249307489843318</c:v>
                </c:pt>
                <c:pt idx="32">
                  <c:v>32.188017151280526</c:v>
                </c:pt>
                <c:pt idx="33">
                  <c:v>26.87769276318042</c:v>
                </c:pt>
                <c:pt idx="34">
                  <c:v>25.427304526638569</c:v>
                </c:pt>
                <c:pt idx="35">
                  <c:v>20.69458648421562</c:v>
                </c:pt>
                <c:pt idx="36">
                  <c:v>22.179507404685456</c:v>
                </c:pt>
                <c:pt idx="37">
                  <c:v>38.544392273944673</c:v>
                </c:pt>
                <c:pt idx="38">
                  <c:v>55.385892036463453</c:v>
                </c:pt>
                <c:pt idx="39">
                  <c:v>52.36885660046363</c:v>
                </c:pt>
                <c:pt idx="40">
                  <c:v>34.148446605390838</c:v>
                </c:pt>
                <c:pt idx="41">
                  <c:v>38.792527687692107</c:v>
                </c:pt>
                <c:pt idx="42">
                  <c:v>40.045405920929284</c:v>
                </c:pt>
                <c:pt idx="43">
                  <c:v>37.291582699947767</c:v>
                </c:pt>
                <c:pt idx="44">
                  <c:v>34.126748523713083</c:v>
                </c:pt>
                <c:pt idx="45">
                  <c:v>28.653746996996411</c:v>
                </c:pt>
                <c:pt idx="46">
                  <c:v>27.152602374762463</c:v>
                </c:pt>
                <c:pt idx="47">
                  <c:v>22.281910800200496</c:v>
                </c:pt>
                <c:pt idx="48">
                  <c:v>23.799520871263049</c:v>
                </c:pt>
                <c:pt idx="49">
                  <c:v>41.52430683039389</c:v>
                </c:pt>
                <c:pt idx="50">
                  <c:v>58.791030857164884</c:v>
                </c:pt>
                <c:pt idx="51">
                  <c:v>55.678805794221326</c:v>
                </c:pt>
                <c:pt idx="52">
                  <c:v>36.042332303611801</c:v>
                </c:pt>
                <c:pt idx="53">
                  <c:v>40.790827710284418</c:v>
                </c:pt>
                <c:pt idx="54">
                  <c:v>42.062308554094649</c:v>
                </c:pt>
                <c:pt idx="55">
                  <c:v>39.570331107613406</c:v>
                </c:pt>
                <c:pt idx="56">
                  <c:v>36.319930162796837</c:v>
                </c:pt>
                <c:pt idx="57">
                  <c:v>30.70976535858081</c:v>
                </c:pt>
                <c:pt idx="58">
                  <c:v>29.167122515526376</c:v>
                </c:pt>
                <c:pt idx="59">
                  <c:v>24.179129728801257</c:v>
                </c:pt>
                <c:pt idx="60">
                  <c:v>25.726743933495548</c:v>
                </c:pt>
                <c:pt idx="61">
                  <c:v>44.57856095289668</c:v>
                </c:pt>
                <c:pt idx="62">
                  <c:v>62.217633699310532</c:v>
                </c:pt>
                <c:pt idx="63">
                  <c:v>59.025008298463845</c:v>
                </c:pt>
                <c:pt idx="64">
                  <c:v>38.215540978574708</c:v>
                </c:pt>
                <c:pt idx="65">
                  <c:v>43.057614173592285</c:v>
                </c:pt>
                <c:pt idx="66">
                  <c:v>44.347565849956261</c:v>
                </c:pt>
                <c:pt idx="67">
                  <c:v>41.691612304003982</c:v>
                </c:pt>
                <c:pt idx="68">
                  <c:v>38.367243065779213</c:v>
                </c:pt>
                <c:pt idx="69">
                  <c:v>32.637396105489472</c:v>
                </c:pt>
                <c:pt idx="70">
                  <c:v>31.058870159539335</c:v>
                </c:pt>
                <c:pt idx="71">
                  <c:v>25.967948635165207</c:v>
                </c:pt>
                <c:pt idx="72">
                  <c:v>27.542437263713072</c:v>
                </c:pt>
                <c:pt idx="73">
                  <c:v>47.355083485755578</c:v>
                </c:pt>
                <c:pt idx="74">
                  <c:v>65.324744707138564</c:v>
                </c:pt>
                <c:pt idx="75">
                  <c:v>62.06176514382777</c:v>
                </c:pt>
                <c:pt idx="76">
                  <c:v>40.251297909150196</c:v>
                </c:pt>
                <c:pt idx="77">
                  <c:v>45.177292307063141</c:v>
                </c:pt>
                <c:pt idx="78">
                  <c:v>46.48440914849521</c:v>
                </c:pt>
                <c:pt idx="79">
                  <c:v>43.395865824441948</c:v>
                </c:pt>
                <c:pt idx="80">
                  <c:v>40.005408076326802</c:v>
                </c:pt>
                <c:pt idx="81">
                  <c:v>34.168259510224267</c:v>
                </c:pt>
                <c:pt idx="82">
                  <c:v>32.557449300343649</c:v>
                </c:pt>
                <c:pt idx="83">
                  <c:v>27.373848409815537</c:v>
                </c:pt>
                <c:pt idx="84">
                  <c:v>28.972325624647262</c:v>
                </c:pt>
                <c:pt idx="85">
                  <c:v>49.883305975225724</c:v>
                </c:pt>
                <c:pt idx="86">
                  <c:v>68.151589086994434</c:v>
                </c:pt>
                <c:pt idx="87">
                  <c:v>64.825616705570468</c:v>
                </c:pt>
                <c:pt idx="88">
                  <c:v>41.879381536762061</c:v>
                </c:pt>
                <c:pt idx="89">
                  <c:v>46.881315181510871</c:v>
                </c:pt>
                <c:pt idx="90">
                  <c:v>48.204017178606314</c:v>
                </c:pt>
                <c:pt idx="91">
                  <c:v>45.060360759392601</c:v>
                </c:pt>
                <c:pt idx="92">
                  <c:v>41.610428476759886</c:v>
                </c:pt>
                <c:pt idx="93">
                  <c:v>35.676228191222485</c:v>
                </c:pt>
                <c:pt idx="94">
                  <c:v>34.036410332782424</c:v>
                </c:pt>
                <c:pt idx="95">
                  <c:v>28.768770215797886</c:v>
                </c:pt>
                <c:pt idx="96">
                  <c:v>30.389329131252293</c:v>
                </c:pt>
                <c:pt idx="97">
                  <c:v>52.315110237307437</c:v>
                </c:pt>
                <c:pt idx="98">
                  <c:v>70.856088895201438</c:v>
                </c:pt>
                <c:pt idx="99">
                  <c:v>67.473103535893856</c:v>
                </c:pt>
                <c:pt idx="100">
                  <c:v>43.478363228449872</c:v>
                </c:pt>
                <c:pt idx="101">
                  <c:v>48.550069544108261</c:v>
                </c:pt>
                <c:pt idx="102">
                  <c:v>49.887415637315868</c:v>
                </c:pt>
                <c:pt idx="103">
                  <c:v>46.695411890860775</c:v>
                </c:pt>
                <c:pt idx="104">
                  <c:v>43.191191136528879</c:v>
                </c:pt>
                <c:pt idx="105">
                  <c:v>37.168075257831134</c:v>
                </c:pt>
                <c:pt idx="106">
                  <c:v>35.501806442632208</c:v>
                </c:pt>
                <c:pt idx="107">
                  <c:v>30.15702580384044</c:v>
                </c:pt>
                <c:pt idx="108">
                  <c:v>31.798067522983544</c:v>
                </c:pt>
                <c:pt idx="109">
                  <c:v>54.183177416107064</c:v>
                </c:pt>
                <c:pt idx="110">
                  <c:v>72.975217722728019</c:v>
                </c:pt>
                <c:pt idx="111">
                  <c:v>69.539431136498379</c:v>
                </c:pt>
                <c:pt idx="112">
                  <c:v>45.055649032717817</c:v>
                </c:pt>
                <c:pt idx="113">
                  <c:v>50.192019984440115</c:v>
                </c:pt>
                <c:pt idx="114">
                  <c:v>51.543157243493823</c:v>
                </c:pt>
                <c:pt idx="115">
                  <c:v>48.273481723648274</c:v>
                </c:pt>
                <c:pt idx="116">
                  <c:v>44.719527607046686</c:v>
                </c:pt>
                <c:pt idx="117">
                  <c:v>38.614749165662602</c:v>
                </c:pt>
                <c:pt idx="118">
                  <c:v>36.924251852668917</c:v>
                </c:pt>
                <c:pt idx="119">
                  <c:v>31.508516050502429</c:v>
                </c:pt>
                <c:pt idx="120">
                  <c:v>33.168508453249366</c:v>
                </c:pt>
                <c:pt idx="121">
                  <c:v>55.993451051048766</c:v>
                </c:pt>
                <c:pt idx="122">
                  <c:v>75.017279315968565</c:v>
                </c:pt>
                <c:pt idx="123">
                  <c:v>71.533053218726934</c:v>
                </c:pt>
                <c:pt idx="124">
                  <c:v>46.582002011210463</c:v>
                </c:pt>
                <c:pt idx="125">
                  <c:v>51.778238285870991</c:v>
                </c:pt>
                <c:pt idx="126">
                  <c:v>53.142275648458018</c:v>
                </c:pt>
                <c:pt idx="127">
                  <c:v>49.749741011955628</c:v>
                </c:pt>
                <c:pt idx="128">
                  <c:v>46.149746991372041</c:v>
                </c:pt>
                <c:pt idx="129">
                  <c:v>39.969262241413162</c:v>
                </c:pt>
                <c:pt idx="130">
                  <c:v>38.256307162609211</c:v>
                </c:pt>
                <c:pt idx="131">
                  <c:v>32.774706487388457</c:v>
                </c:pt>
                <c:pt idx="132">
                  <c:v>34.452294081301559</c:v>
                </c:pt>
                <c:pt idx="133">
                  <c:v>57.539898743066878</c:v>
                </c:pt>
                <c:pt idx="134">
                  <c:v>76.779116196689074</c:v>
                </c:pt>
                <c:pt idx="135">
                  <c:v>73.249850157848712</c:v>
                </c:pt>
                <c:pt idx="136">
                  <c:v>48.010794814116466</c:v>
                </c:pt>
                <c:pt idx="137">
                  <c:v>53.262776943347504</c:v>
                </c:pt>
                <c:pt idx="138">
                  <c:v>54.638878614066336</c:v>
                </c:pt>
                <c:pt idx="139">
                  <c:v>51.205634884211428</c:v>
                </c:pt>
                <c:pt idx="140">
                  <c:v>47.562878895354558</c:v>
                </c:pt>
                <c:pt idx="141">
                  <c:v>41.311958766133927</c:v>
                </c:pt>
                <c:pt idx="142">
                  <c:v>39.578152081857247</c:v>
                </c:pt>
                <c:pt idx="143">
                  <c:v>34.035215511638029</c:v>
                </c:pt>
                <c:pt idx="144">
                  <c:v>35.729261373528395</c:v>
                </c:pt>
                <c:pt idx="145">
                  <c:v>59.061938615423493</c:v>
                </c:pt>
                <c:pt idx="146">
                  <c:v>78.502253868498173</c:v>
                </c:pt>
                <c:pt idx="147">
                  <c:v>74.931127193905169</c:v>
                </c:pt>
                <c:pt idx="148">
                  <c:v>49.423343148354121</c:v>
                </c:pt>
                <c:pt idx="149">
                  <c:v>54.727469480576005</c:v>
                </c:pt>
                <c:pt idx="150">
                  <c:v>56.114937283952798</c:v>
                </c:pt>
                <c:pt idx="151">
                  <c:v>52.645164645677852</c:v>
                </c:pt>
                <c:pt idx="152">
                  <c:v>48.962420593866668</c:v>
                </c:pt>
                <c:pt idx="153">
                  <c:v>42.645548951716961</c:v>
                </c:pt>
                <c:pt idx="154">
                  <c:v>40.892245022635628</c:v>
                </c:pt>
                <c:pt idx="155">
                  <c:v>35.291833246529571</c:v>
                </c:pt>
                <c:pt idx="156">
                  <c:v>37.001347439650587</c:v>
                </c:pt>
                <c:pt idx="157">
                  <c:v>60.563993695892393</c:v>
                </c:pt>
                <c:pt idx="158">
                  <c:v>80.193113189099378</c:v>
                </c:pt>
                <c:pt idx="159">
                  <c:v>76.582821441421288</c:v>
                </c:pt>
                <c:pt idx="160">
                  <c:v>50.822846247525938</c:v>
                </c:pt>
                <c:pt idx="161">
                  <c:v>56.175997876974236</c:v>
                </c:pt>
                <c:pt idx="162">
                  <c:v>57.574208299398641</c:v>
                </c:pt>
                <c:pt idx="163">
                  <c:v>54.036289111441448</c:v>
                </c:pt>
                <c:pt idx="164">
                  <c:v>50.316211426862708</c:v>
                </c:pt>
                <c:pt idx="165">
                  <c:v>43.937718998425687</c:v>
                </c:pt>
                <c:pt idx="166">
                  <c:v>42.166200477372605</c:v>
                </c:pt>
                <c:pt idx="167">
                  <c:v>36.512051231825701</c:v>
                </c:pt>
                <c:pt idx="168">
                  <c:v>38.236030977190886</c:v>
                </c:pt>
                <c:pt idx="169">
                  <c:v>62.013813030171832</c:v>
                </c:pt>
                <c:pt idx="170">
                  <c:v>81.819631440001814</c:v>
                </c:pt>
                <c:pt idx="171">
                  <c:v>78.172760002435069</c:v>
                </c:pt>
                <c:pt idx="172">
                  <c:v>52.176790262021804</c:v>
                </c:pt>
                <c:pt idx="173">
                  <c:v>57.57585810118978</c:v>
                </c:pt>
                <c:pt idx="174">
                  <c:v>58.984153730588787</c:v>
                </c:pt>
                <c:pt idx="175">
                  <c:v>55.412650310905271</c:v>
                </c:pt>
                <c:pt idx="176">
                  <c:v>51.657545995260293</c:v>
                </c:pt>
                <c:pt idx="177">
                  <c:v>45.221195315457734</c:v>
                </c:pt>
                <c:pt idx="178">
                  <c:v>43.432585445394423</c:v>
                </c:pt>
                <c:pt idx="179">
                  <c:v>37.727953434034546</c:v>
                </c:pt>
                <c:pt idx="180">
                  <c:v>39.465541218170351</c:v>
                </c:pt>
                <c:pt idx="181">
                  <c:v>63.445585611498544</c:v>
                </c:pt>
                <c:pt idx="182">
                  <c:v>83.417587172715713</c:v>
                </c:pt>
                <c:pt idx="183">
                  <c:v>79.736385185331841</c:v>
                </c:pt>
                <c:pt idx="184">
                  <c:v>53.518514813580595</c:v>
                </c:pt>
                <c:pt idx="185">
                  <c:v>58.960801811007123</c:v>
                </c:pt>
                <c:pt idx="186">
                  <c:v>60.378618196117266</c:v>
                </c:pt>
                <c:pt idx="187">
                  <c:v>56.775543829219117</c:v>
                </c:pt>
                <c:pt idx="188">
                  <c:v>52.987504329426912</c:v>
                </c:pt>
                <c:pt idx="189">
                  <c:v>46.496718586953065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01-494F-8A0C-88D184487AB1}"/>
            </c:ext>
          </c:extLst>
        </c:ser>
        <c:ser>
          <c:idx val="2"/>
          <c:order val="2"/>
          <c:tx>
            <c:v>NP15 Curve Shifted 2 Std. Dev.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[1]Details!$BU$5:$BU$194</c:f>
              <c:numCache>
                <c:formatCode>General</c:formatCode>
                <c:ptCount val="190"/>
                <c:pt idx="0">
                  <c:v>21.615605363655781</c:v>
                </c:pt>
                <c:pt idx="1">
                  <c:v>34.144112033200102</c:v>
                </c:pt>
                <c:pt idx="2">
                  <c:v>50.975395032540348</c:v>
                </c:pt>
                <c:pt idx="3">
                  <c:v>46.376031376482644</c:v>
                </c:pt>
                <c:pt idx="4">
                  <c:v>34.383292538608998</c:v>
                </c:pt>
                <c:pt idx="5">
                  <c:v>39.294562907347093</c:v>
                </c:pt>
                <c:pt idx="6">
                  <c:v>40.772554025562556</c:v>
                </c:pt>
                <c:pt idx="7">
                  <c:v>38.866090836474015</c:v>
                </c:pt>
                <c:pt idx="8">
                  <c:v>33.707235979380549</c:v>
                </c:pt>
                <c:pt idx="9">
                  <c:v>28.270168520929097</c:v>
                </c:pt>
                <c:pt idx="10">
                  <c:v>26.967173597426793</c:v>
                </c:pt>
                <c:pt idx="11">
                  <c:v>21.75971624840972</c:v>
                </c:pt>
                <c:pt idx="12">
                  <c:v>23.769676610302916</c:v>
                </c:pt>
                <c:pt idx="13">
                  <c:v>41.423632393834112</c:v>
                </c:pt>
                <c:pt idx="14">
                  <c:v>62.20177036182443</c:v>
                </c:pt>
                <c:pt idx="15">
                  <c:v>59.153809483309111</c:v>
                </c:pt>
                <c:pt idx="16">
                  <c:v>39.515952244861317</c:v>
                </c:pt>
                <c:pt idx="17">
                  <c:v>45.67153222404022</c:v>
                </c:pt>
                <c:pt idx="18">
                  <c:v>41.916187888232074</c:v>
                </c:pt>
                <c:pt idx="19">
                  <c:v>39.136703948883778</c:v>
                </c:pt>
                <c:pt idx="20">
                  <c:v>35.820998418307973</c:v>
                </c:pt>
                <c:pt idx="21">
                  <c:v>29.86209353044304</c:v>
                </c:pt>
                <c:pt idx="22">
                  <c:v>28.323561631187449</c:v>
                </c:pt>
                <c:pt idx="23">
                  <c:v>22.934636799629974</c:v>
                </c:pt>
                <c:pt idx="24">
                  <c:v>24.77862323433294</c:v>
                </c:pt>
                <c:pt idx="25">
                  <c:v>43.072602093185999</c:v>
                </c:pt>
                <c:pt idx="26">
                  <c:v>63.157059899037044</c:v>
                </c:pt>
                <c:pt idx="27">
                  <c:v>59.846111924618825</c:v>
                </c:pt>
                <c:pt idx="28">
                  <c:v>39.466470496073434</c:v>
                </c:pt>
                <c:pt idx="29">
                  <c:v>45.186999781875592</c:v>
                </c:pt>
                <c:pt idx="30">
                  <c:v>46.874920059503758</c:v>
                </c:pt>
                <c:pt idx="31">
                  <c:v>43.753386051613333</c:v>
                </c:pt>
                <c:pt idx="32">
                  <c:v>40.091042575684064</c:v>
                </c:pt>
                <c:pt idx="33">
                  <c:v>33.586683955119838</c:v>
                </c:pt>
                <c:pt idx="34">
                  <c:v>31.880363009506514</c:v>
                </c:pt>
                <c:pt idx="35">
                  <c:v>26.029195156940972</c:v>
                </c:pt>
                <c:pt idx="36">
                  <c:v>27.987437501514872</c:v>
                </c:pt>
                <c:pt idx="37">
                  <c:v>48.793318784193019</c:v>
                </c:pt>
                <c:pt idx="38">
                  <c:v>70.327272438150942</c:v>
                </c:pt>
                <c:pt idx="39">
                  <c:v>66.703679804307029</c:v>
                </c:pt>
                <c:pt idx="40">
                  <c:v>43.625433701204798</c:v>
                </c:pt>
                <c:pt idx="41">
                  <c:v>49.709085259387727</c:v>
                </c:pt>
                <c:pt idx="42">
                  <c:v>51.468714581208964</c:v>
                </c:pt>
                <c:pt idx="43">
                  <c:v>48.057926746877357</c:v>
                </c:pt>
                <c:pt idx="44">
                  <c:v>44.108594501583241</c:v>
                </c:pt>
                <c:pt idx="45">
                  <c:v>37.138896999211497</c:v>
                </c:pt>
                <c:pt idx="46">
                  <c:v>35.294354387364841</c:v>
                </c:pt>
                <c:pt idx="47">
                  <c:v>29.042859150643761</c:v>
                </c:pt>
                <c:pt idx="48">
                  <c:v>31.108224173988088</c:v>
                </c:pt>
                <c:pt idx="49">
                  <c:v>54.427301126849088</c:v>
                </c:pt>
                <c:pt idx="50">
                  <c:v>77.26489899813113</c:v>
                </c:pt>
                <c:pt idx="51">
                  <c:v>73.374417433987261</c:v>
                </c:pt>
                <c:pt idx="52">
                  <c:v>47.621385306407099</c:v>
                </c:pt>
                <c:pt idx="53">
                  <c:v>54.039682216003818</c:v>
                </c:pt>
                <c:pt idx="54">
                  <c:v>55.871916619080629</c:v>
                </c:pt>
                <c:pt idx="55">
                  <c:v>52.691008265860468</c:v>
                </c:pt>
                <c:pt idx="56">
                  <c:v>48.488830810333553</c:v>
                </c:pt>
                <c:pt idx="57">
                  <c:v>41.101440037294289</c:v>
                </c:pt>
                <c:pt idx="58">
                  <c:v>39.13671970104128</c:v>
                </c:pt>
                <c:pt idx="59">
                  <c:v>32.523469279933472</c:v>
                </c:pt>
                <c:pt idx="60">
                  <c:v>34.692270012686009</c:v>
                </c:pt>
                <c:pt idx="61">
                  <c:v>60.263802409385107</c:v>
                </c:pt>
                <c:pt idx="62">
                  <c:v>84.310795914871861</c:v>
                </c:pt>
                <c:pt idx="63">
                  <c:v>80.180928757680931</c:v>
                </c:pt>
                <c:pt idx="64">
                  <c:v>52.035285050440478</c:v>
                </c:pt>
                <c:pt idx="65">
                  <c:v>58.770143269835373</c:v>
                </c:pt>
                <c:pt idx="66">
                  <c:v>60.676057780916359</c:v>
                </c:pt>
                <c:pt idx="67">
                  <c:v>57.16491055414329</c:v>
                </c:pt>
                <c:pt idx="68">
                  <c:v>52.731161409561025</c:v>
                </c:pt>
                <c:pt idx="69">
                  <c:v>44.958090084837885</c:v>
                </c:pt>
                <c:pt idx="70">
                  <c:v>42.883397056017579</c:v>
                </c:pt>
                <c:pt idx="71">
                  <c:v>35.934601186108246</c:v>
                </c:pt>
                <c:pt idx="72">
                  <c:v>38.200990173331313</c:v>
                </c:pt>
                <c:pt idx="73">
                  <c:v>65.830775959481471</c:v>
                </c:pt>
                <c:pt idx="74">
                  <c:v>91.010559619610689</c:v>
                </c:pt>
                <c:pt idx="75">
                  <c:v>86.659273530306109</c:v>
                </c:pt>
                <c:pt idx="76">
                  <c:v>56.326132007299123</c:v>
                </c:pt>
                <c:pt idx="77">
                  <c:v>63.359881134151692</c:v>
                </c:pt>
                <c:pt idx="78">
                  <c:v>65.337016641697275</c:v>
                </c:pt>
                <c:pt idx="79">
                  <c:v>61.116739411158733</c:v>
                </c:pt>
                <c:pt idx="80">
                  <c:v>56.464660344854643</c:v>
                </c:pt>
                <c:pt idx="81">
                  <c:v>48.327116686569639</c:v>
                </c:pt>
                <c:pt idx="82">
                  <c:v>46.148012860155681</c:v>
                </c:pt>
                <c:pt idx="83">
                  <c:v>38.881005578311253</c:v>
                </c:pt>
                <c:pt idx="84">
                  <c:v>41.239027575925888</c:v>
                </c:pt>
                <c:pt idx="85">
                  <c:v>71.15381429246726</c:v>
                </c:pt>
                <c:pt idx="86">
                  <c:v>97.409667935207054</c:v>
                </c:pt>
                <c:pt idx="87">
                  <c:v>92.849600197223154</c:v>
                </c:pt>
                <c:pt idx="88">
                  <c:v>60.104457590545522</c:v>
                </c:pt>
                <c:pt idx="89">
                  <c:v>67.422255695364797</c:v>
                </c:pt>
                <c:pt idx="90">
                  <c:v>69.467028544199181</c:v>
                </c:pt>
                <c:pt idx="91">
                  <c:v>65.056626932098666</c:v>
                </c:pt>
                <c:pt idx="92">
                  <c:v>60.197942211552565</c:v>
                </c:pt>
                <c:pt idx="93">
                  <c:v>51.713972564449975</c:v>
                </c:pt>
                <c:pt idx="94">
                  <c:v>49.436289657686899</c:v>
                </c:pt>
                <c:pt idx="95">
                  <c:v>41.866238554149248</c:v>
                </c:pt>
                <c:pt idx="96">
                  <c:v>44.312655308867967</c:v>
                </c:pt>
                <c:pt idx="97">
                  <c:v>76.435179311675597</c:v>
                </c:pt>
                <c:pt idx="98">
                  <c:v>103.72198686072028</c:v>
                </c:pt>
                <c:pt idx="99">
                  <c:v>98.963512979340734</c:v>
                </c:pt>
                <c:pt idx="100">
                  <c:v>63.890575817178757</c:v>
                </c:pt>
                <c:pt idx="101">
                  <c:v>71.481849644737181</c:v>
                </c:pt>
                <c:pt idx="102">
                  <c:v>73.592751248974253</c:v>
                </c:pt>
                <c:pt idx="103">
                  <c:v>69.007855376940128</c:v>
                </c:pt>
                <c:pt idx="104">
                  <c:v>63.951340397751771</c:v>
                </c:pt>
                <c:pt idx="105">
                  <c:v>55.134581426610936</c:v>
                </c:pt>
                <c:pt idx="106">
                  <c:v>52.762668263916886</c:v>
                </c:pt>
                <c:pt idx="107">
                  <c:v>44.90108593826627</c:v>
                </c:pt>
                <c:pt idx="108">
                  <c:v>47.433340367311708</c:v>
                </c:pt>
                <c:pt idx="109">
                  <c:v>80.976368112623419</c:v>
                </c:pt>
                <c:pt idx="110">
                  <c:v>109.25726855013632</c:v>
                </c:pt>
                <c:pt idx="111">
                  <c:v>104.30607049932443</c:v>
                </c:pt>
                <c:pt idx="112">
                  <c:v>67.702049656856971</c:v>
                </c:pt>
                <c:pt idx="113">
                  <c:v>75.558550361412898</c:v>
                </c:pt>
                <c:pt idx="114">
                  <c:v>77.734316119753231</c:v>
                </c:pt>
                <c:pt idx="115">
                  <c:v>72.922822469922096</c:v>
                </c:pt>
                <c:pt idx="116">
                  <c:v>67.676554543258845</c:v>
                </c:pt>
                <c:pt idx="117">
                  <c:v>58.539879007975813</c:v>
                </c:pt>
                <c:pt idx="118">
                  <c:v>56.077650067081379</c:v>
                </c:pt>
                <c:pt idx="119">
                  <c:v>47.935496599897512</c:v>
                </c:pt>
                <c:pt idx="120">
                  <c:v>50.550819776175281</c:v>
                </c:pt>
                <c:pt idx="121">
                  <c:v>85.48880061028585</c:v>
                </c:pt>
                <c:pt idx="122">
                  <c:v>114.72951010008204</c:v>
                </c:pt>
                <c:pt idx="123">
                  <c:v>109.59330915786542</c:v>
                </c:pt>
                <c:pt idx="124">
                  <c:v>71.487690345925841</c:v>
                </c:pt>
                <c:pt idx="125">
                  <c:v>79.600850145286614</c:v>
                </c:pt>
                <c:pt idx="126">
                  <c:v>81.83985395741783</c:v>
                </c:pt>
                <c:pt idx="127">
                  <c:v>76.735122832578796</c:v>
                </c:pt>
                <c:pt idx="128">
                  <c:v>71.305205299083582</c:v>
                </c:pt>
                <c:pt idx="129">
                  <c:v>61.858534217623145</c:v>
                </c:pt>
                <c:pt idx="130">
                  <c:v>59.308822433138857</c:v>
                </c:pt>
                <c:pt idx="131">
                  <c:v>50.894531501165879</c:v>
                </c:pt>
                <c:pt idx="132">
                  <c:v>53.590470617587584</c:v>
                </c:pt>
                <c:pt idx="133">
                  <c:v>89.65464866378008</c:v>
                </c:pt>
                <c:pt idx="134">
                  <c:v>119.82702586725851</c:v>
                </c:pt>
                <c:pt idx="135">
                  <c:v>114.51101095763563</c:v>
                </c:pt>
                <c:pt idx="136">
                  <c:v>75.176505248451306</c:v>
                </c:pt>
                <c:pt idx="137">
                  <c:v>83.539244089647411</c:v>
                </c:pt>
                <c:pt idx="138">
                  <c:v>85.839927892075337</c:v>
                </c:pt>
                <c:pt idx="139">
                  <c:v>80.566431115231737</c:v>
                </c:pt>
                <c:pt idx="140">
                  <c:v>74.958405176412796</c:v>
                </c:pt>
                <c:pt idx="141">
                  <c:v>65.210611398175928</c:v>
                </c:pt>
                <c:pt idx="142">
                  <c:v>62.576140271205311</c:v>
                </c:pt>
                <c:pt idx="143">
                  <c:v>53.89732370402367</c:v>
                </c:pt>
                <c:pt idx="144">
                  <c:v>56.672001988050738</c:v>
                </c:pt>
                <c:pt idx="145">
                  <c:v>93.832990430278542</c:v>
                </c:pt>
                <c:pt idx="146">
                  <c:v>124.91319159314793</c:v>
                </c:pt>
                <c:pt idx="147">
                  <c:v>119.42272784326551</c:v>
                </c:pt>
                <c:pt idx="148">
                  <c:v>78.891563196918881</c:v>
                </c:pt>
                <c:pt idx="149">
                  <c:v>87.49790374868499</c:v>
                </c:pt>
                <c:pt idx="150">
                  <c:v>89.859137793049982</c:v>
                </c:pt>
                <c:pt idx="151">
                  <c:v>84.428099980667412</c:v>
                </c:pt>
                <c:pt idx="152">
                  <c:v>78.646319393568405</c:v>
                </c:pt>
                <c:pt idx="153">
                  <c:v>68.604387157086293</c:v>
                </c:pt>
                <c:pt idx="154">
                  <c:v>65.887291293022045</c:v>
                </c:pt>
                <c:pt idx="155">
                  <c:v>56.949941976131804</c:v>
                </c:pt>
                <c:pt idx="156">
                  <c:v>59.801866187156222</c:v>
                </c:pt>
                <c:pt idx="157">
                  <c:v>98.036463006243025</c:v>
                </c:pt>
                <c:pt idx="158">
                  <c:v>130.00565874760318</c:v>
                </c:pt>
                <c:pt idx="159">
                  <c:v>124.34496721962424</c:v>
                </c:pt>
                <c:pt idx="160">
                  <c:v>82.642567113545866</c:v>
                </c:pt>
                <c:pt idx="161">
                  <c:v>91.487780996844478</c:v>
                </c:pt>
                <c:pt idx="162">
                  <c:v>93.908663288384801</c:v>
                </c:pt>
                <c:pt idx="163">
                  <c:v>88.25969214984373</c:v>
                </c:pt>
                <c:pt idx="164">
                  <c:v>82.308800740410092</c:v>
                </c:pt>
                <c:pt idx="165">
                  <c:v>71.980360324924675</c:v>
                </c:pt>
                <c:pt idx="166">
                  <c:v>69.182846979531504</c:v>
                </c:pt>
                <c:pt idx="167">
                  <c:v>59.993545377530502</c:v>
                </c:pt>
                <c:pt idx="168">
                  <c:v>62.920856500395189</c:v>
                </c:pt>
                <c:pt idx="169">
                  <c:v>102.2025692178584</c:v>
                </c:pt>
                <c:pt idx="170">
                  <c:v>135.03911348205185</c:v>
                </c:pt>
                <c:pt idx="171">
                  <c:v>129.21271143026391</c:v>
                </c:pt>
                <c:pt idx="172">
                  <c:v>86.367861954515035</c:v>
                </c:pt>
                <c:pt idx="173">
                  <c:v>95.446324343109012</c:v>
                </c:pt>
                <c:pt idx="174">
                  <c:v>97.92559918544147</c:v>
                </c:pt>
                <c:pt idx="175">
                  <c:v>92.118776112285488</c:v>
                </c:pt>
                <c:pt idx="176">
                  <c:v>86.002596659747908</c:v>
                </c:pt>
                <c:pt idx="177">
                  <c:v>75.393870491932844</c:v>
                </c:pt>
                <c:pt idx="178">
                  <c:v>72.517803513761564</c:v>
                </c:pt>
                <c:pt idx="179">
                  <c:v>63.081928382563895</c:v>
                </c:pt>
                <c:pt idx="180">
                  <c:v>66.083219760957903</c:v>
                </c:pt>
                <c:pt idx="181">
                  <c:v>106.39082697401854</c:v>
                </c:pt>
                <c:pt idx="182">
                  <c:v>140.07739374090016</c:v>
                </c:pt>
                <c:pt idx="183">
                  <c:v>134.08900352806717</c:v>
                </c:pt>
                <c:pt idx="184">
                  <c:v>90.124945496694011</c:v>
                </c:pt>
                <c:pt idx="185">
                  <c:v>99.432220790787625</c:v>
                </c:pt>
                <c:pt idx="186">
                  <c:v>101.96896710462629</c:v>
                </c:pt>
                <c:pt idx="187">
                  <c:v>96.007616124511657</c:v>
                </c:pt>
                <c:pt idx="188">
                  <c:v>89.729600686671318</c:v>
                </c:pt>
                <c:pt idx="189">
                  <c:v>78.846232146273593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01-494F-8A0C-88D184487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08696"/>
        <c:axId val="1"/>
      </c:lineChart>
      <c:dateAx>
        <c:axId val="20200869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5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02008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(NP15 Curve, SP15 Curve, and Fixed Price)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SP15 Curve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[1]Details!$AE$14:$AE$194</c:f>
              <c:numCache>
                <c:formatCode>General</c:formatCode>
                <c:ptCount val="181"/>
                <c:pt idx="0">
                  <c:v>19.423949999999998</c:v>
                </c:pt>
                <c:pt idx="1">
                  <c:v>19.144816666666664</c:v>
                </c:pt>
                <c:pt idx="2">
                  <c:v>18.087840322580643</c:v>
                </c:pt>
                <c:pt idx="3">
                  <c:v>22.019263333333331</c:v>
                </c:pt>
                <c:pt idx="4">
                  <c:v>33.711875806451616</c:v>
                </c:pt>
                <c:pt idx="5">
                  <c:v>42.019272580645158</c:v>
                </c:pt>
                <c:pt idx="6">
                  <c:v>35.654608333333336</c:v>
                </c:pt>
                <c:pt idx="7">
                  <c:v>23.363110483870965</c:v>
                </c:pt>
                <c:pt idx="8">
                  <c:v>22.597004166666665</c:v>
                </c:pt>
                <c:pt idx="9">
                  <c:v>24.003246774193549</c:v>
                </c:pt>
                <c:pt idx="10">
                  <c:v>22.541704838709677</c:v>
                </c:pt>
                <c:pt idx="11">
                  <c:v>20.797671428571423</c:v>
                </c:pt>
                <c:pt idx="12">
                  <c:v>20.366949999999996</c:v>
                </c:pt>
                <c:pt idx="13">
                  <c:v>20.087816666666662</c:v>
                </c:pt>
                <c:pt idx="14">
                  <c:v>19.030840322580644</c:v>
                </c:pt>
                <c:pt idx="15">
                  <c:v>22.962263333333329</c:v>
                </c:pt>
                <c:pt idx="16">
                  <c:v>35.395875806451613</c:v>
                </c:pt>
                <c:pt idx="17">
                  <c:v>43.703272580645162</c:v>
                </c:pt>
                <c:pt idx="18">
                  <c:v>37.338608333333333</c:v>
                </c:pt>
                <c:pt idx="19">
                  <c:v>24.306110483870967</c:v>
                </c:pt>
                <c:pt idx="20">
                  <c:v>23.54000416666667</c:v>
                </c:pt>
                <c:pt idx="21">
                  <c:v>24.946246774193547</c:v>
                </c:pt>
                <c:pt idx="22">
                  <c:v>23.398704838709676</c:v>
                </c:pt>
                <c:pt idx="23">
                  <c:v>21.654671428571426</c:v>
                </c:pt>
                <c:pt idx="24">
                  <c:v>21.223949999999999</c:v>
                </c:pt>
                <c:pt idx="25">
                  <c:v>20.944816666666664</c:v>
                </c:pt>
                <c:pt idx="26">
                  <c:v>19.887840322580644</c:v>
                </c:pt>
                <c:pt idx="27">
                  <c:v>23.819263333333332</c:v>
                </c:pt>
                <c:pt idx="28">
                  <c:v>36.993875806451612</c:v>
                </c:pt>
                <c:pt idx="29">
                  <c:v>45.301272580645161</c:v>
                </c:pt>
                <c:pt idx="30">
                  <c:v>38.936608333333332</c:v>
                </c:pt>
                <c:pt idx="31">
                  <c:v>25.163110483870966</c:v>
                </c:pt>
                <c:pt idx="32">
                  <c:v>24.397004166666669</c:v>
                </c:pt>
                <c:pt idx="33">
                  <c:v>25.80324677419355</c:v>
                </c:pt>
                <c:pt idx="34">
                  <c:v>24.255704838709679</c:v>
                </c:pt>
                <c:pt idx="35">
                  <c:v>22.511671428571425</c:v>
                </c:pt>
                <c:pt idx="36">
                  <c:v>22.080949999999998</c:v>
                </c:pt>
                <c:pt idx="37">
                  <c:v>21.801816666666664</c:v>
                </c:pt>
                <c:pt idx="38">
                  <c:v>20.744840322580643</c:v>
                </c:pt>
                <c:pt idx="39">
                  <c:v>24.676263333333331</c:v>
                </c:pt>
                <c:pt idx="40">
                  <c:v>38.591875806451618</c:v>
                </c:pt>
                <c:pt idx="41">
                  <c:v>46.89927258064516</c:v>
                </c:pt>
                <c:pt idx="42">
                  <c:v>40.534608333333338</c:v>
                </c:pt>
                <c:pt idx="43">
                  <c:v>26.020110483870969</c:v>
                </c:pt>
                <c:pt idx="44">
                  <c:v>25.254004166666668</c:v>
                </c:pt>
                <c:pt idx="45">
                  <c:v>26.660246774193549</c:v>
                </c:pt>
                <c:pt idx="46">
                  <c:v>25.397704838709679</c:v>
                </c:pt>
                <c:pt idx="47">
                  <c:v>23.653671428571425</c:v>
                </c:pt>
                <c:pt idx="48">
                  <c:v>23.222949999999997</c:v>
                </c:pt>
                <c:pt idx="49">
                  <c:v>22.943816666666663</c:v>
                </c:pt>
                <c:pt idx="50">
                  <c:v>21.886840322580646</c:v>
                </c:pt>
                <c:pt idx="51">
                  <c:v>25.818263333333331</c:v>
                </c:pt>
                <c:pt idx="52">
                  <c:v>40.303875806451614</c:v>
                </c:pt>
                <c:pt idx="53">
                  <c:v>48.611272580645164</c:v>
                </c:pt>
                <c:pt idx="54">
                  <c:v>42.246608333333327</c:v>
                </c:pt>
                <c:pt idx="55">
                  <c:v>27.162110483870968</c:v>
                </c:pt>
                <c:pt idx="56">
                  <c:v>26.396004166666668</c:v>
                </c:pt>
                <c:pt idx="57">
                  <c:v>27.802246774193549</c:v>
                </c:pt>
                <c:pt idx="58">
                  <c:v>26.439704838709677</c:v>
                </c:pt>
                <c:pt idx="59">
                  <c:v>24.695671428571423</c:v>
                </c:pt>
                <c:pt idx="60">
                  <c:v>24.264949999999995</c:v>
                </c:pt>
                <c:pt idx="61">
                  <c:v>23.985816666666665</c:v>
                </c:pt>
                <c:pt idx="62">
                  <c:v>22.928840322580644</c:v>
                </c:pt>
                <c:pt idx="63">
                  <c:v>26.860263333333332</c:v>
                </c:pt>
                <c:pt idx="64">
                  <c:v>41.801875806451612</c:v>
                </c:pt>
                <c:pt idx="65">
                  <c:v>50.109272580645154</c:v>
                </c:pt>
                <c:pt idx="66">
                  <c:v>43.744608333333332</c:v>
                </c:pt>
                <c:pt idx="67">
                  <c:v>28.204110483870966</c:v>
                </c:pt>
                <c:pt idx="68">
                  <c:v>27.438004166666669</c:v>
                </c:pt>
                <c:pt idx="69">
                  <c:v>28.84424677419355</c:v>
                </c:pt>
                <c:pt idx="70">
                  <c:v>27.196704838709675</c:v>
                </c:pt>
                <c:pt idx="71">
                  <c:v>25.452671428571424</c:v>
                </c:pt>
                <c:pt idx="72">
                  <c:v>25.021949999999997</c:v>
                </c:pt>
                <c:pt idx="73">
                  <c:v>24.742816666666663</c:v>
                </c:pt>
                <c:pt idx="74">
                  <c:v>23.685840322580646</c:v>
                </c:pt>
                <c:pt idx="75">
                  <c:v>27.61726333333333</c:v>
                </c:pt>
                <c:pt idx="76">
                  <c:v>43.12887580645161</c:v>
                </c:pt>
                <c:pt idx="77">
                  <c:v>51.436272580645159</c:v>
                </c:pt>
                <c:pt idx="78">
                  <c:v>45.07160833333333</c:v>
                </c:pt>
                <c:pt idx="79">
                  <c:v>28.961110483870968</c:v>
                </c:pt>
                <c:pt idx="80">
                  <c:v>28.195004166666671</c:v>
                </c:pt>
                <c:pt idx="81">
                  <c:v>29.601246774193548</c:v>
                </c:pt>
                <c:pt idx="82">
                  <c:v>27.910704838709677</c:v>
                </c:pt>
                <c:pt idx="83">
                  <c:v>26.166671428571426</c:v>
                </c:pt>
                <c:pt idx="84">
                  <c:v>25.735949999999999</c:v>
                </c:pt>
                <c:pt idx="85">
                  <c:v>25.456816666666661</c:v>
                </c:pt>
                <c:pt idx="86">
                  <c:v>24.399840322580644</c:v>
                </c:pt>
                <c:pt idx="87">
                  <c:v>28.331263333333332</c:v>
                </c:pt>
                <c:pt idx="88">
                  <c:v>44.355875806451621</c:v>
                </c:pt>
                <c:pt idx="89">
                  <c:v>52.663272580645156</c:v>
                </c:pt>
                <c:pt idx="90">
                  <c:v>46.298608333333334</c:v>
                </c:pt>
                <c:pt idx="91">
                  <c:v>29.675110483870967</c:v>
                </c:pt>
                <c:pt idx="92">
                  <c:v>28.909004166666666</c:v>
                </c:pt>
                <c:pt idx="93">
                  <c:v>30.315246774193547</c:v>
                </c:pt>
                <c:pt idx="94">
                  <c:v>28.624704838709675</c:v>
                </c:pt>
                <c:pt idx="95">
                  <c:v>26.880671428571425</c:v>
                </c:pt>
                <c:pt idx="96">
                  <c:v>26.449950000000001</c:v>
                </c:pt>
                <c:pt idx="97">
                  <c:v>26.170816666666664</c:v>
                </c:pt>
                <c:pt idx="98">
                  <c:v>25.113840322580643</c:v>
                </c:pt>
                <c:pt idx="99">
                  <c:v>29.045263333333331</c:v>
                </c:pt>
                <c:pt idx="100">
                  <c:v>45.18387580645161</c:v>
                </c:pt>
                <c:pt idx="101">
                  <c:v>53.491272580645159</c:v>
                </c:pt>
                <c:pt idx="102">
                  <c:v>47.12660833333333</c:v>
                </c:pt>
                <c:pt idx="103">
                  <c:v>30.389110483870969</c:v>
                </c:pt>
                <c:pt idx="104">
                  <c:v>29.623004166666668</c:v>
                </c:pt>
                <c:pt idx="105">
                  <c:v>31.029246774193549</c:v>
                </c:pt>
                <c:pt idx="106">
                  <c:v>29.317204838709678</c:v>
                </c:pt>
                <c:pt idx="107">
                  <c:v>27.573171428571428</c:v>
                </c:pt>
                <c:pt idx="108">
                  <c:v>27.142449999999997</c:v>
                </c:pt>
                <c:pt idx="109">
                  <c:v>26.86331666666667</c:v>
                </c:pt>
                <c:pt idx="110">
                  <c:v>25.806340322580645</c:v>
                </c:pt>
                <c:pt idx="111">
                  <c:v>29.737763333333334</c:v>
                </c:pt>
                <c:pt idx="112">
                  <c:v>45.99037580645161</c:v>
                </c:pt>
                <c:pt idx="113">
                  <c:v>54.297772580645159</c:v>
                </c:pt>
                <c:pt idx="114">
                  <c:v>47.93310833333333</c:v>
                </c:pt>
                <c:pt idx="115">
                  <c:v>31.081610483870968</c:v>
                </c:pt>
                <c:pt idx="116">
                  <c:v>30.31550416666667</c:v>
                </c:pt>
                <c:pt idx="117">
                  <c:v>31.721746774193555</c:v>
                </c:pt>
                <c:pt idx="118">
                  <c:v>29.952704838709678</c:v>
                </c:pt>
                <c:pt idx="119">
                  <c:v>28.208671428571424</c:v>
                </c:pt>
                <c:pt idx="120">
                  <c:v>27.777949999999997</c:v>
                </c:pt>
                <c:pt idx="121">
                  <c:v>27.498816666666663</c:v>
                </c:pt>
                <c:pt idx="122">
                  <c:v>26.441840322580646</c:v>
                </c:pt>
                <c:pt idx="123">
                  <c:v>30.373263333333334</c:v>
                </c:pt>
                <c:pt idx="124">
                  <c:v>46.625875806451617</c:v>
                </c:pt>
                <c:pt idx="125">
                  <c:v>54.933272580645159</c:v>
                </c:pt>
                <c:pt idx="126">
                  <c:v>48.56860833333333</c:v>
                </c:pt>
                <c:pt idx="127">
                  <c:v>31.717110483870968</c:v>
                </c:pt>
                <c:pt idx="128">
                  <c:v>30.951004166666671</c:v>
                </c:pt>
                <c:pt idx="129">
                  <c:v>32.357246774193548</c:v>
                </c:pt>
                <c:pt idx="130">
                  <c:v>30.588204838709679</c:v>
                </c:pt>
                <c:pt idx="131">
                  <c:v>28.844171428571428</c:v>
                </c:pt>
                <c:pt idx="132">
                  <c:v>28.413449999999997</c:v>
                </c:pt>
                <c:pt idx="133">
                  <c:v>28.134316666666667</c:v>
                </c:pt>
                <c:pt idx="134">
                  <c:v>27.077340322580646</c:v>
                </c:pt>
                <c:pt idx="135">
                  <c:v>31.008763333333334</c:v>
                </c:pt>
                <c:pt idx="136">
                  <c:v>47.261375806451618</c:v>
                </c:pt>
                <c:pt idx="137">
                  <c:v>55.56877258064516</c:v>
                </c:pt>
                <c:pt idx="138">
                  <c:v>49.204108333333323</c:v>
                </c:pt>
                <c:pt idx="139">
                  <c:v>32.352610483870968</c:v>
                </c:pt>
                <c:pt idx="140">
                  <c:v>31.586504166666668</c:v>
                </c:pt>
                <c:pt idx="141">
                  <c:v>32.992746774193549</c:v>
                </c:pt>
                <c:pt idx="142">
                  <c:v>31.223704838709676</c:v>
                </c:pt>
                <c:pt idx="143">
                  <c:v>29.479671428571422</c:v>
                </c:pt>
                <c:pt idx="144">
                  <c:v>29.048950000000001</c:v>
                </c:pt>
                <c:pt idx="145">
                  <c:v>28.769816666666667</c:v>
                </c:pt>
                <c:pt idx="146">
                  <c:v>27.712840322580643</c:v>
                </c:pt>
                <c:pt idx="147">
                  <c:v>31.644263333333335</c:v>
                </c:pt>
                <c:pt idx="148">
                  <c:v>47.896875806451618</c:v>
                </c:pt>
                <c:pt idx="149">
                  <c:v>56.20427258064516</c:v>
                </c:pt>
                <c:pt idx="150">
                  <c:v>49.839608333333331</c:v>
                </c:pt>
                <c:pt idx="151">
                  <c:v>32.988110483870969</c:v>
                </c:pt>
                <c:pt idx="152">
                  <c:v>32.222004166666665</c:v>
                </c:pt>
                <c:pt idx="153">
                  <c:v>33.628246774193549</c:v>
                </c:pt>
                <c:pt idx="154">
                  <c:v>31.837704838709676</c:v>
                </c:pt>
                <c:pt idx="155">
                  <c:v>30.093671428571426</c:v>
                </c:pt>
                <c:pt idx="156">
                  <c:v>29.662949999999999</c:v>
                </c:pt>
                <c:pt idx="157">
                  <c:v>29.383816666666664</c:v>
                </c:pt>
                <c:pt idx="158">
                  <c:v>28.326840322580647</c:v>
                </c:pt>
                <c:pt idx="159">
                  <c:v>32.258263333333332</c:v>
                </c:pt>
                <c:pt idx="160">
                  <c:v>48.510875806451615</c:v>
                </c:pt>
                <c:pt idx="161">
                  <c:v>56.818272580645171</c:v>
                </c:pt>
                <c:pt idx="162">
                  <c:v>50.453608333333335</c:v>
                </c:pt>
                <c:pt idx="163">
                  <c:v>33.602110483870973</c:v>
                </c:pt>
                <c:pt idx="164">
                  <c:v>32.836004166666669</c:v>
                </c:pt>
                <c:pt idx="165">
                  <c:v>34.242246774193546</c:v>
                </c:pt>
                <c:pt idx="166">
                  <c:v>32.451704838709681</c:v>
                </c:pt>
                <c:pt idx="167">
                  <c:v>30.70767142857143</c:v>
                </c:pt>
                <c:pt idx="168">
                  <c:v>30.276949999999999</c:v>
                </c:pt>
                <c:pt idx="169">
                  <c:v>29.997816666666665</c:v>
                </c:pt>
                <c:pt idx="170">
                  <c:v>28.940840322580645</c:v>
                </c:pt>
                <c:pt idx="171">
                  <c:v>32.872263333333336</c:v>
                </c:pt>
                <c:pt idx="172">
                  <c:v>49.124875806451612</c:v>
                </c:pt>
                <c:pt idx="173">
                  <c:v>57.432272580645154</c:v>
                </c:pt>
                <c:pt idx="174">
                  <c:v>51.067608333333339</c:v>
                </c:pt>
                <c:pt idx="175">
                  <c:v>34.21611048387097</c:v>
                </c:pt>
                <c:pt idx="176">
                  <c:v>33.450004166666666</c:v>
                </c:pt>
                <c:pt idx="177">
                  <c:v>34.856246774193551</c:v>
                </c:pt>
                <c:pt idx="178">
                  <c:v>33.065704838709678</c:v>
                </c:pt>
                <c:pt idx="179">
                  <c:v>31.321671428571427</c:v>
                </c:pt>
                <c:pt idx="180">
                  <c:v>30.890949999999997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4-43C6-88E1-6C3EE9CB1D98}"/>
            </c:ext>
          </c:extLst>
        </c:ser>
        <c:ser>
          <c:idx val="1"/>
          <c:order val="1"/>
          <c:tx>
            <c:v>NP15 Curve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[1]Details!$AF$14:$AF$194</c:f>
              <c:numCache>
                <c:formatCode>General</c:formatCode>
                <c:ptCount val="181"/>
                <c:pt idx="0">
                  <c:v>20.357022580645161</c:v>
                </c:pt>
                <c:pt idx="1">
                  <c:v>19.113316666666666</c:v>
                </c:pt>
                <c:pt idx="2">
                  <c:v>15.199251612903224</c:v>
                </c:pt>
                <c:pt idx="3">
                  <c:v>16.366246666666665</c:v>
                </c:pt>
                <c:pt idx="4">
                  <c:v>28.131964516129027</c:v>
                </c:pt>
                <c:pt idx="5">
                  <c:v>41.706348387096767</c:v>
                </c:pt>
                <c:pt idx="6">
                  <c:v>39.161316666666664</c:v>
                </c:pt>
                <c:pt idx="7">
                  <c:v>25.851578225806449</c:v>
                </c:pt>
                <c:pt idx="8">
                  <c:v>29.525962499999999</c:v>
                </c:pt>
                <c:pt idx="9">
                  <c:v>30.461738709677419</c:v>
                </c:pt>
                <c:pt idx="10">
                  <c:v>28.233646774193545</c:v>
                </c:pt>
                <c:pt idx="11">
                  <c:v>25.637849999999997</c:v>
                </c:pt>
                <c:pt idx="12">
                  <c:v>21.21402258064516</c:v>
                </c:pt>
                <c:pt idx="13">
                  <c:v>19.970316666666665</c:v>
                </c:pt>
                <c:pt idx="14">
                  <c:v>16.056251612903225</c:v>
                </c:pt>
                <c:pt idx="15">
                  <c:v>17.223246666666665</c:v>
                </c:pt>
                <c:pt idx="16">
                  <c:v>29.72996451612903</c:v>
                </c:pt>
                <c:pt idx="17">
                  <c:v>43.304348387096766</c:v>
                </c:pt>
                <c:pt idx="18">
                  <c:v>40.759316666666663</c:v>
                </c:pt>
                <c:pt idx="19">
                  <c:v>26.708578225806452</c:v>
                </c:pt>
                <c:pt idx="20">
                  <c:v>30.382962499999998</c:v>
                </c:pt>
                <c:pt idx="21">
                  <c:v>31.318738709677419</c:v>
                </c:pt>
                <c:pt idx="22">
                  <c:v>29.069146774193541</c:v>
                </c:pt>
                <c:pt idx="23">
                  <c:v>26.473349999999996</c:v>
                </c:pt>
                <c:pt idx="24">
                  <c:v>22.04952258064516</c:v>
                </c:pt>
                <c:pt idx="25">
                  <c:v>20.805816666666669</c:v>
                </c:pt>
                <c:pt idx="26">
                  <c:v>16.891751612903224</c:v>
                </c:pt>
                <c:pt idx="27">
                  <c:v>18.058746666666664</c:v>
                </c:pt>
                <c:pt idx="28">
                  <c:v>31.306464516129033</c:v>
                </c:pt>
                <c:pt idx="29">
                  <c:v>44.880848387096776</c:v>
                </c:pt>
                <c:pt idx="30">
                  <c:v>42.335816666666666</c:v>
                </c:pt>
                <c:pt idx="31">
                  <c:v>27.544078225806452</c:v>
                </c:pt>
                <c:pt idx="32">
                  <c:v>31.218462500000001</c:v>
                </c:pt>
                <c:pt idx="33">
                  <c:v>32.154238709677422</c:v>
                </c:pt>
                <c:pt idx="34">
                  <c:v>29.883146774193541</c:v>
                </c:pt>
                <c:pt idx="35">
                  <c:v>27.287349999999996</c:v>
                </c:pt>
                <c:pt idx="36">
                  <c:v>22.86352258064516</c:v>
                </c:pt>
                <c:pt idx="37">
                  <c:v>21.619816666666665</c:v>
                </c:pt>
                <c:pt idx="38">
                  <c:v>17.705751612903224</c:v>
                </c:pt>
                <c:pt idx="39">
                  <c:v>18.872746666666664</c:v>
                </c:pt>
                <c:pt idx="40">
                  <c:v>32.861464516129026</c:v>
                </c:pt>
                <c:pt idx="41">
                  <c:v>46.435848387096769</c:v>
                </c:pt>
                <c:pt idx="42">
                  <c:v>43.890816666666666</c:v>
                </c:pt>
                <c:pt idx="43">
                  <c:v>28.358078225806452</c:v>
                </c:pt>
                <c:pt idx="44">
                  <c:v>32.032462499999994</c:v>
                </c:pt>
                <c:pt idx="45">
                  <c:v>32.968238709677422</c:v>
                </c:pt>
                <c:pt idx="46">
                  <c:v>30.960646774193545</c:v>
                </c:pt>
                <c:pt idx="47">
                  <c:v>28.364849999999997</c:v>
                </c:pt>
                <c:pt idx="48">
                  <c:v>23.941022580645161</c:v>
                </c:pt>
                <c:pt idx="49">
                  <c:v>22.697316666666666</c:v>
                </c:pt>
                <c:pt idx="50">
                  <c:v>18.783251612903221</c:v>
                </c:pt>
                <c:pt idx="51">
                  <c:v>19.950246666666665</c:v>
                </c:pt>
                <c:pt idx="52">
                  <c:v>34.508964516129033</c:v>
                </c:pt>
                <c:pt idx="53">
                  <c:v>48.08334838709677</c:v>
                </c:pt>
                <c:pt idx="54">
                  <c:v>45.538316666666667</c:v>
                </c:pt>
                <c:pt idx="55">
                  <c:v>29.435578225806449</c:v>
                </c:pt>
                <c:pt idx="56">
                  <c:v>33.109962499999995</c:v>
                </c:pt>
                <c:pt idx="57">
                  <c:v>34.045738709677416</c:v>
                </c:pt>
                <c:pt idx="58">
                  <c:v>31.959646774193544</c:v>
                </c:pt>
                <c:pt idx="59">
                  <c:v>29.363849999999999</c:v>
                </c:pt>
                <c:pt idx="60">
                  <c:v>24.940022580645156</c:v>
                </c:pt>
                <c:pt idx="61">
                  <c:v>23.696316666666661</c:v>
                </c:pt>
                <c:pt idx="62">
                  <c:v>19.782251612903224</c:v>
                </c:pt>
                <c:pt idx="63">
                  <c:v>20.949246666666664</c:v>
                </c:pt>
                <c:pt idx="64">
                  <c:v>35.963964516129032</c:v>
                </c:pt>
                <c:pt idx="65">
                  <c:v>49.538348387096775</c:v>
                </c:pt>
                <c:pt idx="66">
                  <c:v>46.993316666666658</c:v>
                </c:pt>
                <c:pt idx="67">
                  <c:v>30.434578225806455</c:v>
                </c:pt>
                <c:pt idx="68">
                  <c:v>34.108962499999997</c:v>
                </c:pt>
                <c:pt idx="69">
                  <c:v>35.044738709677418</c:v>
                </c:pt>
                <c:pt idx="70">
                  <c:v>32.673646774193543</c:v>
                </c:pt>
                <c:pt idx="71">
                  <c:v>30.077850000000002</c:v>
                </c:pt>
                <c:pt idx="72">
                  <c:v>25.654022580645158</c:v>
                </c:pt>
                <c:pt idx="73">
                  <c:v>24.410316666666667</c:v>
                </c:pt>
                <c:pt idx="74">
                  <c:v>20.496251612903222</c:v>
                </c:pt>
                <c:pt idx="75">
                  <c:v>21.663246666666666</c:v>
                </c:pt>
                <c:pt idx="76">
                  <c:v>37.247964516129031</c:v>
                </c:pt>
                <c:pt idx="77">
                  <c:v>50.822348387096774</c:v>
                </c:pt>
                <c:pt idx="78">
                  <c:v>48.277316666666664</c:v>
                </c:pt>
                <c:pt idx="79">
                  <c:v>31.14857822580645</c:v>
                </c:pt>
                <c:pt idx="80">
                  <c:v>34.822962499999996</c:v>
                </c:pt>
                <c:pt idx="81">
                  <c:v>35.758738709677417</c:v>
                </c:pt>
                <c:pt idx="82">
                  <c:v>33.387646774193549</c:v>
                </c:pt>
                <c:pt idx="83">
                  <c:v>30.791849999999997</c:v>
                </c:pt>
                <c:pt idx="84">
                  <c:v>26.36802258064516</c:v>
                </c:pt>
                <c:pt idx="85">
                  <c:v>25.124316666666665</c:v>
                </c:pt>
                <c:pt idx="86">
                  <c:v>21.210251612903221</c:v>
                </c:pt>
                <c:pt idx="87">
                  <c:v>22.377246666666665</c:v>
                </c:pt>
                <c:pt idx="88">
                  <c:v>38.474964516129027</c:v>
                </c:pt>
                <c:pt idx="89">
                  <c:v>52.049348387096771</c:v>
                </c:pt>
                <c:pt idx="90">
                  <c:v>49.504316666666668</c:v>
                </c:pt>
                <c:pt idx="91">
                  <c:v>31.862578225806452</c:v>
                </c:pt>
                <c:pt idx="92">
                  <c:v>35.536962500000001</c:v>
                </c:pt>
                <c:pt idx="93">
                  <c:v>36.472738709677415</c:v>
                </c:pt>
                <c:pt idx="94">
                  <c:v>34.10164677419354</c:v>
                </c:pt>
                <c:pt idx="95">
                  <c:v>31.505849999999995</c:v>
                </c:pt>
                <c:pt idx="96">
                  <c:v>27.082022580645162</c:v>
                </c:pt>
                <c:pt idx="97">
                  <c:v>25.838316666666664</c:v>
                </c:pt>
                <c:pt idx="98">
                  <c:v>21.924251612903223</c:v>
                </c:pt>
                <c:pt idx="99">
                  <c:v>23.091246666666663</c:v>
                </c:pt>
                <c:pt idx="100">
                  <c:v>39.302964516129023</c:v>
                </c:pt>
                <c:pt idx="101">
                  <c:v>52.877348387096774</c:v>
                </c:pt>
                <c:pt idx="102">
                  <c:v>50.332316666666671</c:v>
                </c:pt>
                <c:pt idx="103">
                  <c:v>32.57657822580645</c:v>
                </c:pt>
                <c:pt idx="104">
                  <c:v>36.2509625</c:v>
                </c:pt>
                <c:pt idx="105">
                  <c:v>37.186738709677421</c:v>
                </c:pt>
                <c:pt idx="106">
                  <c:v>34.79414677419355</c:v>
                </c:pt>
                <c:pt idx="107">
                  <c:v>32.198349999999998</c:v>
                </c:pt>
                <c:pt idx="108">
                  <c:v>27.774522580645161</c:v>
                </c:pt>
                <c:pt idx="109">
                  <c:v>26.530816666666666</c:v>
                </c:pt>
                <c:pt idx="110">
                  <c:v>22.616751612903222</c:v>
                </c:pt>
                <c:pt idx="111">
                  <c:v>23.783746666666666</c:v>
                </c:pt>
                <c:pt idx="112">
                  <c:v>40.10946451612903</c:v>
                </c:pt>
                <c:pt idx="113">
                  <c:v>53.683848387096774</c:v>
                </c:pt>
                <c:pt idx="114">
                  <c:v>51.138816666666671</c:v>
                </c:pt>
                <c:pt idx="115">
                  <c:v>33.269078225806453</c:v>
                </c:pt>
                <c:pt idx="116">
                  <c:v>36.943462500000003</c:v>
                </c:pt>
                <c:pt idx="117">
                  <c:v>37.879238709677423</c:v>
                </c:pt>
                <c:pt idx="118">
                  <c:v>35.429646774193543</c:v>
                </c:pt>
                <c:pt idx="119">
                  <c:v>32.833849999999998</c:v>
                </c:pt>
                <c:pt idx="120">
                  <c:v>28.410022580645162</c:v>
                </c:pt>
                <c:pt idx="121">
                  <c:v>27.166316666666663</c:v>
                </c:pt>
                <c:pt idx="122">
                  <c:v>23.252251612903223</c:v>
                </c:pt>
                <c:pt idx="123">
                  <c:v>24.419246666666663</c:v>
                </c:pt>
                <c:pt idx="124">
                  <c:v>40.744964516129031</c:v>
                </c:pt>
                <c:pt idx="125">
                  <c:v>54.319348387096767</c:v>
                </c:pt>
                <c:pt idx="126">
                  <c:v>51.774316666666671</c:v>
                </c:pt>
                <c:pt idx="127">
                  <c:v>33.904578225806453</c:v>
                </c:pt>
                <c:pt idx="128">
                  <c:v>37.578962499999996</c:v>
                </c:pt>
                <c:pt idx="129">
                  <c:v>38.514738709677417</c:v>
                </c:pt>
                <c:pt idx="130">
                  <c:v>36.065146774193543</c:v>
                </c:pt>
                <c:pt idx="131">
                  <c:v>33.469349999999999</c:v>
                </c:pt>
                <c:pt idx="132">
                  <c:v>29.045522580645162</c:v>
                </c:pt>
                <c:pt idx="133">
                  <c:v>27.801816666666667</c:v>
                </c:pt>
                <c:pt idx="134">
                  <c:v>23.887751612903223</c:v>
                </c:pt>
                <c:pt idx="135">
                  <c:v>25.054746666666666</c:v>
                </c:pt>
                <c:pt idx="136">
                  <c:v>41.380464516129031</c:v>
                </c:pt>
                <c:pt idx="137">
                  <c:v>54.954848387096774</c:v>
                </c:pt>
                <c:pt idx="138">
                  <c:v>52.409816666666664</c:v>
                </c:pt>
                <c:pt idx="139">
                  <c:v>34.540078225806454</c:v>
                </c:pt>
                <c:pt idx="140">
                  <c:v>38.214462499999996</c:v>
                </c:pt>
                <c:pt idx="141">
                  <c:v>39.150238709677417</c:v>
                </c:pt>
                <c:pt idx="142">
                  <c:v>36.700646774193544</c:v>
                </c:pt>
                <c:pt idx="143">
                  <c:v>34.104849999999999</c:v>
                </c:pt>
                <c:pt idx="144">
                  <c:v>29.681022580645166</c:v>
                </c:pt>
                <c:pt idx="145">
                  <c:v>28.437316666666668</c:v>
                </c:pt>
                <c:pt idx="146">
                  <c:v>24.523251612903223</c:v>
                </c:pt>
                <c:pt idx="147">
                  <c:v>25.690246666666667</c:v>
                </c:pt>
                <c:pt idx="148">
                  <c:v>42.015964516129031</c:v>
                </c:pt>
                <c:pt idx="149">
                  <c:v>55.590348387096768</c:v>
                </c:pt>
                <c:pt idx="150">
                  <c:v>53.045316666666665</c:v>
                </c:pt>
                <c:pt idx="151">
                  <c:v>35.175578225806454</c:v>
                </c:pt>
                <c:pt idx="152">
                  <c:v>38.849962499999997</c:v>
                </c:pt>
                <c:pt idx="153">
                  <c:v>39.785738709677418</c:v>
                </c:pt>
                <c:pt idx="154">
                  <c:v>37.314646774193548</c:v>
                </c:pt>
                <c:pt idx="155">
                  <c:v>34.718849999999996</c:v>
                </c:pt>
                <c:pt idx="156">
                  <c:v>30.295022580645163</c:v>
                </c:pt>
                <c:pt idx="157">
                  <c:v>29.051316666666665</c:v>
                </c:pt>
                <c:pt idx="158">
                  <c:v>25.137251612903221</c:v>
                </c:pt>
                <c:pt idx="159">
                  <c:v>26.304246666666664</c:v>
                </c:pt>
                <c:pt idx="160">
                  <c:v>42.629964516129036</c:v>
                </c:pt>
                <c:pt idx="161">
                  <c:v>56.204348387096772</c:v>
                </c:pt>
                <c:pt idx="162">
                  <c:v>53.659316666666669</c:v>
                </c:pt>
                <c:pt idx="163">
                  <c:v>35.789578225806451</c:v>
                </c:pt>
                <c:pt idx="164">
                  <c:v>39.463962499999994</c:v>
                </c:pt>
                <c:pt idx="165">
                  <c:v>40.399738709677415</c:v>
                </c:pt>
                <c:pt idx="166">
                  <c:v>37.928646774193545</c:v>
                </c:pt>
                <c:pt idx="167">
                  <c:v>35.332849999999993</c:v>
                </c:pt>
                <c:pt idx="168">
                  <c:v>30.909022580645164</c:v>
                </c:pt>
                <c:pt idx="169">
                  <c:v>29.665316666666666</c:v>
                </c:pt>
                <c:pt idx="170">
                  <c:v>25.751251612903221</c:v>
                </c:pt>
                <c:pt idx="171">
                  <c:v>26.918246666666665</c:v>
                </c:pt>
                <c:pt idx="172">
                  <c:v>43.243964516129033</c:v>
                </c:pt>
                <c:pt idx="173">
                  <c:v>56.818348387096776</c:v>
                </c:pt>
                <c:pt idx="174">
                  <c:v>54.273316666666666</c:v>
                </c:pt>
                <c:pt idx="175">
                  <c:v>36.403578225806449</c:v>
                </c:pt>
                <c:pt idx="176">
                  <c:v>40.077962499999998</c:v>
                </c:pt>
                <c:pt idx="177">
                  <c:v>41.013738709677419</c:v>
                </c:pt>
                <c:pt idx="178">
                  <c:v>38.542646774193543</c:v>
                </c:pt>
                <c:pt idx="179">
                  <c:v>35.946849999999998</c:v>
                </c:pt>
                <c:pt idx="180">
                  <c:v>31.523022580645161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64-43C6-88E1-6C3EE9CB1D98}"/>
            </c:ext>
          </c:extLst>
        </c:ser>
        <c:ser>
          <c:idx val="2"/>
          <c:order val="2"/>
          <c:tx>
            <c:v>Fixed Price (Adj. By 75% of CPI)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[1]Details!$AG$14:$AG$194</c:f>
              <c:numCache>
                <c:formatCode>General</c:formatCode>
                <c:ptCount val="181"/>
                <c:pt idx="0">
                  <c:v>28.75</c:v>
                </c:pt>
                <c:pt idx="1">
                  <c:v>28.75</c:v>
                </c:pt>
                <c:pt idx="2">
                  <c:v>28.75</c:v>
                </c:pt>
                <c:pt idx="3">
                  <c:v>28.75</c:v>
                </c:pt>
                <c:pt idx="4">
                  <c:v>28.75</c:v>
                </c:pt>
                <c:pt idx="5">
                  <c:v>28.75</c:v>
                </c:pt>
                <c:pt idx="6">
                  <c:v>28.75</c:v>
                </c:pt>
                <c:pt idx="7">
                  <c:v>28.75</c:v>
                </c:pt>
                <c:pt idx="8">
                  <c:v>28.75</c:v>
                </c:pt>
                <c:pt idx="9">
                  <c:v>28.75</c:v>
                </c:pt>
                <c:pt idx="10">
                  <c:v>29.034623041213962</c:v>
                </c:pt>
                <c:pt idx="11">
                  <c:v>29.034623041213962</c:v>
                </c:pt>
                <c:pt idx="12">
                  <c:v>29.034623041213962</c:v>
                </c:pt>
                <c:pt idx="13">
                  <c:v>29.034623041213962</c:v>
                </c:pt>
                <c:pt idx="14">
                  <c:v>29.034623041213962</c:v>
                </c:pt>
                <c:pt idx="15">
                  <c:v>29.034623041213962</c:v>
                </c:pt>
                <c:pt idx="16">
                  <c:v>29.034623041213962</c:v>
                </c:pt>
                <c:pt idx="17">
                  <c:v>29.034623041213962</c:v>
                </c:pt>
                <c:pt idx="18">
                  <c:v>29.034623041213962</c:v>
                </c:pt>
                <c:pt idx="19">
                  <c:v>29.034623041213962</c:v>
                </c:pt>
                <c:pt idx="20">
                  <c:v>29.034623041213962</c:v>
                </c:pt>
                <c:pt idx="21">
                  <c:v>29.034623041213962</c:v>
                </c:pt>
                <c:pt idx="22">
                  <c:v>29.299068570626893</c:v>
                </c:pt>
                <c:pt idx="23">
                  <c:v>29.299068570626893</c:v>
                </c:pt>
                <c:pt idx="24">
                  <c:v>29.299068570626893</c:v>
                </c:pt>
                <c:pt idx="25">
                  <c:v>29.299068570626893</c:v>
                </c:pt>
                <c:pt idx="26">
                  <c:v>29.299068570626893</c:v>
                </c:pt>
                <c:pt idx="27">
                  <c:v>29.299068570626893</c:v>
                </c:pt>
                <c:pt idx="28">
                  <c:v>29.299068570626893</c:v>
                </c:pt>
                <c:pt idx="29">
                  <c:v>29.299068570626893</c:v>
                </c:pt>
                <c:pt idx="30">
                  <c:v>29.299068570626893</c:v>
                </c:pt>
                <c:pt idx="31">
                  <c:v>29.299068570626893</c:v>
                </c:pt>
                <c:pt idx="32">
                  <c:v>29.299068570626893</c:v>
                </c:pt>
                <c:pt idx="33">
                  <c:v>29.299068570626893</c:v>
                </c:pt>
                <c:pt idx="34">
                  <c:v>29.546761196625923</c:v>
                </c:pt>
                <c:pt idx="35">
                  <c:v>29.546761196625923</c:v>
                </c:pt>
                <c:pt idx="36">
                  <c:v>29.546761196625923</c:v>
                </c:pt>
                <c:pt idx="37">
                  <c:v>29.546761196625923</c:v>
                </c:pt>
                <c:pt idx="38">
                  <c:v>29.546761196625923</c:v>
                </c:pt>
                <c:pt idx="39">
                  <c:v>29.546761196625923</c:v>
                </c:pt>
                <c:pt idx="40">
                  <c:v>29.546761196625923</c:v>
                </c:pt>
                <c:pt idx="41">
                  <c:v>29.546761196625923</c:v>
                </c:pt>
                <c:pt idx="42">
                  <c:v>29.546761196625923</c:v>
                </c:pt>
                <c:pt idx="43">
                  <c:v>29.546761196625923</c:v>
                </c:pt>
                <c:pt idx="44">
                  <c:v>29.546761196625923</c:v>
                </c:pt>
                <c:pt idx="45">
                  <c:v>29.546761196625923</c:v>
                </c:pt>
                <c:pt idx="46">
                  <c:v>29.781301779637278</c:v>
                </c:pt>
                <c:pt idx="47">
                  <c:v>29.781301779637278</c:v>
                </c:pt>
                <c:pt idx="48">
                  <c:v>29.781301779637278</c:v>
                </c:pt>
                <c:pt idx="49">
                  <c:v>29.781301779637278</c:v>
                </c:pt>
                <c:pt idx="50">
                  <c:v>29.781301779637278</c:v>
                </c:pt>
                <c:pt idx="51">
                  <c:v>29.781301779637278</c:v>
                </c:pt>
                <c:pt idx="52">
                  <c:v>29.781301779637278</c:v>
                </c:pt>
                <c:pt idx="53">
                  <c:v>29.781301779637278</c:v>
                </c:pt>
                <c:pt idx="54">
                  <c:v>29.781301779637278</c:v>
                </c:pt>
                <c:pt idx="55">
                  <c:v>29.781301779637278</c:v>
                </c:pt>
                <c:pt idx="56">
                  <c:v>29.781301779637278</c:v>
                </c:pt>
                <c:pt idx="57">
                  <c:v>29.781301779637278</c:v>
                </c:pt>
                <c:pt idx="58">
                  <c:v>30.006446879748143</c:v>
                </c:pt>
                <c:pt idx="59">
                  <c:v>30.006446879748143</c:v>
                </c:pt>
                <c:pt idx="60">
                  <c:v>30.006446879748143</c:v>
                </c:pt>
                <c:pt idx="61">
                  <c:v>30.006446879748143</c:v>
                </c:pt>
                <c:pt idx="62">
                  <c:v>30.006446879748143</c:v>
                </c:pt>
                <c:pt idx="63">
                  <c:v>30.006446879748143</c:v>
                </c:pt>
                <c:pt idx="64">
                  <c:v>30.006446879748143</c:v>
                </c:pt>
                <c:pt idx="65">
                  <c:v>30.006446879748143</c:v>
                </c:pt>
                <c:pt idx="66">
                  <c:v>30.006446879748143</c:v>
                </c:pt>
                <c:pt idx="67">
                  <c:v>30.006446879748143</c:v>
                </c:pt>
                <c:pt idx="68">
                  <c:v>30.006446879748143</c:v>
                </c:pt>
                <c:pt idx="69">
                  <c:v>30.006446879748143</c:v>
                </c:pt>
                <c:pt idx="70">
                  <c:v>30.226092568311621</c:v>
                </c:pt>
                <c:pt idx="71">
                  <c:v>30.226092568311621</c:v>
                </c:pt>
                <c:pt idx="72">
                  <c:v>30.226092568311621</c:v>
                </c:pt>
                <c:pt idx="73">
                  <c:v>30.226092568311621</c:v>
                </c:pt>
                <c:pt idx="74">
                  <c:v>30.226092568311621</c:v>
                </c:pt>
                <c:pt idx="75">
                  <c:v>30.226092568311621</c:v>
                </c:pt>
                <c:pt idx="76">
                  <c:v>30.226092568311621</c:v>
                </c:pt>
                <c:pt idx="77">
                  <c:v>30.226092568311621</c:v>
                </c:pt>
                <c:pt idx="78">
                  <c:v>30.226092568311621</c:v>
                </c:pt>
                <c:pt idx="79">
                  <c:v>30.226092568311621</c:v>
                </c:pt>
                <c:pt idx="80">
                  <c:v>30.226092568311621</c:v>
                </c:pt>
                <c:pt idx="81">
                  <c:v>30.226092568311621</c:v>
                </c:pt>
                <c:pt idx="82">
                  <c:v>30.444263012451042</c:v>
                </c:pt>
                <c:pt idx="83">
                  <c:v>30.444263012451042</c:v>
                </c:pt>
                <c:pt idx="84">
                  <c:v>30.444263012451042</c:v>
                </c:pt>
                <c:pt idx="85">
                  <c:v>30.444263012451042</c:v>
                </c:pt>
                <c:pt idx="86">
                  <c:v>30.444263012451042</c:v>
                </c:pt>
                <c:pt idx="87">
                  <c:v>30.444263012451042</c:v>
                </c:pt>
                <c:pt idx="88">
                  <c:v>30.444263012451042</c:v>
                </c:pt>
                <c:pt idx="89">
                  <c:v>30.444263012451042</c:v>
                </c:pt>
                <c:pt idx="90">
                  <c:v>30.444263012451042</c:v>
                </c:pt>
                <c:pt idx="91">
                  <c:v>30.444263012451042</c:v>
                </c:pt>
                <c:pt idx="92">
                  <c:v>30.444263012451042</c:v>
                </c:pt>
                <c:pt idx="93">
                  <c:v>30.444263012451042</c:v>
                </c:pt>
                <c:pt idx="94">
                  <c:v>30.665104185885173</c:v>
                </c:pt>
                <c:pt idx="95">
                  <c:v>30.665104185885173</c:v>
                </c:pt>
                <c:pt idx="96">
                  <c:v>30.665104185885173</c:v>
                </c:pt>
                <c:pt idx="97">
                  <c:v>30.665104185885173</c:v>
                </c:pt>
                <c:pt idx="98">
                  <c:v>30.665104185885173</c:v>
                </c:pt>
                <c:pt idx="99">
                  <c:v>30.665104185885173</c:v>
                </c:pt>
                <c:pt idx="100">
                  <c:v>30.665104185885173</c:v>
                </c:pt>
                <c:pt idx="101">
                  <c:v>30.665104185885173</c:v>
                </c:pt>
                <c:pt idx="102">
                  <c:v>30.665104185885173</c:v>
                </c:pt>
                <c:pt idx="103">
                  <c:v>30.665104185885173</c:v>
                </c:pt>
                <c:pt idx="104">
                  <c:v>30.665104185885173</c:v>
                </c:pt>
                <c:pt idx="105">
                  <c:v>30.665104185885173</c:v>
                </c:pt>
                <c:pt idx="106">
                  <c:v>30.892883021021351</c:v>
                </c:pt>
                <c:pt idx="107">
                  <c:v>30.892883021021351</c:v>
                </c:pt>
                <c:pt idx="108">
                  <c:v>30.892883021021351</c:v>
                </c:pt>
                <c:pt idx="109">
                  <c:v>30.892883021021351</c:v>
                </c:pt>
                <c:pt idx="110">
                  <c:v>30.892883021021351</c:v>
                </c:pt>
                <c:pt idx="111">
                  <c:v>30.892883021021351</c:v>
                </c:pt>
                <c:pt idx="112">
                  <c:v>30.892883021021351</c:v>
                </c:pt>
                <c:pt idx="113">
                  <c:v>30.892883021021351</c:v>
                </c:pt>
                <c:pt idx="114">
                  <c:v>30.892883021021351</c:v>
                </c:pt>
                <c:pt idx="115">
                  <c:v>30.892883021021351</c:v>
                </c:pt>
                <c:pt idx="116">
                  <c:v>30.892883021021351</c:v>
                </c:pt>
                <c:pt idx="117">
                  <c:v>30.892883021021351</c:v>
                </c:pt>
                <c:pt idx="118">
                  <c:v>31.131992297814335</c:v>
                </c:pt>
                <c:pt idx="119">
                  <c:v>31.131992297814335</c:v>
                </c:pt>
                <c:pt idx="120">
                  <c:v>31.131992297814335</c:v>
                </c:pt>
                <c:pt idx="121">
                  <c:v>31.131992297814335</c:v>
                </c:pt>
                <c:pt idx="122">
                  <c:v>31.131992297814335</c:v>
                </c:pt>
                <c:pt idx="123">
                  <c:v>31.131992297814335</c:v>
                </c:pt>
                <c:pt idx="124">
                  <c:v>31.131992297814335</c:v>
                </c:pt>
                <c:pt idx="125">
                  <c:v>31.131992297814335</c:v>
                </c:pt>
                <c:pt idx="126">
                  <c:v>31.131992297814335</c:v>
                </c:pt>
                <c:pt idx="127">
                  <c:v>31.131992297814335</c:v>
                </c:pt>
                <c:pt idx="128">
                  <c:v>31.131992297814335</c:v>
                </c:pt>
                <c:pt idx="129">
                  <c:v>31.131992297814335</c:v>
                </c:pt>
                <c:pt idx="130">
                  <c:v>31.386961566223764</c:v>
                </c:pt>
                <c:pt idx="131">
                  <c:v>31.386961566223764</c:v>
                </c:pt>
                <c:pt idx="132">
                  <c:v>31.386961566223764</c:v>
                </c:pt>
                <c:pt idx="133">
                  <c:v>31.386961566223764</c:v>
                </c:pt>
                <c:pt idx="134">
                  <c:v>31.386961566223764</c:v>
                </c:pt>
                <c:pt idx="135">
                  <c:v>31.386961566223764</c:v>
                </c:pt>
                <c:pt idx="136">
                  <c:v>31.386961566223764</c:v>
                </c:pt>
                <c:pt idx="137">
                  <c:v>31.386961566223764</c:v>
                </c:pt>
                <c:pt idx="138">
                  <c:v>31.386961566223764</c:v>
                </c:pt>
                <c:pt idx="139">
                  <c:v>31.386961566223764</c:v>
                </c:pt>
                <c:pt idx="140">
                  <c:v>31.386961566223764</c:v>
                </c:pt>
                <c:pt idx="141">
                  <c:v>31.386961566223764</c:v>
                </c:pt>
                <c:pt idx="142">
                  <c:v>31.662474422862672</c:v>
                </c:pt>
                <c:pt idx="143">
                  <c:v>31.662474422862672</c:v>
                </c:pt>
                <c:pt idx="144">
                  <c:v>31.662474422862672</c:v>
                </c:pt>
                <c:pt idx="145">
                  <c:v>31.662474422862672</c:v>
                </c:pt>
                <c:pt idx="146">
                  <c:v>31.662474422862672</c:v>
                </c:pt>
                <c:pt idx="147">
                  <c:v>31.662474422862672</c:v>
                </c:pt>
                <c:pt idx="148">
                  <c:v>31.662474422862672</c:v>
                </c:pt>
                <c:pt idx="149">
                  <c:v>31.662474422862672</c:v>
                </c:pt>
                <c:pt idx="150">
                  <c:v>31.662474422862672</c:v>
                </c:pt>
                <c:pt idx="151">
                  <c:v>31.662474422862672</c:v>
                </c:pt>
                <c:pt idx="152">
                  <c:v>31.662474422862672</c:v>
                </c:pt>
                <c:pt idx="153">
                  <c:v>31.662474422862672</c:v>
                </c:pt>
                <c:pt idx="154">
                  <c:v>31.963392510308168</c:v>
                </c:pt>
                <c:pt idx="155">
                  <c:v>31.963392510308168</c:v>
                </c:pt>
                <c:pt idx="156">
                  <c:v>31.963392510308168</c:v>
                </c:pt>
                <c:pt idx="157">
                  <c:v>31.963392510308168</c:v>
                </c:pt>
                <c:pt idx="158">
                  <c:v>31.963392510308168</c:v>
                </c:pt>
                <c:pt idx="159">
                  <c:v>31.963392510308168</c:v>
                </c:pt>
                <c:pt idx="160">
                  <c:v>31.963392510308168</c:v>
                </c:pt>
                <c:pt idx="161">
                  <c:v>31.963392510308168</c:v>
                </c:pt>
                <c:pt idx="162">
                  <c:v>31.963392510308168</c:v>
                </c:pt>
                <c:pt idx="163">
                  <c:v>31.963392510308168</c:v>
                </c:pt>
                <c:pt idx="164">
                  <c:v>31.963392510308168</c:v>
                </c:pt>
                <c:pt idx="165">
                  <c:v>31.963392510308168</c:v>
                </c:pt>
                <c:pt idx="166">
                  <c:v>32.29478668144673</c:v>
                </c:pt>
                <c:pt idx="167">
                  <c:v>32.29478668144673</c:v>
                </c:pt>
                <c:pt idx="168">
                  <c:v>32.29478668144673</c:v>
                </c:pt>
                <c:pt idx="169">
                  <c:v>32.29478668144673</c:v>
                </c:pt>
                <c:pt idx="170">
                  <c:v>32.29478668144673</c:v>
                </c:pt>
                <c:pt idx="171">
                  <c:v>32.29478668144673</c:v>
                </c:pt>
                <c:pt idx="172">
                  <c:v>32.29478668144673</c:v>
                </c:pt>
                <c:pt idx="173">
                  <c:v>32.29478668144673</c:v>
                </c:pt>
                <c:pt idx="174">
                  <c:v>32.29478668144673</c:v>
                </c:pt>
                <c:pt idx="175">
                  <c:v>32.29478668144673</c:v>
                </c:pt>
                <c:pt idx="176">
                  <c:v>32.29478668144673</c:v>
                </c:pt>
                <c:pt idx="177">
                  <c:v>32.29478668144673</c:v>
                </c:pt>
                <c:pt idx="178">
                  <c:v>32.662000094398834</c:v>
                </c:pt>
                <c:pt idx="179">
                  <c:v>32.662000094398834</c:v>
                </c:pt>
                <c:pt idx="180">
                  <c:v>32.662000094398834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64-43C6-88E1-6C3EE9CB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11648"/>
        <c:axId val="1"/>
      </c:lineChart>
      <c:dateAx>
        <c:axId val="20201164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4"/>
        <c:majorTimeUnit val="years"/>
        <c:minorUnit val="2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02011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  <a:endParaRPr lang="en-US" sz="150" b="1" i="0" u="none" strike="noStrike" baseline="0">
              <a:solidFill>
                <a:srgbClr val="000000"/>
              </a:solidFill>
              <a:latin typeface="Arial Narrow"/>
            </a:endParaRP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1" u="none" strike="noStrike" baseline="0">
                <a:solidFill>
                  <a:srgbClr val="000000"/>
                </a:solidFill>
                <a:latin typeface="Arial Narrow"/>
              </a:rPr>
              <a:t>(Potential MTM Exposure)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 Shift</c:v>
          </c:tx>
          <c:spPr>
            <a:ln w="381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[1]Details!$BJ$5:$BJ$194</c:f>
              <c:numCache>
                <c:formatCode>General</c:formatCode>
                <c:ptCount val="190"/>
                <c:pt idx="0">
                  <c:v>975036.55819650367</c:v>
                </c:pt>
                <c:pt idx="1">
                  <c:v>975036.55819650367</c:v>
                </c:pt>
                <c:pt idx="2">
                  <c:v>975036.55819650367</c:v>
                </c:pt>
                <c:pt idx="3">
                  <c:v>975036.55819650367</c:v>
                </c:pt>
                <c:pt idx="4">
                  <c:v>975036.55819650367</c:v>
                </c:pt>
                <c:pt idx="5">
                  <c:v>975036.55819650367</c:v>
                </c:pt>
                <c:pt idx="6">
                  <c:v>975036.55819650367</c:v>
                </c:pt>
                <c:pt idx="7">
                  <c:v>975036.55819650367</c:v>
                </c:pt>
                <c:pt idx="8">
                  <c:v>975036.55819650367</c:v>
                </c:pt>
                <c:pt idx="9">
                  <c:v>975036.55819650367</c:v>
                </c:pt>
                <c:pt idx="10">
                  <c:v>981165.04535997845</c:v>
                </c:pt>
                <c:pt idx="11">
                  <c:v>988172.4916353561</c:v>
                </c:pt>
                <c:pt idx="12">
                  <c:v>1007100.4256436136</c:v>
                </c:pt>
                <c:pt idx="13">
                  <c:v>1030199.3556076996</c:v>
                </c:pt>
                <c:pt idx="14">
                  <c:v>1022076.1404552227</c:v>
                </c:pt>
                <c:pt idx="15">
                  <c:v>982064.27999464981</c:v>
                </c:pt>
                <c:pt idx="16">
                  <c:v>953468.92031057179</c:v>
                </c:pt>
                <c:pt idx="17">
                  <c:v>958759.81041801535</c:v>
                </c:pt>
                <c:pt idx="18">
                  <c:v>958202.67783046141</c:v>
                </c:pt>
                <c:pt idx="19">
                  <c:v>954736.31341589056</c:v>
                </c:pt>
                <c:pt idx="20">
                  <c:v>957189.05789299682</c:v>
                </c:pt>
                <c:pt idx="21">
                  <c:v>964866.1198037453</c:v>
                </c:pt>
                <c:pt idx="22">
                  <c:v>981393.39869495854</c:v>
                </c:pt>
                <c:pt idx="23">
                  <c:v>999621.30655038916</c:v>
                </c:pt>
                <c:pt idx="24">
                  <c:v>1026009.566918578</c:v>
                </c:pt>
                <c:pt idx="25">
                  <c:v>1046222.4614740582</c:v>
                </c:pt>
                <c:pt idx="26">
                  <c:v>1035101.2682018038</c:v>
                </c:pt>
                <c:pt idx="27">
                  <c:v>993988.89504383691</c:v>
                </c:pt>
                <c:pt idx="28">
                  <c:v>963755.75443063118</c:v>
                </c:pt>
                <c:pt idx="29">
                  <c:v>967177.01982827857</c:v>
                </c:pt>
                <c:pt idx="30">
                  <c:v>965154.93725783378</c:v>
                </c:pt>
                <c:pt idx="31">
                  <c:v>960354.87988791801</c:v>
                </c:pt>
                <c:pt idx="32">
                  <c:v>961188.91381756682</c:v>
                </c:pt>
                <c:pt idx="33">
                  <c:v>967084.40711896494</c:v>
                </c:pt>
                <c:pt idx="34">
                  <c:v>981165.59999447316</c:v>
                </c:pt>
                <c:pt idx="35">
                  <c:v>996898.41714305431</c:v>
                </c:pt>
                <c:pt idx="36">
                  <c:v>1020261.4192951387</c:v>
                </c:pt>
                <c:pt idx="37">
                  <c:v>1037871.7798742894</c:v>
                </c:pt>
                <c:pt idx="38">
                  <c:v>1024211.670532573</c:v>
                </c:pt>
                <c:pt idx="39">
                  <c:v>982383.60976884328</c:v>
                </c:pt>
                <c:pt idx="40">
                  <c:v>950901.16579079535</c:v>
                </c:pt>
                <c:pt idx="41">
                  <c:v>952710.64737679064</c:v>
                </c:pt>
                <c:pt idx="42">
                  <c:v>949457.89203235041</c:v>
                </c:pt>
                <c:pt idx="43">
                  <c:v>943557.3799468847</c:v>
                </c:pt>
                <c:pt idx="44">
                  <c:v>942954.3949857736</c:v>
                </c:pt>
                <c:pt idx="45">
                  <c:v>947246.9480807716</c:v>
                </c:pt>
                <c:pt idx="46">
                  <c:v>959101.69320845976</c:v>
                </c:pt>
                <c:pt idx="47">
                  <c:v>972558.19780713785</c:v>
                </c:pt>
                <c:pt idx="48">
                  <c:v>993143.33346648701</c:v>
                </c:pt>
                <c:pt idx="49">
                  <c:v>1008374.8083276413</c:v>
                </c:pt>
                <c:pt idx="50">
                  <c:v>992532.38881371357</c:v>
                </c:pt>
                <c:pt idx="51">
                  <c:v>950260.91979265958</c:v>
                </c:pt>
                <c:pt idx="52">
                  <c:v>917819.57414026931</c:v>
                </c:pt>
                <c:pt idx="53">
                  <c:v>918195.79849384632</c:v>
                </c:pt>
                <c:pt idx="54">
                  <c:v>913870.55630118307</c:v>
                </c:pt>
                <c:pt idx="55">
                  <c:v>907025.83538364712</c:v>
                </c:pt>
                <c:pt idx="56">
                  <c:v>904541.2480766587</c:v>
                </c:pt>
                <c:pt idx="57">
                  <c:v>906926.48758726008</c:v>
                </c:pt>
                <c:pt idx="58">
                  <c:v>916144.82301439717</c:v>
                </c:pt>
                <c:pt idx="59">
                  <c:v>926934.0202847058</c:v>
                </c:pt>
                <c:pt idx="60">
                  <c:v>944352.4450592082</c:v>
                </c:pt>
                <c:pt idx="61">
                  <c:v>956822.71246863063</c:v>
                </c:pt>
                <c:pt idx="62">
                  <c:v>938908.2002147967</c:v>
                </c:pt>
                <c:pt idx="63">
                  <c:v>896233.20451892447</c:v>
                </c:pt>
                <c:pt idx="64">
                  <c:v>862886.40522916615</c:v>
                </c:pt>
                <c:pt idx="65">
                  <c:v>861410.54639591649</c:v>
                </c:pt>
                <c:pt idx="66">
                  <c:v>855595.0727381194</c:v>
                </c:pt>
                <c:pt idx="67">
                  <c:v>847367.71731318161</c:v>
                </c:pt>
                <c:pt idx="68">
                  <c:v>843395.74266709387</c:v>
                </c:pt>
                <c:pt idx="69">
                  <c:v>844080.39248230401</c:v>
                </c:pt>
                <c:pt idx="70">
                  <c:v>851102.63304428104</c:v>
                </c:pt>
                <c:pt idx="71">
                  <c:v>859660.29564956482</c:v>
                </c:pt>
                <c:pt idx="72">
                  <c:v>874394.77665869333</c:v>
                </c:pt>
                <c:pt idx="73">
                  <c:v>884546.09221683908</c:v>
                </c:pt>
                <c:pt idx="74">
                  <c:v>865246.29996737558</c:v>
                </c:pt>
                <c:pt idx="75">
                  <c:v>822737.21144890971</c:v>
                </c:pt>
                <c:pt idx="76">
                  <c:v>789073.60941912513</c:v>
                </c:pt>
                <c:pt idx="77">
                  <c:v>786124.66424817219</c:v>
                </c:pt>
                <c:pt idx="78">
                  <c:v>779165.3070617076</c:v>
                </c:pt>
                <c:pt idx="79">
                  <c:v>769903.07665061951</c:v>
                </c:pt>
                <c:pt idx="80">
                  <c:v>765176.91178210266</c:v>
                </c:pt>
                <c:pt idx="81">
                  <c:v>764918.4372736644</c:v>
                </c:pt>
                <c:pt idx="82">
                  <c:v>770509.18733433727</c:v>
                </c:pt>
                <c:pt idx="83">
                  <c:v>777575.78316943906</c:v>
                </c:pt>
                <c:pt idx="84">
                  <c:v>790404.19518299773</c:v>
                </c:pt>
                <c:pt idx="85">
                  <c:v>798973.79553046729</c:v>
                </c:pt>
                <c:pt idx="86">
                  <c:v>778856.38308935892</c:v>
                </c:pt>
                <c:pt idx="87">
                  <c:v>736999.61005634069</c:v>
                </c:pt>
                <c:pt idx="88">
                  <c:v>703508.89363993704</c:v>
                </c:pt>
                <c:pt idx="89">
                  <c:v>699790.60808963235</c:v>
                </c:pt>
                <c:pt idx="90">
                  <c:v>692350.01804210106</c:v>
                </c:pt>
                <c:pt idx="91">
                  <c:v>682725.90913970815</c:v>
                </c:pt>
                <c:pt idx="92">
                  <c:v>677381.12200490991</c:v>
                </c:pt>
                <c:pt idx="93">
                  <c:v>676316.17015286023</c:v>
                </c:pt>
                <c:pt idx="94">
                  <c:v>680648.8294238667</c:v>
                </c:pt>
                <c:pt idx="95">
                  <c:v>686398.50545100449</c:v>
                </c:pt>
                <c:pt idx="96">
                  <c:v>697523.0915004639</c:v>
                </c:pt>
                <c:pt idx="97">
                  <c:v>704690.04711900419</c:v>
                </c:pt>
                <c:pt idx="98">
                  <c:v>684061.17582847085</c:v>
                </c:pt>
                <c:pt idx="99">
                  <c:v>643076.68201527139</c:v>
                </c:pt>
                <c:pt idx="100">
                  <c:v>609998.89348429115</c:v>
                </c:pt>
                <c:pt idx="101">
                  <c:v>605643.69338835124</c:v>
                </c:pt>
                <c:pt idx="102">
                  <c:v>597835.00717440993</c:v>
                </c:pt>
                <c:pt idx="103">
                  <c:v>587958.44012683863</c:v>
                </c:pt>
                <c:pt idx="104">
                  <c:v>582099.29600480339</c:v>
                </c:pt>
                <c:pt idx="105">
                  <c:v>580272.34383206163</c:v>
                </c:pt>
                <c:pt idx="106">
                  <c:v>583484.39218289126</c:v>
                </c:pt>
                <c:pt idx="107">
                  <c:v>588054.53100473853</c:v>
                </c:pt>
                <c:pt idx="108">
                  <c:v>597633.25016119145</c:v>
                </c:pt>
                <c:pt idx="109">
                  <c:v>603538.20559928007</c:v>
                </c:pt>
                <c:pt idx="110">
                  <c:v>583218.46250950731</c:v>
                </c:pt>
                <c:pt idx="111">
                  <c:v>543854.87051141635</c:v>
                </c:pt>
                <c:pt idx="112">
                  <c:v>511931.31824013544</c:v>
                </c:pt>
                <c:pt idx="113">
                  <c:v>507043.72119742492</c:v>
                </c:pt>
                <c:pt idx="114">
                  <c:v>498955.58840805013</c:v>
                </c:pt>
                <c:pt idx="115">
                  <c:v>488911.55538776657</c:v>
                </c:pt>
                <c:pt idx="116">
                  <c:v>482675.48473864002</c:v>
                </c:pt>
                <c:pt idx="117">
                  <c:v>480347.70406269003</c:v>
                </c:pt>
                <c:pt idx="118">
                  <c:v>482606.64616740076</c:v>
                </c:pt>
                <c:pt idx="119">
                  <c:v>486164.10077807633</c:v>
                </c:pt>
                <c:pt idx="120">
                  <c:v>494387.03522970062</c:v>
                </c:pt>
                <c:pt idx="121">
                  <c:v>499201.45772389416</c:v>
                </c:pt>
                <c:pt idx="122">
                  <c:v>479284.21800693823</c:v>
                </c:pt>
                <c:pt idx="123">
                  <c:v>441548.27848195308</c:v>
                </c:pt>
                <c:pt idx="124">
                  <c:v>410805.25668034982</c:v>
                </c:pt>
                <c:pt idx="125">
                  <c:v>405512.16901973728</c:v>
                </c:pt>
                <c:pt idx="126">
                  <c:v>397249.37423113827</c:v>
                </c:pt>
                <c:pt idx="127">
                  <c:v>387135.16332239378</c:v>
                </c:pt>
                <c:pt idx="128">
                  <c:v>380689.2224639398</c:v>
                </c:pt>
                <c:pt idx="129">
                  <c:v>377964.41096472205</c:v>
                </c:pt>
                <c:pt idx="130">
                  <c:v>379479.98188525485</c:v>
                </c:pt>
                <c:pt idx="131">
                  <c:v>382234.78756152606</c:v>
                </c:pt>
                <c:pt idx="132">
                  <c:v>389344.83621003153</c:v>
                </c:pt>
                <c:pt idx="133">
                  <c:v>391738.00468794256</c:v>
                </c:pt>
                <c:pt idx="134">
                  <c:v>376287.31456056889</c:v>
                </c:pt>
                <c:pt idx="135">
                  <c:v>348579.10880196397</c:v>
                </c:pt>
                <c:pt idx="136">
                  <c:v>326331.91189349908</c:v>
                </c:pt>
                <c:pt idx="137">
                  <c:v>322310.27038998436</c:v>
                </c:pt>
                <c:pt idx="138">
                  <c:v>316618.9218059401</c:v>
                </c:pt>
                <c:pt idx="139">
                  <c:v>309550.83973989356</c:v>
                </c:pt>
                <c:pt idx="140">
                  <c:v>305068.09301536391</c:v>
                </c:pt>
                <c:pt idx="141">
                  <c:v>303168.54584062379</c:v>
                </c:pt>
                <c:pt idx="142">
                  <c:v>303910.15683821822</c:v>
                </c:pt>
                <c:pt idx="143">
                  <c:v>305459.96167377243</c:v>
                </c:pt>
                <c:pt idx="144">
                  <c:v>309837.61918805796</c:v>
                </c:pt>
                <c:pt idx="145">
                  <c:v>311682.00362085039</c:v>
                </c:pt>
                <c:pt idx="146">
                  <c:v>296806.4297907541</c:v>
                </c:pt>
                <c:pt idx="147">
                  <c:v>270456.21244734991</c:v>
                </c:pt>
                <c:pt idx="148">
                  <c:v>249235.47100641811</c:v>
                </c:pt>
                <c:pt idx="149">
                  <c:v>245069.11295271199</c:v>
                </c:pt>
                <c:pt idx="150">
                  <c:v>239354.71018596995</c:v>
                </c:pt>
                <c:pt idx="151">
                  <c:v>232340.86479605967</c:v>
                </c:pt>
                <c:pt idx="152">
                  <c:v>227769.05906991567</c:v>
                </c:pt>
                <c:pt idx="153">
                  <c:v>225578.35109238187</c:v>
                </c:pt>
                <c:pt idx="154">
                  <c:v>225901.43519641575</c:v>
                </c:pt>
                <c:pt idx="155">
                  <c:v>226994.88363350672</c:v>
                </c:pt>
                <c:pt idx="156">
                  <c:v>230724.9489897422</c:v>
                </c:pt>
                <c:pt idx="157">
                  <c:v>232097.91235607862</c:v>
                </c:pt>
                <c:pt idx="158">
                  <c:v>217814.07924872171</c:v>
                </c:pt>
                <c:pt idx="159">
                  <c:v>192794.92463268596</c:v>
                </c:pt>
                <c:pt idx="160">
                  <c:v>172590.19734023919</c:v>
                </c:pt>
                <c:pt idx="161">
                  <c:v>168334.75760423264</c:v>
                </c:pt>
                <c:pt idx="162">
                  <c:v>162644.42004274786</c:v>
                </c:pt>
                <c:pt idx="163">
                  <c:v>155728.93047292496</c:v>
                </c:pt>
                <c:pt idx="164">
                  <c:v>151142.74880546972</c:v>
                </c:pt>
                <c:pt idx="165">
                  <c:v>148886.54925314314</c:v>
                </c:pt>
                <c:pt idx="166">
                  <c:v>148883.48084620968</c:v>
                </c:pt>
                <c:pt idx="167">
                  <c:v>149612.74525396538</c:v>
                </c:pt>
                <c:pt idx="168">
                  <c:v>152800.82244047732</c:v>
                </c:pt>
                <c:pt idx="169">
                  <c:v>153794.79454175872</c:v>
                </c:pt>
                <c:pt idx="170">
                  <c:v>140132.25242294965</c:v>
                </c:pt>
                <c:pt idx="171">
                  <c:v>116428.32842802478</c:v>
                </c:pt>
                <c:pt idx="172">
                  <c:v>97240.474075366743</c:v>
                </c:pt>
                <c:pt idx="173">
                  <c:v>92965.867491039622</c:v>
                </c:pt>
                <c:pt idx="174">
                  <c:v>87360.19147670659</c:v>
                </c:pt>
                <c:pt idx="175">
                  <c:v>80600.848032031616</c:v>
                </c:pt>
                <c:pt idx="176">
                  <c:v>76047.14572644711</c:v>
                </c:pt>
                <c:pt idx="177">
                  <c:v>73699.845432457281</c:v>
                </c:pt>
                <c:pt idx="178">
                  <c:v>73436.006267368153</c:v>
                </c:pt>
                <c:pt idx="179">
                  <c:v>73866.966981214704</c:v>
                </c:pt>
                <c:pt idx="180">
                  <c:v>76590.601286577061</c:v>
                </c:pt>
                <c:pt idx="181">
                  <c:v>77271.878138635948</c:v>
                </c:pt>
                <c:pt idx="182">
                  <c:v>64239.52808310432</c:v>
                </c:pt>
                <c:pt idx="183">
                  <c:v>41818.759329671389</c:v>
                </c:pt>
                <c:pt idx="184">
                  <c:v>23631.473326905601</c:v>
                </c:pt>
                <c:pt idx="185">
                  <c:v>19383.413684329964</c:v>
                </c:pt>
                <c:pt idx="186">
                  <c:v>13900.337048608242</c:v>
                </c:pt>
                <c:pt idx="187">
                  <c:v>7332.0653701154806</c:v>
                </c:pt>
                <c:pt idx="188">
                  <c:v>2855.1099976867117</c:v>
                </c:pt>
                <c:pt idx="189">
                  <c:v>463.55288938220838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6-48D3-A29A-C62AD26C6A9C}"/>
            </c:ext>
          </c:extLst>
        </c:ser>
        <c:ser>
          <c:idx val="1"/>
          <c:order val="1"/>
          <c:tx>
            <c:v>1 Std. Dev. Shift Upward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[1]Details!$BK$5:$BK$194</c:f>
              <c:numCache>
                <c:formatCode>General</c:formatCode>
                <c:ptCount val="190"/>
                <c:pt idx="0">
                  <c:v>1098162.8274325021</c:v>
                </c:pt>
                <c:pt idx="1">
                  <c:v>1360968.2399776466</c:v>
                </c:pt>
                <c:pt idx="2">
                  <c:v>1510653.818501683</c:v>
                </c:pt>
                <c:pt idx="3">
                  <c:v>1626589.7763410117</c:v>
                </c:pt>
                <c:pt idx="4">
                  <c:v>1721644.9428000543</c:v>
                </c:pt>
                <c:pt idx="5">
                  <c:v>1808374.7027158923</c:v>
                </c:pt>
                <c:pt idx="6">
                  <c:v>1884302.9752778895</c:v>
                </c:pt>
                <c:pt idx="7">
                  <c:v>1956455.4864329062</c:v>
                </c:pt>
                <c:pt idx="8">
                  <c:v>2023506.6354934331</c:v>
                </c:pt>
                <c:pt idx="9">
                  <c:v>2082435.5557876416</c:v>
                </c:pt>
                <c:pt idx="10">
                  <c:v>2144901.0197993461</c:v>
                </c:pt>
                <c:pt idx="11">
                  <c:v>2203462.7914204672</c:v>
                </c:pt>
                <c:pt idx="12">
                  <c:v>2270384.7520813085</c:v>
                </c:pt>
                <c:pt idx="13">
                  <c:v>2333629.8178060353</c:v>
                </c:pt>
                <c:pt idx="14">
                  <c:v>2357855.4071580032</c:v>
                </c:pt>
                <c:pt idx="15">
                  <c:v>2340629.1995037012</c:v>
                </c:pt>
                <c:pt idx="16">
                  <c:v>2333371.1841321904</c:v>
                </c:pt>
                <c:pt idx="17">
                  <c:v>2365833.1923474167</c:v>
                </c:pt>
                <c:pt idx="18">
                  <c:v>2388313.9791247658</c:v>
                </c:pt>
                <c:pt idx="19">
                  <c:v>2411188.7071371693</c:v>
                </c:pt>
                <c:pt idx="20">
                  <c:v>2439214.3376269918</c:v>
                </c:pt>
                <c:pt idx="21">
                  <c:v>2469648.1474413313</c:v>
                </c:pt>
                <c:pt idx="22">
                  <c:v>2511499.9373930246</c:v>
                </c:pt>
                <c:pt idx="23">
                  <c:v>2553480.1554687712</c:v>
                </c:pt>
                <c:pt idx="24">
                  <c:v>2604704.3258124366</c:v>
                </c:pt>
                <c:pt idx="25">
                  <c:v>2646983.2477837233</c:v>
                </c:pt>
                <c:pt idx="26">
                  <c:v>2651498.2993245553</c:v>
                </c:pt>
                <c:pt idx="27">
                  <c:v>2618944.9966407232</c:v>
                </c:pt>
                <c:pt idx="28">
                  <c:v>2597647.6236549262</c:v>
                </c:pt>
                <c:pt idx="29">
                  <c:v>2616189.0433036778</c:v>
                </c:pt>
                <c:pt idx="30">
                  <c:v>2626827.7091235891</c:v>
                </c:pt>
                <c:pt idx="31">
                  <c:v>2633646.6922623459</c:v>
                </c:pt>
                <c:pt idx="32">
                  <c:v>2646288.3672416825</c:v>
                </c:pt>
                <c:pt idx="33">
                  <c:v>2663266.2393670324</c:v>
                </c:pt>
                <c:pt idx="34">
                  <c:v>2690566.4924404509</c:v>
                </c:pt>
                <c:pt idx="35">
                  <c:v>2718926.1957179159</c:v>
                </c:pt>
                <c:pt idx="36">
                  <c:v>2756325.7980434047</c:v>
                </c:pt>
                <c:pt idx="37">
                  <c:v>2785844.5697208242</c:v>
                </c:pt>
                <c:pt idx="38">
                  <c:v>2776539.0496689826</c:v>
                </c:pt>
                <c:pt idx="39">
                  <c:v>2731714.7118533403</c:v>
                </c:pt>
                <c:pt idx="40">
                  <c:v>2698645.5892153997</c:v>
                </c:pt>
                <c:pt idx="41">
                  <c:v>2706304.3067599889</c:v>
                </c:pt>
                <c:pt idx="42">
                  <c:v>2706953.0187819004</c:v>
                </c:pt>
                <c:pt idx="43">
                  <c:v>2703888.7704725321</c:v>
                </c:pt>
                <c:pt idx="44">
                  <c:v>2706733.7680955678</c:v>
                </c:pt>
                <c:pt idx="45">
                  <c:v>2714906.932229354</c:v>
                </c:pt>
                <c:pt idx="46">
                  <c:v>2732400.7844597362</c:v>
                </c:pt>
                <c:pt idx="47">
                  <c:v>2751416.5936892917</c:v>
                </c:pt>
                <c:pt idx="48">
                  <c:v>2779080.3466390129</c:v>
                </c:pt>
                <c:pt idx="49">
                  <c:v>2799597.7928614486</c:v>
                </c:pt>
                <c:pt idx="50">
                  <c:v>2780507.0528724352</c:v>
                </c:pt>
                <c:pt idx="51">
                  <c:v>2727420.6342208087</c:v>
                </c:pt>
                <c:pt idx="52">
                  <c:v>2686194.4083274575</c:v>
                </c:pt>
                <c:pt idx="53">
                  <c:v>2686143.0104091307</c:v>
                </c:pt>
                <c:pt idx="54">
                  <c:v>2679748.4151605871</c:v>
                </c:pt>
                <c:pt idx="55">
                  <c:v>2669712.2570528584</c:v>
                </c:pt>
                <c:pt idx="56">
                  <c:v>2664717.291915074</c:v>
                </c:pt>
                <c:pt idx="57">
                  <c:v>2665745.2352872565</c:v>
                </c:pt>
                <c:pt idx="58">
                  <c:v>2675075.2278162455</c:v>
                </c:pt>
                <c:pt idx="59">
                  <c:v>2686226.3410235634</c:v>
                </c:pt>
                <c:pt idx="60">
                  <c:v>2705550.0190017801</c:v>
                </c:pt>
                <c:pt idx="61">
                  <c:v>2718360.7782054404</c:v>
                </c:pt>
                <c:pt idx="62">
                  <c:v>2691537.6423213324</c:v>
                </c:pt>
                <c:pt idx="63">
                  <c:v>2632273.2432927014</c:v>
                </c:pt>
                <c:pt idx="64">
                  <c:v>2584772.8351061763</c:v>
                </c:pt>
                <c:pt idx="65">
                  <c:v>2578101.3087677965</c:v>
                </c:pt>
                <c:pt idx="66">
                  <c:v>2565667.3034673026</c:v>
                </c:pt>
                <c:pt idx="67">
                  <c:v>2549635.5507475641</c:v>
                </c:pt>
                <c:pt idx="68">
                  <c:v>2538728.5919760745</c:v>
                </c:pt>
                <c:pt idx="69">
                  <c:v>2534230.7872996088</c:v>
                </c:pt>
                <c:pt idx="70">
                  <c:v>2537214.1837110212</c:v>
                </c:pt>
                <c:pt idx="71">
                  <c:v>2542209.3944602711</c:v>
                </c:pt>
                <c:pt idx="72">
                  <c:v>2554910.3797545936</c:v>
                </c:pt>
                <c:pt idx="73">
                  <c:v>2561637.6559386896</c:v>
                </c:pt>
                <c:pt idx="74">
                  <c:v>2529166.5025549633</c:v>
                </c:pt>
                <c:pt idx="75">
                  <c:v>2465780.0027782004</c:v>
                </c:pt>
                <c:pt idx="76">
                  <c:v>2413953.1079441225</c:v>
                </c:pt>
                <c:pt idx="77">
                  <c:v>2402187.030132357</c:v>
                </c:pt>
                <c:pt idx="78">
                  <c:v>2385161.1971126739</c:v>
                </c:pt>
                <c:pt idx="79">
                  <c:v>2364600.5622966373</c:v>
                </c:pt>
                <c:pt idx="80">
                  <c:v>2349714.0127287023</c:v>
                </c:pt>
                <c:pt idx="81">
                  <c:v>2341434.7277012672</c:v>
                </c:pt>
                <c:pt idx="82">
                  <c:v>2339923.9470977513</c:v>
                </c:pt>
                <c:pt idx="83">
                  <c:v>2340527.3391109537</c:v>
                </c:pt>
                <c:pt idx="84">
                  <c:v>2348393.3578922004</c:v>
                </c:pt>
                <c:pt idx="85">
                  <c:v>2350749.590241448</c:v>
                </c:pt>
                <c:pt idx="86">
                  <c:v>2314239.5771816559</c:v>
                </c:pt>
                <c:pt idx="87">
                  <c:v>2248334.9036438046</c:v>
                </c:pt>
                <c:pt idx="88">
                  <c:v>2193693.5485373419</c:v>
                </c:pt>
                <c:pt idx="89">
                  <c:v>2178510.4652858432</c:v>
                </c:pt>
                <c:pt idx="90">
                  <c:v>2158494.8889618726</c:v>
                </c:pt>
                <c:pt idx="91">
                  <c:v>2135037.0442183185</c:v>
                </c:pt>
                <c:pt idx="92">
                  <c:v>2117059.6275614607</c:v>
                </c:pt>
                <c:pt idx="93">
                  <c:v>2105783.0472815046</c:v>
                </c:pt>
                <c:pt idx="94">
                  <c:v>2100628.5673266891</c:v>
                </c:pt>
                <c:pt idx="95">
                  <c:v>2097646.9301638743</c:v>
                </c:pt>
                <c:pt idx="96">
                  <c:v>2101498.3069531349</c:v>
                </c:pt>
                <c:pt idx="97">
                  <c:v>2100261.3192176768</c:v>
                </c:pt>
                <c:pt idx="98">
                  <c:v>2060760.5165827279</c:v>
                </c:pt>
                <c:pt idx="99">
                  <c:v>1993358.7133526425</c:v>
                </c:pt>
                <c:pt idx="100">
                  <c:v>1936879.4784371401</c:v>
                </c:pt>
                <c:pt idx="101">
                  <c:v>1919017.9204458864</c:v>
                </c:pt>
                <c:pt idx="102">
                  <c:v>1896713.0643407153</c:v>
                </c:pt>
                <c:pt idx="103">
                  <c:v>1871068.6120448783</c:v>
                </c:pt>
                <c:pt idx="104">
                  <c:v>1850672.3201656584</c:v>
                </c:pt>
                <c:pt idx="105">
                  <c:v>1836505.904384817</c:v>
                </c:pt>
                <c:pt idx="106">
                  <c:v>1828358.9320418295</c:v>
                </c:pt>
                <c:pt idx="107">
                  <c:v>1822412.8846774641</c:v>
                </c:pt>
                <c:pt idx="108">
                  <c:v>1822881.974228357</c:v>
                </c:pt>
                <c:pt idx="109">
                  <c:v>1818653.7181035522</c:v>
                </c:pt>
                <c:pt idx="110">
                  <c:v>1777788.084307462</c:v>
                </c:pt>
                <c:pt idx="111">
                  <c:v>1710493.2146060085</c:v>
                </c:pt>
                <c:pt idx="112">
                  <c:v>1653714.8834862853</c:v>
                </c:pt>
                <c:pt idx="113">
                  <c:v>1633753.7125261053</c:v>
                </c:pt>
                <c:pt idx="114">
                  <c:v>1609708.6537806038</c:v>
                </c:pt>
                <c:pt idx="115">
                  <c:v>1582434.2944432232</c:v>
                </c:pt>
                <c:pt idx="116">
                  <c:v>1560222.2390101864</c:v>
                </c:pt>
                <c:pt idx="117">
                  <c:v>1544687.2472865074</c:v>
                </c:pt>
                <c:pt idx="118">
                  <c:v>1534146.927721201</c:v>
                </c:pt>
                <c:pt idx="119">
                  <c:v>1525810.0836889567</c:v>
                </c:pt>
                <c:pt idx="120">
                  <c:v>1523487.5647711167</c:v>
                </c:pt>
                <c:pt idx="121">
                  <c:v>1516826.612044917</c:v>
                </c:pt>
                <c:pt idx="122">
                  <c:v>1475143.785925922</c:v>
                </c:pt>
                <c:pt idx="123">
                  <c:v>1408445.5469638302</c:v>
                </c:pt>
                <c:pt idx="124">
                  <c:v>1351833.6844355064</c:v>
                </c:pt>
                <c:pt idx="125">
                  <c:v>1330280.4880451076</c:v>
                </c:pt>
                <c:pt idx="126">
                  <c:v>1304964.5886098095</c:v>
                </c:pt>
                <c:pt idx="127">
                  <c:v>1276526.3460188569</c:v>
                </c:pt>
                <c:pt idx="128">
                  <c:v>1253038.0362150129</c:v>
                </c:pt>
                <c:pt idx="129">
                  <c:v>1236132.4308040489</c:v>
                </c:pt>
                <c:pt idx="130">
                  <c:v>1223745.9711784574</c:v>
                </c:pt>
                <c:pt idx="131">
                  <c:v>1213544.6121546598</c:v>
                </c:pt>
                <c:pt idx="132">
                  <c:v>1208986.7938125883</c:v>
                </c:pt>
                <c:pt idx="133">
                  <c:v>1202089.0821057628</c:v>
                </c:pt>
                <c:pt idx="134">
                  <c:v>1169621.0343899741</c:v>
                </c:pt>
                <c:pt idx="135">
                  <c:v>1119754.8682487658</c:v>
                </c:pt>
                <c:pt idx="136">
                  <c:v>1077868.6029002066</c:v>
                </c:pt>
                <c:pt idx="137">
                  <c:v>1061369.2328088251</c:v>
                </c:pt>
                <c:pt idx="138">
                  <c:v>1042820.8325230735</c:v>
                </c:pt>
                <c:pt idx="139">
                  <c:v>1021932.903119378</c:v>
                </c:pt>
                <c:pt idx="140">
                  <c:v>1004571.7847864525</c:v>
                </c:pt>
                <c:pt idx="141">
                  <c:v>991922.90144767682</c:v>
                </c:pt>
                <c:pt idx="142">
                  <c:v>981940.6770170154</c:v>
                </c:pt>
                <c:pt idx="143">
                  <c:v>973452.20823798981</c:v>
                </c:pt>
                <c:pt idx="144">
                  <c:v>968624.81295202719</c:v>
                </c:pt>
                <c:pt idx="145">
                  <c:v>960538.50391457416</c:v>
                </c:pt>
                <c:pt idx="146">
                  <c:v>928214.66371263261</c:v>
                </c:pt>
                <c:pt idx="147">
                  <c:v>879445.39968488156</c:v>
                </c:pt>
                <c:pt idx="148">
                  <c:v>838297.60952717881</c:v>
                </c:pt>
                <c:pt idx="149">
                  <c:v>821136.33775473689</c:v>
                </c:pt>
                <c:pt idx="150">
                  <c:v>802100.96132027428</c:v>
                </c:pt>
                <c:pt idx="151">
                  <c:v>780817.66443309002</c:v>
                </c:pt>
                <c:pt idx="152">
                  <c:v>762901.89109709044</c:v>
                </c:pt>
                <c:pt idx="153">
                  <c:v>749123.69819692476</c:v>
                </c:pt>
                <c:pt idx="154">
                  <c:v>738212.04714562232</c:v>
                </c:pt>
                <c:pt idx="155">
                  <c:v>728772.43032875168</c:v>
                </c:pt>
                <c:pt idx="156">
                  <c:v>722758.58024554374</c:v>
                </c:pt>
                <c:pt idx="157">
                  <c:v>713722.51616774034</c:v>
                </c:pt>
                <c:pt idx="158">
                  <c:v>681745.15121498983</c:v>
                </c:pt>
                <c:pt idx="159">
                  <c:v>634242.51229868107</c:v>
                </c:pt>
                <c:pt idx="160">
                  <c:v>594004.44284573302</c:v>
                </c:pt>
                <c:pt idx="161">
                  <c:v>576400.35982770927</c:v>
                </c:pt>
                <c:pt idx="162">
                  <c:v>557082.93514715903</c:v>
                </c:pt>
                <c:pt idx="163">
                  <c:v>535610.28839573788</c:v>
                </c:pt>
                <c:pt idx="164">
                  <c:v>517380.51915580279</c:v>
                </c:pt>
                <c:pt idx="165">
                  <c:v>503645.77060004952</c:v>
                </c:pt>
                <c:pt idx="166">
                  <c:v>492054.01396758039</c:v>
                </c:pt>
                <c:pt idx="167">
                  <c:v>481904.55798121763</c:v>
                </c:pt>
                <c:pt idx="168">
                  <c:v>474959.54978572461</c:v>
                </c:pt>
                <c:pt idx="169">
                  <c:v>465211.29156485037</c:v>
                </c:pt>
                <c:pt idx="170">
                  <c:v>433771.99545885168</c:v>
                </c:pt>
                <c:pt idx="171">
                  <c:v>387688.87913855584</c:v>
                </c:pt>
                <c:pt idx="172">
                  <c:v>348518.37987932493</c:v>
                </c:pt>
                <c:pt idx="173">
                  <c:v>330687.20660904469</c:v>
                </c:pt>
                <c:pt idx="174">
                  <c:v>311288.74378937576</c:v>
                </c:pt>
                <c:pt idx="175">
                  <c:v>289828.39775200735</c:v>
                </c:pt>
                <c:pt idx="176">
                  <c:v>271462.39651899028</c:v>
                </c:pt>
                <c:pt idx="177">
                  <c:v>257459.94832938199</c:v>
                </c:pt>
                <c:pt idx="178">
                  <c:v>245377.17067307071</c:v>
                </c:pt>
                <c:pt idx="179">
                  <c:v>234701.33104031743</c:v>
                </c:pt>
                <c:pt idx="180">
                  <c:v>227020.88052505173</c:v>
                </c:pt>
                <c:pt idx="181">
                  <c:v>216741.11068620527</c:v>
                </c:pt>
                <c:pt idx="182">
                  <c:v>185975.3325871691</c:v>
                </c:pt>
                <c:pt idx="183">
                  <c:v>141410.63391264429</c:v>
                </c:pt>
                <c:pt idx="184">
                  <c:v>103413.40828894914</c:v>
                </c:pt>
                <c:pt idx="185">
                  <c:v>85515.179242921047</c:v>
                </c:pt>
                <c:pt idx="186">
                  <c:v>66183.544934088481</c:v>
                </c:pt>
                <c:pt idx="187">
                  <c:v>44882.919049192918</c:v>
                </c:pt>
                <c:pt idx="188">
                  <c:v>26534.689081212564</c:v>
                </c:pt>
                <c:pt idx="189">
                  <c:v>12408.183516526329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66-48D3-A29A-C62AD26C6A9C}"/>
            </c:ext>
          </c:extLst>
        </c:ser>
        <c:ser>
          <c:idx val="2"/>
          <c:order val="2"/>
          <c:tx>
            <c:v>2 Std. Dev. Shifts Upward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[1]Details!$BI$5:$BI$194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[1]Details!$BL$5:$BL$194</c:f>
              <c:numCache>
                <c:formatCode>General</c:formatCode>
                <c:ptCount val="190"/>
                <c:pt idx="0">
                  <c:v>1223735.0506431721</c:v>
                </c:pt>
                <c:pt idx="1">
                  <c:v>1771633.7627585195</c:v>
                </c:pt>
                <c:pt idx="2">
                  <c:v>2094476.4676592276</c:v>
                </c:pt>
                <c:pt idx="3">
                  <c:v>2350134.4682916552</c:v>
                </c:pt>
                <c:pt idx="4">
                  <c:v>2563507.4853900392</c:v>
                </c:pt>
                <c:pt idx="5">
                  <c:v>2761222.9887961298</c:v>
                </c:pt>
                <c:pt idx="6">
                  <c:v>2936741.4881186746</c:v>
                </c:pt>
                <c:pt idx="7">
                  <c:v>3105674.5028813872</c:v>
                </c:pt>
                <c:pt idx="8">
                  <c:v>3264571.2203702964</c:v>
                </c:pt>
                <c:pt idx="9">
                  <c:v>3405764.4941461962</c:v>
                </c:pt>
                <c:pt idx="10">
                  <c:v>3548698.200134797</c:v>
                </c:pt>
                <c:pt idx="11">
                  <c:v>3682173.1577390432</c:v>
                </c:pt>
                <c:pt idx="12">
                  <c:v>3820376.9800996687</c:v>
                </c:pt>
                <c:pt idx="13">
                  <c:v>3944855.8840860818</c:v>
                </c:pt>
                <c:pt idx="14">
                  <c:v>4020513.7098002927</c:v>
                </c:pt>
                <c:pt idx="15">
                  <c:v>4041918.4342556596</c:v>
                </c:pt>
                <c:pt idx="16">
                  <c:v>4071110.1195396855</c:v>
                </c:pt>
                <c:pt idx="17">
                  <c:v>4148457.7155260835</c:v>
                </c:pt>
                <c:pt idx="18">
                  <c:v>4209992.1870928798</c:v>
                </c:pt>
                <c:pt idx="19">
                  <c:v>4278751.0430811029</c:v>
                </c:pt>
                <c:pt idx="20">
                  <c:v>4351860.0904364958</c:v>
                </c:pt>
                <c:pt idx="21">
                  <c:v>4422729.800330786</c:v>
                </c:pt>
                <c:pt idx="22">
                  <c:v>4509693.9418239556</c:v>
                </c:pt>
                <c:pt idx="23">
                  <c:v>4594520.6163536534</c:v>
                </c:pt>
                <c:pt idx="24">
                  <c:v>4690584.7489732504</c:v>
                </c:pt>
                <c:pt idx="25">
                  <c:v>4773823.1582546113</c:v>
                </c:pt>
                <c:pt idx="26">
                  <c:v>4811249.9078083467</c:v>
                </c:pt>
                <c:pt idx="27">
                  <c:v>4802160.5329398755</c:v>
                </c:pt>
                <c:pt idx="28">
                  <c:v>4804416.1803129781</c:v>
                </c:pt>
                <c:pt idx="29">
                  <c:v>4855267.7774072457</c:v>
                </c:pt>
                <c:pt idx="30">
                  <c:v>4894548.6846185047</c:v>
                </c:pt>
                <c:pt idx="31">
                  <c:v>4928999.5333425999</c:v>
                </c:pt>
                <c:pt idx="32">
                  <c:v>4969560.1219106112</c:v>
                </c:pt>
                <c:pt idx="33">
                  <c:v>5012361.9084761739</c:v>
                </c:pt>
                <c:pt idx="34">
                  <c:v>5069615.1954428107</c:v>
                </c:pt>
                <c:pt idx="35">
                  <c:v>5126786.1722827591</c:v>
                </c:pt>
                <c:pt idx="36">
                  <c:v>5195405.1941317664</c:v>
                </c:pt>
                <c:pt idx="37">
                  <c:v>5252843.2259672964</c:v>
                </c:pt>
                <c:pt idx="38">
                  <c:v>5261167.8585448842</c:v>
                </c:pt>
                <c:pt idx="39">
                  <c:v>5223456.6752387732</c:v>
                </c:pt>
                <c:pt idx="40">
                  <c:v>5199018.5164028183</c:v>
                </c:pt>
                <c:pt idx="41">
                  <c:v>5226243.3669690415</c:v>
                </c:pt>
                <c:pt idx="42">
                  <c:v>5243272.1101432536</c:v>
                </c:pt>
                <c:pt idx="43">
                  <c:v>5255364.6609646864</c:v>
                </c:pt>
                <c:pt idx="44">
                  <c:v>5274207.2983036526</c:v>
                </c:pt>
                <c:pt idx="45">
                  <c:v>5297915.8496146286</c:v>
                </c:pt>
                <c:pt idx="46">
                  <c:v>5334554.6455613486</c:v>
                </c:pt>
                <c:pt idx="47">
                  <c:v>5372240.6383051323</c:v>
                </c:pt>
                <c:pt idx="48">
                  <c:v>5421165.7124937531</c:v>
                </c:pt>
                <c:pt idx="49">
                  <c:v>5459947.7719238773</c:v>
                </c:pt>
                <c:pt idx="50">
                  <c:v>5446736.7514959918</c:v>
                </c:pt>
                <c:pt idx="51">
                  <c:v>5388095.0062018</c:v>
                </c:pt>
                <c:pt idx="52">
                  <c:v>5343834.9342807001</c:v>
                </c:pt>
                <c:pt idx="53">
                  <c:v>5353532.124866019</c:v>
                </c:pt>
                <c:pt idx="54">
                  <c:v>5354001.6298406627</c:v>
                </c:pt>
                <c:pt idx="55">
                  <c:v>5349374.7541762954</c:v>
                </c:pt>
                <c:pt idx="56">
                  <c:v>5350734.1383194905</c:v>
                </c:pt>
                <c:pt idx="57">
                  <c:v>5359147.8110159412</c:v>
                </c:pt>
                <c:pt idx="58">
                  <c:v>5378706.4636161476</c:v>
                </c:pt>
                <c:pt idx="59">
                  <c:v>5400099.242353824</c:v>
                </c:pt>
                <c:pt idx="60">
                  <c:v>5432330.8735658545</c:v>
                </c:pt>
                <c:pt idx="61">
                  <c:v>5455270.8179886853</c:v>
                </c:pt>
                <c:pt idx="62">
                  <c:v>5424431.0265183048</c:v>
                </c:pt>
                <c:pt idx="63">
                  <c:v>5348984.0892049735</c:v>
                </c:pt>
                <c:pt idx="64">
                  <c:v>5288588.9920168612</c:v>
                </c:pt>
                <c:pt idx="65">
                  <c:v>5283250.0302498909</c:v>
                </c:pt>
                <c:pt idx="66">
                  <c:v>5269496.1081614038</c:v>
                </c:pt>
                <c:pt idx="67">
                  <c:v>5250454.7467109077</c:v>
                </c:pt>
                <c:pt idx="68">
                  <c:v>5237797.2097998643</c:v>
                </c:pt>
                <c:pt idx="69">
                  <c:v>5233347.0620949753</c:v>
                </c:pt>
                <c:pt idx="70">
                  <c:v>5239010.4683510568</c:v>
                </c:pt>
                <c:pt idx="71">
                  <c:v>5247079.2256819354</c:v>
                </c:pt>
                <c:pt idx="72">
                  <c:v>5265539.8569069961</c:v>
                </c:pt>
                <c:pt idx="73">
                  <c:v>5275430.8646423323</c:v>
                </c:pt>
                <c:pt idx="74">
                  <c:v>5230519.0340354787</c:v>
                </c:pt>
                <c:pt idx="75">
                  <c:v>5141967.2215664275</c:v>
                </c:pt>
                <c:pt idx="76">
                  <c:v>5068880.0888318988</c:v>
                </c:pt>
                <c:pt idx="77">
                  <c:v>5051232.4882626161</c:v>
                </c:pt>
                <c:pt idx="78">
                  <c:v>5025876.1709102094</c:v>
                </c:pt>
                <c:pt idx="79">
                  <c:v>4995092.9231656697</c:v>
                </c:pt>
                <c:pt idx="80">
                  <c:v>4971720.6487447433</c:v>
                </c:pt>
                <c:pt idx="81">
                  <c:v>4957581.1663485579</c:v>
                </c:pt>
                <c:pt idx="82">
                  <c:v>4952430.0164520117</c:v>
                </c:pt>
                <c:pt idx="83">
                  <c:v>4950099.0509590134</c:v>
                </c:pt>
                <c:pt idx="84">
                  <c:v>4957714.5820766268</c:v>
                </c:pt>
                <c:pt idx="85">
                  <c:v>4957386.0548893502</c:v>
                </c:pt>
                <c:pt idx="86">
                  <c:v>4901211.2586369114</c:v>
                </c:pt>
                <c:pt idx="87">
                  <c:v>4802513.1582589792</c:v>
                </c:pt>
                <c:pt idx="88">
                  <c:v>4719477.0172131024</c:v>
                </c:pt>
                <c:pt idx="89">
                  <c:v>4692377.2451763013</c:v>
                </c:pt>
                <c:pt idx="90">
                  <c:v>4658175.2011100668</c:v>
                </c:pt>
                <c:pt idx="91">
                  <c:v>4618472.7930952348</c:v>
                </c:pt>
                <c:pt idx="92">
                  <c:v>4586151.235586293</c:v>
                </c:pt>
                <c:pt idx="93">
                  <c:v>4563853.6213658061</c:v>
                </c:pt>
                <c:pt idx="94">
                  <c:v>4549507.6729242373</c:v>
                </c:pt>
                <c:pt idx="95">
                  <c:v>4538301.0120786065</c:v>
                </c:pt>
                <c:pt idx="96">
                  <c:v>4536580.6913051913</c:v>
                </c:pt>
                <c:pt idx="97">
                  <c:v>4527491.4509541802</c:v>
                </c:pt>
                <c:pt idx="98">
                  <c:v>4462005.2864829395</c:v>
                </c:pt>
                <c:pt idx="99">
                  <c:v>4355216.4049774725</c:v>
                </c:pt>
                <c:pt idx="100">
                  <c:v>4264151.6300767604</c:v>
                </c:pt>
                <c:pt idx="101">
                  <c:v>4229077.9817465143</c:v>
                </c:pt>
                <c:pt idx="102">
                  <c:v>4187461.4039030941</c:v>
                </c:pt>
                <c:pt idx="103">
                  <c:v>4140307.9807522176</c:v>
                </c:pt>
                <c:pt idx="104">
                  <c:v>4100416.7726933416</c:v>
                </c:pt>
                <c:pt idx="105">
                  <c:v>4070112.0776620461</c:v>
                </c:pt>
                <c:pt idx="106">
                  <c:v>4047841.7166536665</c:v>
                </c:pt>
                <c:pt idx="107">
                  <c:v>4028961.9170495672</c:v>
                </c:pt>
                <c:pt idx="108">
                  <c:v>4019099.4173785038</c:v>
                </c:pt>
                <c:pt idx="109">
                  <c:v>4002409.4379903786</c:v>
                </c:pt>
                <c:pt idx="110">
                  <c:v>3930400.2887074659</c:v>
                </c:pt>
                <c:pt idx="111">
                  <c:v>3818407.7078955276</c:v>
                </c:pt>
                <c:pt idx="112">
                  <c:v>3722047.3419839931</c:v>
                </c:pt>
                <c:pt idx="113">
                  <c:v>3680201.4281982267</c:v>
                </c:pt>
                <c:pt idx="114">
                  <c:v>3632335.9157223534</c:v>
                </c:pt>
                <c:pt idx="115">
                  <c:v>3578927.8876558789</c:v>
                </c:pt>
                <c:pt idx="116">
                  <c:v>3532703.663581626</c:v>
                </c:pt>
                <c:pt idx="117">
                  <c:v>3497584.4759304402</c:v>
                </c:pt>
                <c:pt idx="118">
                  <c:v>3468573.9017100488</c:v>
                </c:pt>
                <c:pt idx="119">
                  <c:v>3443145.6729410808</c:v>
                </c:pt>
                <c:pt idx="120">
                  <c:v>3426265.7141329059</c:v>
                </c:pt>
                <c:pt idx="121">
                  <c:v>3403059.4788964959</c:v>
                </c:pt>
                <c:pt idx="122">
                  <c:v>3325749.8606815394</c:v>
                </c:pt>
                <c:pt idx="123">
                  <c:v>3209803.3837620458</c:v>
                </c:pt>
                <c:pt idx="124">
                  <c:v>3109296.8019527248</c:v>
                </c:pt>
                <c:pt idx="125">
                  <c:v>3061735.6620365344</c:v>
                </c:pt>
                <c:pt idx="126">
                  <c:v>3008625.6300333235</c:v>
                </c:pt>
                <c:pt idx="127">
                  <c:v>2949975.438614036</c:v>
                </c:pt>
                <c:pt idx="128">
                  <c:v>2898514.278209399</c:v>
                </c:pt>
                <c:pt idx="129">
                  <c:v>2858492.0948450509</c:v>
                </c:pt>
                <c:pt idx="130">
                  <c:v>2823774.4979763608</c:v>
                </c:pt>
                <c:pt idx="131">
                  <c:v>2792778.0417599678</c:v>
                </c:pt>
                <c:pt idx="132">
                  <c:v>2769879.302327245</c:v>
                </c:pt>
                <c:pt idx="133">
                  <c:v>2748942.4674069555</c:v>
                </c:pt>
                <c:pt idx="134">
                  <c:v>2687682.0348701612</c:v>
                </c:pt>
                <c:pt idx="135">
                  <c:v>2598999.6349822977</c:v>
                </c:pt>
                <c:pt idx="136">
                  <c:v>2522817.4404213498</c:v>
                </c:pt>
                <c:pt idx="137">
                  <c:v>2485752.8802511115</c:v>
                </c:pt>
                <c:pt idx="138">
                  <c:v>2445678.0490376442</c:v>
                </c:pt>
                <c:pt idx="139">
                  <c:v>2401386.4810027173</c:v>
                </c:pt>
                <c:pt idx="140">
                  <c:v>2362317.2730265544</c:v>
                </c:pt>
                <c:pt idx="141">
                  <c:v>2331672.5493230373</c:v>
                </c:pt>
                <c:pt idx="142">
                  <c:v>2303953.5661430126</c:v>
                </c:pt>
                <c:pt idx="143">
                  <c:v>2278866.5993712633</c:v>
                </c:pt>
                <c:pt idx="144">
                  <c:v>2259077.5439261361</c:v>
                </c:pt>
                <c:pt idx="145">
                  <c:v>2234420.7138134637</c:v>
                </c:pt>
                <c:pt idx="146">
                  <c:v>2170735.8738907063</c:v>
                </c:pt>
                <c:pt idx="147">
                  <c:v>2080637.860705079</c:v>
                </c:pt>
                <c:pt idx="148">
                  <c:v>2002792.8068427113</c:v>
                </c:pt>
                <c:pt idx="149">
                  <c:v>1962574.5451058932</c:v>
                </c:pt>
                <c:pt idx="150">
                  <c:v>1919630.2491608963</c:v>
                </c:pt>
                <c:pt idx="151">
                  <c:v>1872510.7338340073</c:v>
                </c:pt>
                <c:pt idx="152">
                  <c:v>1830472.3436549797</c:v>
                </c:pt>
                <c:pt idx="153">
                  <c:v>1795806.0014335285</c:v>
                </c:pt>
                <c:pt idx="154">
                  <c:v>1764762.3503622459</c:v>
                </c:pt>
                <c:pt idx="155">
                  <c:v>1736421.992554371</c:v>
                </c:pt>
                <c:pt idx="156">
                  <c:v>1713072.9123253804</c:v>
                </c:pt>
                <c:pt idx="157">
                  <c:v>1685198.9983061012</c:v>
                </c:pt>
                <c:pt idx="158">
                  <c:v>1619632.9032395547</c:v>
                </c:pt>
                <c:pt idx="159">
                  <c:v>1528674.2968127383</c:v>
                </c:pt>
                <c:pt idx="160">
                  <c:v>1449689.0532848742</c:v>
                </c:pt>
                <c:pt idx="161">
                  <c:v>1406822.9375377316</c:v>
                </c:pt>
                <c:pt idx="162">
                  <c:v>1361496.0440549401</c:v>
                </c:pt>
                <c:pt idx="163">
                  <c:v>1312047.8796400409</c:v>
                </c:pt>
                <c:pt idx="164">
                  <c:v>1267581.268503699</c:v>
                </c:pt>
                <c:pt idx="165">
                  <c:v>1231775.614298512</c:v>
                </c:pt>
                <c:pt idx="166">
                  <c:v>1197941.3145983468</c:v>
                </c:pt>
                <c:pt idx="167">
                  <c:v>1166859.288967534</c:v>
                </c:pt>
                <c:pt idx="168">
                  <c:v>1140472.8480241024</c:v>
                </c:pt>
                <c:pt idx="169">
                  <c:v>1109884.9152033974</c:v>
                </c:pt>
                <c:pt idx="170">
                  <c:v>1042961.2045436435</c:v>
                </c:pt>
                <c:pt idx="171">
                  <c:v>951664.47931502701</c:v>
                </c:pt>
                <c:pt idx="172">
                  <c:v>872036.2035002138</c:v>
                </c:pt>
                <c:pt idx="173">
                  <c:v>827023.76956423535</c:v>
                </c:pt>
                <c:pt idx="174">
                  <c:v>779795.55533293239</c:v>
                </c:pt>
                <c:pt idx="175">
                  <c:v>728511.5530543864</c:v>
                </c:pt>
                <c:pt idx="176">
                  <c:v>682057.29514485714</c:v>
                </c:pt>
                <c:pt idx="177">
                  <c:v>644305.62459326966</c:v>
                </c:pt>
                <c:pt idx="178">
                  <c:v>608107.95781244966</c:v>
                </c:pt>
                <c:pt idx="179">
                  <c:v>574693.85273243929</c:v>
                </c:pt>
                <c:pt idx="180">
                  <c:v>545689.10516969278</c:v>
                </c:pt>
                <c:pt idx="181">
                  <c:v>512789.72132782469</c:v>
                </c:pt>
                <c:pt idx="182">
                  <c:v>444922.37936605932</c:v>
                </c:pt>
                <c:pt idx="183">
                  <c:v>353696.98150614911</c:v>
                </c:pt>
                <c:pt idx="184">
                  <c:v>273816.19304468716</c:v>
                </c:pt>
                <c:pt idx="185">
                  <c:v>227056.39737601799</c:v>
                </c:pt>
                <c:pt idx="186">
                  <c:v>178309.03679883588</c:v>
                </c:pt>
                <c:pt idx="187">
                  <c:v>125580.01071861325</c:v>
                </c:pt>
                <c:pt idx="188">
                  <c:v>77527.105650499521</c:v>
                </c:pt>
                <c:pt idx="189">
                  <c:v>38177.884604126579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66-48D3-A29A-C62AD26C6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81768"/>
        <c:axId val="1"/>
      </c:lineChart>
      <c:catAx>
        <c:axId val="209881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7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09881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  <a:endParaRPr lang="en-US" sz="150" b="1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SP15 Curve Shift Analysis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SP15 Curve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[1]Details!$BO$5:$BO$194</c:f>
              <c:numCache>
                <c:formatCode>General</c:formatCode>
                <c:ptCount val="190"/>
                <c:pt idx="0">
                  <c:v>20.509663333333332</c:v>
                </c:pt>
                <c:pt idx="1">
                  <c:v>31.460445161290316</c:v>
                </c:pt>
                <c:pt idx="2">
                  <c:v>38.310170967741932</c:v>
                </c:pt>
                <c:pt idx="3">
                  <c:v>34.077733333333327</c:v>
                </c:pt>
                <c:pt idx="4">
                  <c:v>23.966481451612903</c:v>
                </c:pt>
                <c:pt idx="5">
                  <c:v>21.968045833333331</c:v>
                </c:pt>
                <c:pt idx="6">
                  <c:v>23.151037903225806</c:v>
                </c:pt>
                <c:pt idx="7">
                  <c:v>21.336875806451612</c:v>
                </c:pt>
                <c:pt idx="8">
                  <c:v>20.133046551724135</c:v>
                </c:pt>
                <c:pt idx="9">
                  <c:v>19.423949999999998</c:v>
                </c:pt>
                <c:pt idx="10">
                  <c:v>19.144816666666664</c:v>
                </c:pt>
                <c:pt idx="11">
                  <c:v>18.087840322580643</c:v>
                </c:pt>
                <c:pt idx="12">
                  <c:v>22.019263333333331</c:v>
                </c:pt>
                <c:pt idx="13">
                  <c:v>33.711875806451616</c:v>
                </c:pt>
                <c:pt idx="14">
                  <c:v>42.019272580645158</c:v>
                </c:pt>
                <c:pt idx="15">
                  <c:v>35.654608333333336</c:v>
                </c:pt>
                <c:pt idx="16">
                  <c:v>23.363110483870965</c:v>
                </c:pt>
                <c:pt idx="17">
                  <c:v>22.597004166666665</c:v>
                </c:pt>
                <c:pt idx="18">
                  <c:v>24.003246774193549</c:v>
                </c:pt>
                <c:pt idx="19">
                  <c:v>22.541704838709677</c:v>
                </c:pt>
                <c:pt idx="20">
                  <c:v>20.797671428571423</c:v>
                </c:pt>
                <c:pt idx="21">
                  <c:v>20.366949999999996</c:v>
                </c:pt>
                <c:pt idx="22">
                  <c:v>20.087816666666662</c:v>
                </c:pt>
                <c:pt idx="23">
                  <c:v>19.030840322580644</c:v>
                </c:pt>
                <c:pt idx="24">
                  <c:v>22.962263333333329</c:v>
                </c:pt>
                <c:pt idx="25">
                  <c:v>35.395875806451613</c:v>
                </c:pt>
                <c:pt idx="26">
                  <c:v>43.703272580645162</c:v>
                </c:pt>
                <c:pt idx="27">
                  <c:v>37.338608333333333</c:v>
                </c:pt>
                <c:pt idx="28">
                  <c:v>24.306110483870967</c:v>
                </c:pt>
                <c:pt idx="29">
                  <c:v>23.54000416666667</c:v>
                </c:pt>
                <c:pt idx="30">
                  <c:v>24.946246774193547</c:v>
                </c:pt>
                <c:pt idx="31">
                  <c:v>23.398704838709676</c:v>
                </c:pt>
                <c:pt idx="32">
                  <c:v>21.654671428571426</c:v>
                </c:pt>
                <c:pt idx="33">
                  <c:v>21.223949999999999</c:v>
                </c:pt>
                <c:pt idx="34">
                  <c:v>20.944816666666664</c:v>
                </c:pt>
                <c:pt idx="35">
                  <c:v>19.887840322580644</c:v>
                </c:pt>
                <c:pt idx="36">
                  <c:v>23.819263333333332</c:v>
                </c:pt>
                <c:pt idx="37">
                  <c:v>36.993875806451612</c:v>
                </c:pt>
                <c:pt idx="38">
                  <c:v>45.301272580645161</c:v>
                </c:pt>
                <c:pt idx="39">
                  <c:v>38.936608333333332</c:v>
                </c:pt>
                <c:pt idx="40">
                  <c:v>25.163110483870966</c:v>
                </c:pt>
                <c:pt idx="41">
                  <c:v>24.397004166666669</c:v>
                </c:pt>
                <c:pt idx="42">
                  <c:v>25.80324677419355</c:v>
                </c:pt>
                <c:pt idx="43">
                  <c:v>24.255704838709679</c:v>
                </c:pt>
                <c:pt idx="44">
                  <c:v>22.511671428571425</c:v>
                </c:pt>
                <c:pt idx="45">
                  <c:v>22.080949999999998</c:v>
                </c:pt>
                <c:pt idx="46">
                  <c:v>21.801816666666664</c:v>
                </c:pt>
                <c:pt idx="47">
                  <c:v>20.744840322580643</c:v>
                </c:pt>
                <c:pt idx="48">
                  <c:v>24.676263333333331</c:v>
                </c:pt>
                <c:pt idx="49">
                  <c:v>38.591875806451618</c:v>
                </c:pt>
                <c:pt idx="50">
                  <c:v>46.89927258064516</c:v>
                </c:pt>
                <c:pt idx="51">
                  <c:v>40.534608333333338</c:v>
                </c:pt>
                <c:pt idx="52">
                  <c:v>26.020110483870969</c:v>
                </c:pt>
                <c:pt idx="53">
                  <c:v>25.254004166666668</c:v>
                </c:pt>
                <c:pt idx="54">
                  <c:v>26.660246774193549</c:v>
                </c:pt>
                <c:pt idx="55">
                  <c:v>25.397704838709679</c:v>
                </c:pt>
                <c:pt idx="56">
                  <c:v>23.653671428571425</c:v>
                </c:pt>
                <c:pt idx="57">
                  <c:v>23.222949999999997</c:v>
                </c:pt>
                <c:pt idx="58">
                  <c:v>22.943816666666663</c:v>
                </c:pt>
                <c:pt idx="59">
                  <c:v>21.886840322580646</c:v>
                </c:pt>
                <c:pt idx="60">
                  <c:v>25.818263333333331</c:v>
                </c:pt>
                <c:pt idx="61">
                  <c:v>40.303875806451614</c:v>
                </c:pt>
                <c:pt idx="62">
                  <c:v>48.611272580645164</c:v>
                </c:pt>
                <c:pt idx="63">
                  <c:v>42.246608333333327</c:v>
                </c:pt>
                <c:pt idx="64">
                  <c:v>27.162110483870968</c:v>
                </c:pt>
                <c:pt idx="65">
                  <c:v>26.396004166666668</c:v>
                </c:pt>
                <c:pt idx="66">
                  <c:v>27.802246774193549</c:v>
                </c:pt>
                <c:pt idx="67">
                  <c:v>26.439704838709677</c:v>
                </c:pt>
                <c:pt idx="68">
                  <c:v>24.695671428571423</c:v>
                </c:pt>
                <c:pt idx="69">
                  <c:v>24.264949999999995</c:v>
                </c:pt>
                <c:pt idx="70">
                  <c:v>23.985816666666665</c:v>
                </c:pt>
                <c:pt idx="71">
                  <c:v>22.928840322580644</c:v>
                </c:pt>
                <c:pt idx="72">
                  <c:v>26.860263333333332</c:v>
                </c:pt>
                <c:pt idx="73">
                  <c:v>41.801875806451612</c:v>
                </c:pt>
                <c:pt idx="74">
                  <c:v>50.109272580645154</c:v>
                </c:pt>
                <c:pt idx="75">
                  <c:v>43.744608333333332</c:v>
                </c:pt>
                <c:pt idx="76">
                  <c:v>28.204110483870966</c:v>
                </c:pt>
                <c:pt idx="77">
                  <c:v>27.438004166666669</c:v>
                </c:pt>
                <c:pt idx="78">
                  <c:v>28.84424677419355</c:v>
                </c:pt>
                <c:pt idx="79">
                  <c:v>27.196704838709675</c:v>
                </c:pt>
                <c:pt idx="80">
                  <c:v>25.452671428571424</c:v>
                </c:pt>
                <c:pt idx="81">
                  <c:v>25.021949999999997</c:v>
                </c:pt>
                <c:pt idx="82">
                  <c:v>24.742816666666663</c:v>
                </c:pt>
                <c:pt idx="83">
                  <c:v>23.685840322580646</c:v>
                </c:pt>
                <c:pt idx="84">
                  <c:v>27.61726333333333</c:v>
                </c:pt>
                <c:pt idx="85">
                  <c:v>43.12887580645161</c:v>
                </c:pt>
                <c:pt idx="86">
                  <c:v>51.436272580645159</c:v>
                </c:pt>
                <c:pt idx="87">
                  <c:v>45.07160833333333</c:v>
                </c:pt>
                <c:pt idx="88">
                  <c:v>28.961110483870968</c:v>
                </c:pt>
                <c:pt idx="89">
                  <c:v>28.195004166666671</c:v>
                </c:pt>
                <c:pt idx="90">
                  <c:v>29.601246774193548</c:v>
                </c:pt>
                <c:pt idx="91">
                  <c:v>27.910704838709677</c:v>
                </c:pt>
                <c:pt idx="92">
                  <c:v>26.166671428571426</c:v>
                </c:pt>
                <c:pt idx="93">
                  <c:v>25.735949999999999</c:v>
                </c:pt>
                <c:pt idx="94">
                  <c:v>25.456816666666661</c:v>
                </c:pt>
                <c:pt idx="95">
                  <c:v>24.399840322580644</c:v>
                </c:pt>
                <c:pt idx="96">
                  <c:v>28.331263333333332</c:v>
                </c:pt>
                <c:pt idx="97">
                  <c:v>44.355875806451621</c:v>
                </c:pt>
                <c:pt idx="98">
                  <c:v>52.663272580645156</c:v>
                </c:pt>
                <c:pt idx="99">
                  <c:v>46.298608333333334</c:v>
                </c:pt>
                <c:pt idx="100">
                  <c:v>29.675110483870967</c:v>
                </c:pt>
                <c:pt idx="101">
                  <c:v>28.909004166666666</c:v>
                </c:pt>
                <c:pt idx="102">
                  <c:v>30.315246774193547</c:v>
                </c:pt>
                <c:pt idx="103">
                  <c:v>28.624704838709675</c:v>
                </c:pt>
                <c:pt idx="104">
                  <c:v>26.880671428571425</c:v>
                </c:pt>
                <c:pt idx="105">
                  <c:v>26.449950000000001</c:v>
                </c:pt>
                <c:pt idx="106">
                  <c:v>26.170816666666664</c:v>
                </c:pt>
                <c:pt idx="107">
                  <c:v>25.113840322580643</c:v>
                </c:pt>
                <c:pt idx="108">
                  <c:v>29.045263333333331</c:v>
                </c:pt>
                <c:pt idx="109">
                  <c:v>45.18387580645161</c:v>
                </c:pt>
                <c:pt idx="110">
                  <c:v>53.491272580645159</c:v>
                </c:pt>
                <c:pt idx="111">
                  <c:v>47.12660833333333</c:v>
                </c:pt>
                <c:pt idx="112">
                  <c:v>30.389110483870969</c:v>
                </c:pt>
                <c:pt idx="113">
                  <c:v>29.623004166666668</c:v>
                </c:pt>
                <c:pt idx="114">
                  <c:v>31.029246774193549</c:v>
                </c:pt>
                <c:pt idx="115">
                  <c:v>29.317204838709678</c:v>
                </c:pt>
                <c:pt idx="116">
                  <c:v>27.573171428571428</c:v>
                </c:pt>
                <c:pt idx="117">
                  <c:v>27.142449999999997</c:v>
                </c:pt>
                <c:pt idx="118">
                  <c:v>26.86331666666667</c:v>
                </c:pt>
                <c:pt idx="119">
                  <c:v>25.806340322580645</c:v>
                </c:pt>
                <c:pt idx="120">
                  <c:v>29.737763333333334</c:v>
                </c:pt>
                <c:pt idx="121">
                  <c:v>45.99037580645161</c:v>
                </c:pt>
                <c:pt idx="122">
                  <c:v>54.297772580645159</c:v>
                </c:pt>
                <c:pt idx="123">
                  <c:v>47.93310833333333</c:v>
                </c:pt>
                <c:pt idx="124">
                  <c:v>31.081610483870968</c:v>
                </c:pt>
                <c:pt idx="125">
                  <c:v>30.31550416666667</c:v>
                </c:pt>
                <c:pt idx="126">
                  <c:v>31.721746774193555</c:v>
                </c:pt>
                <c:pt idx="127">
                  <c:v>29.952704838709678</c:v>
                </c:pt>
                <c:pt idx="128">
                  <c:v>28.208671428571424</c:v>
                </c:pt>
                <c:pt idx="129">
                  <c:v>27.777949999999997</c:v>
                </c:pt>
                <c:pt idx="130">
                  <c:v>27.498816666666663</c:v>
                </c:pt>
                <c:pt idx="131">
                  <c:v>26.441840322580646</c:v>
                </c:pt>
                <c:pt idx="132">
                  <c:v>30.373263333333334</c:v>
                </c:pt>
                <c:pt idx="133">
                  <c:v>46.625875806451617</c:v>
                </c:pt>
                <c:pt idx="134">
                  <c:v>54.933272580645159</c:v>
                </c:pt>
                <c:pt idx="135">
                  <c:v>48.56860833333333</c:v>
                </c:pt>
                <c:pt idx="136">
                  <c:v>31.717110483870968</c:v>
                </c:pt>
                <c:pt idx="137">
                  <c:v>30.951004166666671</c:v>
                </c:pt>
                <c:pt idx="138">
                  <c:v>32.357246774193548</c:v>
                </c:pt>
                <c:pt idx="139">
                  <c:v>30.588204838709679</c:v>
                </c:pt>
                <c:pt idx="140">
                  <c:v>28.844171428571428</c:v>
                </c:pt>
                <c:pt idx="141">
                  <c:v>28.413449999999997</c:v>
                </c:pt>
                <c:pt idx="142">
                  <c:v>28.134316666666667</c:v>
                </c:pt>
                <c:pt idx="143">
                  <c:v>27.077340322580646</c:v>
                </c:pt>
                <c:pt idx="144">
                  <c:v>31.008763333333334</c:v>
                </c:pt>
                <c:pt idx="145">
                  <c:v>47.261375806451618</c:v>
                </c:pt>
                <c:pt idx="146">
                  <c:v>55.56877258064516</c:v>
                </c:pt>
                <c:pt idx="147">
                  <c:v>49.204108333333323</c:v>
                </c:pt>
                <c:pt idx="148">
                  <c:v>32.352610483870968</c:v>
                </c:pt>
                <c:pt idx="149">
                  <c:v>31.586504166666668</c:v>
                </c:pt>
                <c:pt idx="150">
                  <c:v>32.992746774193549</c:v>
                </c:pt>
                <c:pt idx="151">
                  <c:v>31.223704838709676</c:v>
                </c:pt>
                <c:pt idx="152">
                  <c:v>29.479671428571422</c:v>
                </c:pt>
                <c:pt idx="153">
                  <c:v>29.048950000000001</c:v>
                </c:pt>
                <c:pt idx="154">
                  <c:v>28.769816666666667</c:v>
                </c:pt>
                <c:pt idx="155">
                  <c:v>27.712840322580643</c:v>
                </c:pt>
                <c:pt idx="156">
                  <c:v>31.644263333333335</c:v>
                </c:pt>
                <c:pt idx="157">
                  <c:v>47.896875806451618</c:v>
                </c:pt>
                <c:pt idx="158">
                  <c:v>56.20427258064516</c:v>
                </c:pt>
                <c:pt idx="159">
                  <c:v>49.839608333333331</c:v>
                </c:pt>
                <c:pt idx="160">
                  <c:v>32.988110483870969</c:v>
                </c:pt>
                <c:pt idx="161">
                  <c:v>32.222004166666665</c:v>
                </c:pt>
                <c:pt idx="162">
                  <c:v>33.628246774193549</c:v>
                </c:pt>
                <c:pt idx="163">
                  <c:v>31.837704838709676</c:v>
                </c:pt>
                <c:pt idx="164">
                  <c:v>30.093671428571426</c:v>
                </c:pt>
                <c:pt idx="165">
                  <c:v>29.662949999999999</c:v>
                </c:pt>
                <c:pt idx="166">
                  <c:v>29.383816666666664</c:v>
                </c:pt>
                <c:pt idx="167">
                  <c:v>28.326840322580647</c:v>
                </c:pt>
                <c:pt idx="168">
                  <c:v>32.258263333333332</c:v>
                </c:pt>
                <c:pt idx="169">
                  <c:v>48.510875806451615</c:v>
                </c:pt>
                <c:pt idx="170">
                  <c:v>56.818272580645171</c:v>
                </c:pt>
                <c:pt idx="171">
                  <c:v>50.453608333333335</c:v>
                </c:pt>
                <c:pt idx="172">
                  <c:v>33.602110483870973</c:v>
                </c:pt>
                <c:pt idx="173">
                  <c:v>32.836004166666669</c:v>
                </c:pt>
                <c:pt idx="174">
                  <c:v>34.242246774193546</c:v>
                </c:pt>
                <c:pt idx="175">
                  <c:v>32.451704838709681</c:v>
                </c:pt>
                <c:pt idx="176">
                  <c:v>30.70767142857143</c:v>
                </c:pt>
                <c:pt idx="177">
                  <c:v>30.276949999999999</c:v>
                </c:pt>
                <c:pt idx="178">
                  <c:v>29.997816666666665</c:v>
                </c:pt>
                <c:pt idx="179">
                  <c:v>28.940840322580645</c:v>
                </c:pt>
                <c:pt idx="180">
                  <c:v>32.872263333333336</c:v>
                </c:pt>
                <c:pt idx="181">
                  <c:v>49.124875806451612</c:v>
                </c:pt>
                <c:pt idx="182">
                  <c:v>57.432272580645154</c:v>
                </c:pt>
                <c:pt idx="183">
                  <c:v>51.067608333333339</c:v>
                </c:pt>
                <c:pt idx="184">
                  <c:v>34.21611048387097</c:v>
                </c:pt>
                <c:pt idx="185">
                  <c:v>33.450004166666666</c:v>
                </c:pt>
                <c:pt idx="186">
                  <c:v>34.856246774193551</c:v>
                </c:pt>
                <c:pt idx="187">
                  <c:v>33.065704838709678</c:v>
                </c:pt>
                <c:pt idx="188">
                  <c:v>31.321671428571427</c:v>
                </c:pt>
                <c:pt idx="189">
                  <c:v>30.890949999999997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FF-4A90-8F37-0E1E58C239CC}"/>
            </c:ext>
          </c:extLst>
        </c:ser>
        <c:ser>
          <c:idx val="1"/>
          <c:order val="1"/>
          <c:tx>
            <c:v>SP15 Curve Shifted 1 Std. Dev.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[1]Details!$BQ$5:$BQ$194</c:f>
              <c:numCache>
                <c:formatCode>General</c:formatCode>
                <c:ptCount val="190"/>
                <c:pt idx="0">
                  <c:v>22.863711781813635</c:v>
                </c:pt>
                <c:pt idx="1">
                  <c:v>34.128081842925639</c:v>
                </c:pt>
                <c:pt idx="2">
                  <c:v>42.859169562087892</c:v>
                </c:pt>
                <c:pt idx="3">
                  <c:v>38.578402749227479</c:v>
                </c:pt>
                <c:pt idx="4">
                  <c:v>27.426158573218274</c:v>
                </c:pt>
                <c:pt idx="5">
                  <c:v>25.283336589292457</c:v>
                </c:pt>
                <c:pt idx="6">
                  <c:v>26.738499548617142</c:v>
                </c:pt>
                <c:pt idx="7">
                  <c:v>24.766286911317</c:v>
                </c:pt>
                <c:pt idx="8">
                  <c:v>23.4742053618257</c:v>
                </c:pt>
                <c:pt idx="9">
                  <c:v>22.722151327546893</c:v>
                </c:pt>
                <c:pt idx="10">
                  <c:v>22.55660657187471</c:v>
                </c:pt>
                <c:pt idx="11">
                  <c:v>21.451310970654319</c:v>
                </c:pt>
                <c:pt idx="12">
                  <c:v>26.282067443140924</c:v>
                </c:pt>
                <c:pt idx="13">
                  <c:v>40.485048628542337</c:v>
                </c:pt>
                <c:pt idx="14">
                  <c:v>50.747570281331519</c:v>
                </c:pt>
                <c:pt idx="15">
                  <c:v>43.30248892180272</c:v>
                </c:pt>
                <c:pt idx="16">
                  <c:v>28.522433550866229</c:v>
                </c:pt>
                <c:pt idx="17">
                  <c:v>27.730192346383017</c:v>
                </c:pt>
                <c:pt idx="18">
                  <c:v>27.962269122091922</c:v>
                </c:pt>
                <c:pt idx="19">
                  <c:v>26.347382892953082</c:v>
                </c:pt>
                <c:pt idx="20">
                  <c:v>24.396208112343338</c:v>
                </c:pt>
                <c:pt idx="21">
                  <c:v>23.971593917899828</c:v>
                </c:pt>
                <c:pt idx="22">
                  <c:v>23.72323880148409</c:v>
                </c:pt>
                <c:pt idx="23">
                  <c:v>22.546769878508769</c:v>
                </c:pt>
                <c:pt idx="24">
                  <c:v>27.292025612175525</c:v>
                </c:pt>
                <c:pt idx="25">
                  <c:v>42.202046235832313</c:v>
                </c:pt>
                <c:pt idx="26">
                  <c:v>52.261199368711125</c:v>
                </c:pt>
                <c:pt idx="27">
                  <c:v>44.783739085726765</c:v>
                </c:pt>
                <c:pt idx="28">
                  <c:v>29.235104862923798</c:v>
                </c:pt>
                <c:pt idx="29">
                  <c:v>28.3946254540658</c:v>
                </c:pt>
                <c:pt idx="30">
                  <c:v>30.175102383141041</c:v>
                </c:pt>
                <c:pt idx="31">
                  <c:v>28.373317873092059</c:v>
                </c:pt>
                <c:pt idx="32">
                  <c:v>26.329154993538843</c:v>
                </c:pt>
                <c:pt idx="33">
                  <c:v>25.871345070384372</c:v>
                </c:pt>
                <c:pt idx="34">
                  <c:v>25.597179873798826</c:v>
                </c:pt>
                <c:pt idx="35">
                  <c:v>24.365183728224277</c:v>
                </c:pt>
                <c:pt idx="36">
                  <c:v>29.254495742551686</c:v>
                </c:pt>
                <c:pt idx="37">
                  <c:v>45.546710012011673</c:v>
                </c:pt>
                <c:pt idx="38">
                  <c:v>55.904722892612838</c:v>
                </c:pt>
                <c:pt idx="39">
                  <c:v>48.164079941375498</c:v>
                </c:pt>
                <c:pt idx="40">
                  <c:v>31.196583444892521</c:v>
                </c:pt>
                <c:pt idx="41">
                  <c:v>30.316081697878506</c:v>
                </c:pt>
                <c:pt idx="42">
                  <c:v>32.135778442159115</c:v>
                </c:pt>
                <c:pt idx="43">
                  <c:v>30.269021859485076</c:v>
                </c:pt>
                <c:pt idx="44">
                  <c:v>28.154076877795532</c:v>
                </c:pt>
                <c:pt idx="45">
                  <c:v>27.67298663281808</c:v>
                </c:pt>
                <c:pt idx="46">
                  <c:v>27.38117848659536</c:v>
                </c:pt>
                <c:pt idx="47">
                  <c:v>26.106470470041316</c:v>
                </c:pt>
                <c:pt idx="48">
                  <c:v>31.118058997936874</c:v>
                </c:pt>
                <c:pt idx="49">
                  <c:v>48.765352236843071</c:v>
                </c:pt>
                <c:pt idx="50">
                  <c:v>59.377758288862474</c:v>
                </c:pt>
                <c:pt idx="51">
                  <c:v>51.421202810530801</c:v>
                </c:pt>
                <c:pt idx="52">
                  <c:v>33.070840032556568</c:v>
                </c:pt>
                <c:pt idx="53">
                  <c:v>32.158992864107937</c:v>
                </c:pt>
                <c:pt idx="54">
                  <c:v>34.014298908096201</c:v>
                </c:pt>
                <c:pt idx="55">
                  <c:v>32.460419744165854</c:v>
                </c:pt>
                <c:pt idx="56">
                  <c:v>30.287475321725907</c:v>
                </c:pt>
                <c:pt idx="57">
                  <c:v>29.788675192621437</c:v>
                </c:pt>
                <c:pt idx="58">
                  <c:v>29.483886642566823</c:v>
                </c:pt>
                <c:pt idx="59">
                  <c:v>28.174288585353175</c:v>
                </c:pt>
                <c:pt idx="60">
                  <c:v>33.293816396466802</c:v>
                </c:pt>
                <c:pt idx="61">
                  <c:v>52.064407305995303</c:v>
                </c:pt>
                <c:pt idx="62">
                  <c:v>62.900743241324292</c:v>
                </c:pt>
                <c:pt idx="63">
                  <c:v>54.758423015715735</c:v>
                </c:pt>
                <c:pt idx="64">
                  <c:v>35.263949574834825</c:v>
                </c:pt>
                <c:pt idx="65">
                  <c:v>34.326495027980414</c:v>
                </c:pt>
                <c:pt idx="66">
                  <c:v>36.214869065091428</c:v>
                </c:pt>
                <c:pt idx="67">
                  <c:v>34.49080433698245</c:v>
                </c:pt>
                <c:pt idx="68">
                  <c:v>32.26773152609821</c:v>
                </c:pt>
                <c:pt idx="69">
                  <c:v>31.75397223755883</c:v>
                </c:pt>
                <c:pt idx="70">
                  <c:v>31.438319127818659</c:v>
                </c:pt>
                <c:pt idx="71">
                  <c:v>30.098441745241583</c:v>
                </c:pt>
                <c:pt idx="72">
                  <c:v>35.31378142213925</c:v>
                </c:pt>
                <c:pt idx="73">
                  <c:v>55.042077404673421</c:v>
                </c:pt>
                <c:pt idx="74">
                  <c:v>66.077605438369389</c:v>
                </c:pt>
                <c:pt idx="75">
                  <c:v>57.771355615292769</c:v>
                </c:pt>
                <c:pt idx="76">
                  <c:v>37.301389390908653</c:v>
                </c:pt>
                <c:pt idx="77">
                  <c:v>36.34161357326294</c:v>
                </c:pt>
                <c:pt idx="78">
                  <c:v>38.259887732064023</c:v>
                </c:pt>
                <c:pt idx="79">
                  <c:v>36.121604735586686</c:v>
                </c:pt>
                <c:pt idx="80">
                  <c:v>33.85363339243542</c:v>
                </c:pt>
                <c:pt idx="81">
                  <c:v>33.326410248694621</c:v>
                </c:pt>
                <c:pt idx="82">
                  <c:v>33.000923755844944</c:v>
                </c:pt>
                <c:pt idx="83">
                  <c:v>31.633715993281523</c:v>
                </c:pt>
                <c:pt idx="84">
                  <c:v>36.935199901782859</c:v>
                </c:pt>
                <c:pt idx="85">
                  <c:v>57.759153719369998</c:v>
                </c:pt>
                <c:pt idx="86">
                  <c:v>68.974847175160562</c:v>
                </c:pt>
                <c:pt idx="87">
                  <c:v>60.521068855047439</c:v>
                </c:pt>
                <c:pt idx="88">
                  <c:v>38.938322863079897</c:v>
                </c:pt>
                <c:pt idx="89">
                  <c:v>37.958254610919809</c:v>
                </c:pt>
                <c:pt idx="90">
                  <c:v>39.903504975281123</c:v>
                </c:pt>
                <c:pt idx="91">
                  <c:v>37.668615508813758</c:v>
                </c:pt>
                <c:pt idx="92">
                  <c:v>35.36021414606293</c:v>
                </c:pt>
                <c:pt idx="93">
                  <c:v>34.821026950722036</c:v>
                </c:pt>
                <c:pt idx="94">
                  <c:v>34.486854680614769</c:v>
                </c:pt>
                <c:pt idx="95">
                  <c:v>33.095005771428482</c:v>
                </c:pt>
                <c:pt idx="96">
                  <c:v>38.475157331279362</c:v>
                </c:pt>
                <c:pt idx="97">
                  <c:v>60.311492464510756</c:v>
                </c:pt>
                <c:pt idx="98">
                  <c:v>71.691839362420794</c:v>
                </c:pt>
                <c:pt idx="99">
                  <c:v>63.103805970646967</c:v>
                </c:pt>
                <c:pt idx="100">
                  <c:v>40.49343475341022</c:v>
                </c:pt>
                <c:pt idx="101">
                  <c:v>39.495051462053965</c:v>
                </c:pt>
                <c:pt idx="102">
                  <c:v>41.465197555091102</c:v>
                </c:pt>
                <c:pt idx="103">
                  <c:v>39.195830968179791</c:v>
                </c:pt>
                <c:pt idx="104">
                  <c:v>36.850560056296189</c:v>
                </c:pt>
                <c:pt idx="105">
                  <c:v>36.300602336417185</c:v>
                </c:pt>
                <c:pt idx="106">
                  <c:v>35.958660919433463</c:v>
                </c:pt>
                <c:pt idx="107">
                  <c:v>34.544336746977478</c:v>
                </c:pt>
                <c:pt idx="108">
                  <c:v>39.997114838732749</c:v>
                </c:pt>
                <c:pt idx="109">
                  <c:v>62.290618260198372</c:v>
                </c:pt>
                <c:pt idx="110">
                  <c:v>73.8224850887364</c:v>
                </c:pt>
                <c:pt idx="111">
                  <c:v>65.110405241150175</c:v>
                </c:pt>
                <c:pt idx="112">
                  <c:v>42.030230642613184</c:v>
                </c:pt>
                <c:pt idx="113">
                  <c:v>41.015143173991206</c:v>
                </c:pt>
                <c:pt idx="114">
                  <c:v>43.008486388542067</c:v>
                </c:pt>
                <c:pt idx="115">
                  <c:v>40.67475949775482</c:v>
                </c:pt>
                <c:pt idx="116">
                  <c:v>38.295726362184119</c:v>
                </c:pt>
                <c:pt idx="117">
                  <c:v>37.73598251593036</c:v>
                </c:pt>
                <c:pt idx="118">
                  <c:v>37.387008574230286</c:v>
                </c:pt>
                <c:pt idx="119">
                  <c:v>35.952089945351062</c:v>
                </c:pt>
                <c:pt idx="120">
                  <c:v>41.471903831064289</c:v>
                </c:pt>
                <c:pt idx="121">
                  <c:v>64.203296842877293</c:v>
                </c:pt>
                <c:pt idx="122">
                  <c:v>75.875170918190577</c:v>
                </c:pt>
                <c:pt idx="123">
                  <c:v>67.048903608719982</c:v>
                </c:pt>
                <c:pt idx="124">
                  <c:v>43.519199186837149</c:v>
                </c:pt>
                <c:pt idx="125">
                  <c:v>42.488800244372918</c:v>
                </c:pt>
                <c:pt idx="126">
                  <c:v>44.503687733673928</c:v>
                </c:pt>
                <c:pt idx="127">
                  <c:v>42.0591071040187</c:v>
                </c:pt>
                <c:pt idx="128">
                  <c:v>39.648809061115792</c:v>
                </c:pt>
                <c:pt idx="129">
                  <c:v>39.080017093518606</c:v>
                </c:pt>
                <c:pt idx="130">
                  <c:v>38.724542230603369</c:v>
                </c:pt>
                <c:pt idx="131">
                  <c:v>37.270522011643109</c:v>
                </c:pt>
                <c:pt idx="132">
                  <c:v>42.852616006260114</c:v>
                </c:pt>
                <c:pt idx="133">
                  <c:v>65.84490143924468</c:v>
                </c:pt>
                <c:pt idx="134">
                  <c:v>77.646883546483124</c:v>
                </c:pt>
                <c:pt idx="135">
                  <c:v>68.714442060080145</c:v>
                </c:pt>
                <c:pt idx="136">
                  <c:v>44.91321712944184</c:v>
                </c:pt>
                <c:pt idx="137">
                  <c:v>43.868598849736372</c:v>
                </c:pt>
                <c:pt idx="138">
                  <c:v>45.903561545812146</c:v>
                </c:pt>
                <c:pt idx="139">
                  <c:v>43.429421167785087</c:v>
                </c:pt>
                <c:pt idx="140">
                  <c:v>40.990094892610372</c:v>
                </c:pt>
                <c:pt idx="141">
                  <c:v>40.412950792828703</c:v>
                </c:pt>
                <c:pt idx="142">
                  <c:v>40.051492933104413</c:v>
                </c:pt>
                <c:pt idx="143">
                  <c:v>38.579734430225564</c:v>
                </c:pt>
                <c:pt idx="144">
                  <c:v>44.219972556359927</c:v>
                </c:pt>
                <c:pt idx="145">
                  <c:v>67.455706681908111</c:v>
                </c:pt>
                <c:pt idx="146">
                  <c:v>79.379236233338332</c:v>
                </c:pt>
                <c:pt idx="147">
                  <c:v>70.347876304108851</c:v>
                </c:pt>
                <c:pt idx="148">
                  <c:v>46.293299026020392</c:v>
                </c:pt>
                <c:pt idx="149">
                  <c:v>45.23547708617744</c:v>
                </c:pt>
                <c:pt idx="150">
                  <c:v>47.289262519913294</c:v>
                </c:pt>
                <c:pt idx="151">
                  <c:v>44.788776944327829</c:v>
                </c:pt>
                <c:pt idx="152">
                  <c:v>42.322311092255447</c:v>
                </c:pt>
                <c:pt idx="153">
                  <c:v>41.737390140621322</c:v>
                </c:pt>
                <c:pt idx="154">
                  <c:v>41.370372816105117</c:v>
                </c:pt>
                <c:pt idx="155">
                  <c:v>39.882025226116838</c:v>
                </c:pt>
                <c:pt idx="156">
                  <c:v>45.576844678089081</c:v>
                </c:pt>
                <c:pt idx="157">
                  <c:v>69.041044702932169</c:v>
                </c:pt>
                <c:pt idx="158">
                  <c:v>81.07874340677543</c:v>
                </c:pt>
                <c:pt idx="159">
                  <c:v>71.954661891961663</c:v>
                </c:pt>
                <c:pt idx="160">
                  <c:v>47.662320043631212</c:v>
                </c:pt>
                <c:pt idx="161">
                  <c:v>46.592148902550974</c:v>
                </c:pt>
                <c:pt idx="162">
                  <c:v>48.663660580721135</c:v>
                </c:pt>
                <c:pt idx="163">
                  <c:v>46.104990185758922</c:v>
                </c:pt>
                <c:pt idx="164">
                  <c:v>43.613182297528219</c:v>
                </c:pt>
                <c:pt idx="165">
                  <c:v>43.021006447343453</c:v>
                </c:pt>
                <c:pt idx="166">
                  <c:v>42.648803789972654</c:v>
                </c:pt>
                <c:pt idx="167">
                  <c:v>41.14495335531862</c:v>
                </c:pt>
                <c:pt idx="168">
                  <c:v>46.890829899597236</c:v>
                </c:pt>
                <c:pt idx="169">
                  <c:v>70.568775187532012</c:v>
                </c:pt>
                <c:pt idx="170">
                  <c:v>82.713353237153044</c:v>
                </c:pt>
                <c:pt idx="171">
                  <c:v>73.502572535527847</c:v>
                </c:pt>
                <c:pt idx="172">
                  <c:v>48.987732127394004</c:v>
                </c:pt>
                <c:pt idx="173">
                  <c:v>47.906013404256527</c:v>
                </c:pt>
                <c:pt idx="174">
                  <c:v>49.994133930524065</c:v>
                </c:pt>
                <c:pt idx="175">
                  <c:v>47.410997363703515</c:v>
                </c:pt>
                <c:pt idx="176">
                  <c:v>44.895414585259026</c:v>
                </c:pt>
                <c:pt idx="177">
                  <c:v>44.296446642207911</c:v>
                </c:pt>
                <c:pt idx="178">
                  <c:v>43.919394159518838</c:v>
                </c:pt>
                <c:pt idx="179">
                  <c:v>42.400994423317371</c:v>
                </c:pt>
                <c:pt idx="180">
                  <c:v>48.194879836758197</c:v>
                </c:pt>
                <c:pt idx="181">
                  <c:v>72.073792227583084</c:v>
                </c:pt>
                <c:pt idx="182">
                  <c:v>84.318917049182019</c:v>
                </c:pt>
                <c:pt idx="183">
                  <c:v>75.026674960169117</c:v>
                </c:pt>
                <c:pt idx="184">
                  <c:v>50.302621474062313</c:v>
                </c:pt>
                <c:pt idx="185">
                  <c:v>49.210063167462565</c:v>
                </c:pt>
                <c:pt idx="186">
                  <c:v>51.313829997948737</c:v>
                </c:pt>
                <c:pt idx="187">
                  <c:v>48.707692165322619</c:v>
                </c:pt>
                <c:pt idx="188">
                  <c:v>46.169753411670726</c:v>
                </c:pt>
                <c:pt idx="189">
                  <c:v>45.564406311580328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FF-4A90-8F37-0E1E58C239CC}"/>
            </c:ext>
          </c:extLst>
        </c:ser>
        <c:ser>
          <c:idx val="2"/>
          <c:order val="2"/>
          <c:tx>
            <c:v>SP15 Curve Shifted 2 Std. Dev.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[1]Details!$BT$5:$BT$194</c:f>
              <c:numCache>
                <c:formatCode>General</c:formatCode>
                <c:ptCount val="190"/>
                <c:pt idx="0">
                  <c:v>25.657942338908043</c:v>
                </c:pt>
                <c:pt idx="1">
                  <c:v>37.155906868213215</c:v>
                </c:pt>
                <c:pt idx="2">
                  <c:v>48.290884730082091</c:v>
                </c:pt>
                <c:pt idx="3">
                  <c:v>44.060738545404007</c:v>
                </c:pt>
                <c:pt idx="4">
                  <c:v>31.718839284477287</c:v>
                </c:pt>
                <c:pt idx="5">
                  <c:v>29.43762546991119</c:v>
                </c:pt>
                <c:pt idx="6">
                  <c:v>31.261283538647287</c:v>
                </c:pt>
                <c:pt idx="7">
                  <c:v>29.127548846315438</c:v>
                </c:pt>
                <c:pt idx="8">
                  <c:v>27.75687429707002</c:v>
                </c:pt>
                <c:pt idx="9">
                  <c:v>26.974393611184855</c:v>
                </c:pt>
                <c:pt idx="10">
                  <c:v>27.011617268984871</c:v>
                </c:pt>
                <c:pt idx="11">
                  <c:v>25.895108719153527</c:v>
                </c:pt>
                <c:pt idx="12">
                  <c:v>31.979890031624066</c:v>
                </c:pt>
                <c:pt idx="13">
                  <c:v>49.639915829994671</c:v>
                </c:pt>
                <c:pt idx="14">
                  <c:v>62.668472424711773</c:v>
                </c:pt>
                <c:pt idx="15">
                  <c:v>53.85686917792615</c:v>
                </c:pt>
                <c:pt idx="16">
                  <c:v>35.712154596830764</c:v>
                </c:pt>
                <c:pt idx="17">
                  <c:v>34.953637970809176</c:v>
                </c:pt>
                <c:pt idx="18">
                  <c:v>33.029125858631978</c:v>
                </c:pt>
                <c:pt idx="19">
                  <c:v>31.246690724418492</c:v>
                </c:pt>
                <c:pt idx="20">
                  <c:v>29.058339733922537</c:v>
                </c:pt>
                <c:pt idx="21">
                  <c:v>28.669704838758602</c:v>
                </c:pt>
                <c:pt idx="22">
                  <c:v>28.490209889560806</c:v>
                </c:pt>
                <c:pt idx="23">
                  <c:v>27.183518377314474</c:v>
                </c:pt>
                <c:pt idx="24">
                  <c:v>33.035192653042458</c:v>
                </c:pt>
                <c:pt idx="25">
                  <c:v>51.281341877283474</c:v>
                </c:pt>
                <c:pt idx="26">
                  <c:v>63.738869350639796</c:v>
                </c:pt>
                <c:pt idx="27">
                  <c:v>54.823552408905414</c:v>
                </c:pt>
                <c:pt idx="28">
                  <c:v>35.916415474303292</c:v>
                </c:pt>
                <c:pt idx="29">
                  <c:v>35.009823783461457</c:v>
                </c:pt>
                <c:pt idx="30">
                  <c:v>37.337178044262956</c:v>
                </c:pt>
                <c:pt idx="31">
                  <c:v>35.218528217164007</c:v>
                </c:pt>
                <c:pt idx="32">
                  <c:v>32.793671907986955</c:v>
                </c:pt>
                <c:pt idx="33">
                  <c:v>32.329139931355748</c:v>
                </c:pt>
                <c:pt idx="34">
                  <c:v>32.093350104861479</c:v>
                </c:pt>
                <c:pt idx="35">
                  <c:v>30.645991538917691</c:v>
                </c:pt>
                <c:pt idx="36">
                  <c:v>36.915083653302162</c:v>
                </c:pt>
                <c:pt idx="37">
                  <c:v>57.657547831920738</c:v>
                </c:pt>
                <c:pt idx="38">
                  <c:v>70.98606762277511</c:v>
                </c:pt>
                <c:pt idx="39">
                  <c:v>61.347937973694748</c:v>
                </c:pt>
                <c:pt idx="40">
                  <c:v>39.854359951014978</c:v>
                </c:pt>
                <c:pt idx="41">
                  <c:v>38.84729301433314</c:v>
                </c:pt>
                <c:pt idx="42">
                  <c:v>41.302795425530142</c:v>
                </c:pt>
                <c:pt idx="43">
                  <c:v>39.007902853766531</c:v>
                </c:pt>
                <c:pt idx="44">
                  <c:v>36.38895629644265</c:v>
                </c:pt>
                <c:pt idx="45">
                  <c:v>35.86770694682685</c:v>
                </c:pt>
                <c:pt idx="46">
                  <c:v>35.591469418335677</c:v>
                </c:pt>
                <c:pt idx="47">
                  <c:v>34.027896062443084</c:v>
                </c:pt>
                <c:pt idx="48">
                  <c:v>40.674245519625615</c:v>
                </c:pt>
                <c:pt idx="49">
                  <c:v>63.918382107917402</c:v>
                </c:pt>
                <c:pt idx="50">
                  <c:v>78.035993416592461</c:v>
                </c:pt>
                <c:pt idx="51">
                  <c:v>67.763680383554316</c:v>
                </c:pt>
                <c:pt idx="52">
                  <c:v>43.695263734059473</c:v>
                </c:pt>
                <c:pt idx="53">
                  <c:v>42.604228752263531</c:v>
                </c:pt>
                <c:pt idx="54">
                  <c:v>45.181639757255624</c:v>
                </c:pt>
                <c:pt idx="55">
                  <c:v>43.223602056846694</c:v>
                </c:pt>
                <c:pt idx="56">
                  <c:v>40.435217247516583</c:v>
                </c:pt>
                <c:pt idx="57">
                  <c:v>39.868668253365875</c:v>
                </c:pt>
                <c:pt idx="58">
                  <c:v>39.561756790138006</c:v>
                </c:pt>
                <c:pt idx="59">
                  <c:v>37.897377596606468</c:v>
                </c:pt>
                <c:pt idx="60">
                  <c:v>44.896395407239616</c:v>
                </c:pt>
                <c:pt idx="61">
                  <c:v>70.383589945075798</c:v>
                </c:pt>
                <c:pt idx="62">
                  <c:v>85.236474147229046</c:v>
                </c:pt>
                <c:pt idx="63">
                  <c:v>74.385101184650338</c:v>
                </c:pt>
                <c:pt idx="64">
                  <c:v>48.016320615732049</c:v>
                </c:pt>
                <c:pt idx="65">
                  <c:v>46.852875373270862</c:v>
                </c:pt>
                <c:pt idx="66">
                  <c:v>49.548953720623999</c:v>
                </c:pt>
                <c:pt idx="67">
                  <c:v>47.291616608329264</c:v>
                </c:pt>
                <c:pt idx="68">
                  <c:v>44.348116347736564</c:v>
                </c:pt>
                <c:pt idx="69">
                  <c:v>43.741171623905842</c:v>
                </c:pt>
                <c:pt idx="70">
                  <c:v>43.40730731693931</c:v>
                </c:pt>
                <c:pt idx="71">
                  <c:v>41.650402025746587</c:v>
                </c:pt>
                <c:pt idx="72">
                  <c:v>48.979740034395419</c:v>
                </c:pt>
                <c:pt idx="73">
                  <c:v>76.516867868291925</c:v>
                </c:pt>
                <c:pt idx="74">
                  <c:v>92.059446634357172</c:v>
                </c:pt>
                <c:pt idx="75">
                  <c:v>80.668406657140437</c:v>
                </c:pt>
                <c:pt idx="76">
                  <c:v>52.198142470590113</c:v>
                </c:pt>
                <c:pt idx="77">
                  <c:v>50.968090353330425</c:v>
                </c:pt>
                <c:pt idx="78">
                  <c:v>53.776889224809246</c:v>
                </c:pt>
                <c:pt idx="79">
                  <c:v>50.872005012383411</c:v>
                </c:pt>
                <c:pt idx="80">
                  <c:v>47.781887571201786</c:v>
                </c:pt>
                <c:pt idx="81">
                  <c:v>47.13641666035754</c:v>
                </c:pt>
                <c:pt idx="82">
                  <c:v>46.776608321883337</c:v>
                </c:pt>
                <c:pt idx="83">
                  <c:v>44.931595645004926</c:v>
                </c:pt>
                <c:pt idx="84">
                  <c:v>52.573333152661029</c:v>
                </c:pt>
                <c:pt idx="85">
                  <c:v>82.387965614773492</c:v>
                </c:pt>
                <c:pt idx="86">
                  <c:v>98.586357988477417</c:v>
                </c:pt>
                <c:pt idx="87">
                  <c:v>86.684204983689668</c:v>
                </c:pt>
                <c:pt idx="88">
                  <c:v>55.88350852594521</c:v>
                </c:pt>
                <c:pt idx="89">
                  <c:v>54.589576640898272</c:v>
                </c:pt>
                <c:pt idx="90">
                  <c:v>57.505122630354023</c:v>
                </c:pt>
                <c:pt idx="91">
                  <c:v>54.384674798564483</c:v>
                </c:pt>
                <c:pt idx="92">
                  <c:v>51.15573681106612</c:v>
                </c:pt>
                <c:pt idx="93">
                  <c:v>50.474327687999583</c:v>
                </c:pt>
                <c:pt idx="94">
                  <c:v>50.090538946503933</c:v>
                </c:pt>
                <c:pt idx="95">
                  <c:v>48.162065885482725</c:v>
                </c:pt>
                <c:pt idx="96">
                  <c:v>56.103126772288483</c:v>
                </c:pt>
                <c:pt idx="97">
                  <c:v>88.11832222408627</c:v>
                </c:pt>
                <c:pt idx="98">
                  <c:v>104.94539193897654</c:v>
                </c:pt>
                <c:pt idx="99">
                  <c:v>92.555018132518001</c:v>
                </c:pt>
                <c:pt idx="100">
                  <c:v>59.504283765628223</c:v>
                </c:pt>
                <c:pt idx="101">
                  <c:v>58.149851417963681</c:v>
                </c:pt>
                <c:pt idx="102">
                  <c:v>61.168491696307463</c:v>
                </c:pt>
                <c:pt idx="103">
                  <c:v>57.924753745678601</c:v>
                </c:pt>
                <c:pt idx="104">
                  <c:v>54.563040471807362</c:v>
                </c:pt>
                <c:pt idx="105">
                  <c:v>53.847784731078512</c:v>
                </c:pt>
                <c:pt idx="106">
                  <c:v>53.441643888531971</c:v>
                </c:pt>
                <c:pt idx="107">
                  <c:v>51.433395423195819</c:v>
                </c:pt>
                <c:pt idx="108">
                  <c:v>59.663901288491083</c:v>
                </c:pt>
                <c:pt idx="109">
                  <c:v>93.092880018167278</c:v>
                </c:pt>
                <c:pt idx="110">
                  <c:v>110.52578299970561</c:v>
                </c:pt>
                <c:pt idx="111">
                  <c:v>97.662727582458771</c:v>
                </c:pt>
                <c:pt idx="112">
                  <c:v>63.155959866187359</c:v>
                </c:pt>
                <c:pt idx="113">
                  <c:v>61.743774449669509</c:v>
                </c:pt>
                <c:pt idx="114">
                  <c:v>64.862834478014861</c:v>
                </c:pt>
                <c:pt idx="115">
                  <c:v>61.444050852634206</c:v>
                </c:pt>
                <c:pt idx="116">
                  <c:v>57.955057949129092</c:v>
                </c:pt>
                <c:pt idx="117">
                  <c:v>57.207670604112494</c:v>
                </c:pt>
                <c:pt idx="118">
                  <c:v>56.78044858555787</c:v>
                </c:pt>
                <c:pt idx="119">
                  <c:v>54.695729959872374</c:v>
                </c:pt>
                <c:pt idx="120">
                  <c:v>63.205698239156888</c:v>
                </c:pt>
                <c:pt idx="121">
                  <c:v>98.023299855544948</c:v>
                </c:pt>
                <c:pt idx="122">
                  <c:v>116.04154759516824</c:v>
                </c:pt>
                <c:pt idx="123">
                  <c:v>102.72329910786857</c:v>
                </c:pt>
                <c:pt idx="124">
                  <c:v>66.787319162936896</c:v>
                </c:pt>
                <c:pt idx="125">
                  <c:v>65.319808727989312</c:v>
                </c:pt>
                <c:pt idx="126">
                  <c:v>68.536306739737498</c:v>
                </c:pt>
                <c:pt idx="127">
                  <c:v>64.872915601306659</c:v>
                </c:pt>
                <c:pt idx="128">
                  <c:v>61.260714397753503</c:v>
                </c:pt>
                <c:pt idx="129">
                  <c:v>60.48229161708057</c:v>
                </c:pt>
                <c:pt idx="130">
                  <c:v>60.034728108942723</c:v>
                </c:pt>
                <c:pt idx="131">
                  <c:v>57.875903703862946</c:v>
                </c:pt>
                <c:pt idx="132">
                  <c:v>66.657153615109507</c:v>
                </c:pt>
                <c:pt idx="133">
                  <c:v>102.59492341473771</c:v>
                </c:pt>
                <c:pt idx="134">
                  <c:v>121.18132617470354</c:v>
                </c:pt>
                <c:pt idx="135">
                  <c:v>107.42083718578832</c:v>
                </c:pt>
                <c:pt idx="136">
                  <c:v>70.32624051171841</c:v>
                </c:pt>
                <c:pt idx="137">
                  <c:v>68.805079222154191</c:v>
                </c:pt>
                <c:pt idx="138">
                  <c:v>72.116385127778656</c:v>
                </c:pt>
                <c:pt idx="139">
                  <c:v>68.331414634360868</c:v>
                </c:pt>
                <c:pt idx="140">
                  <c:v>64.599793211423787</c:v>
                </c:pt>
                <c:pt idx="141">
                  <c:v>63.791534178358226</c:v>
                </c:pt>
                <c:pt idx="142">
                  <c:v>63.324529014633072</c:v>
                </c:pt>
                <c:pt idx="143">
                  <c:v>61.093911225275527</c:v>
                </c:pt>
                <c:pt idx="144">
                  <c:v>70.139551624828314</c:v>
                </c:pt>
                <c:pt idx="145">
                  <c:v>107.16835288400523</c:v>
                </c:pt>
                <c:pt idx="146">
                  <c:v>126.30865045916464</c:v>
                </c:pt>
                <c:pt idx="147">
                  <c:v>112.11809565438696</c:v>
                </c:pt>
                <c:pt idx="148">
                  <c:v>73.895258658291979</c:v>
                </c:pt>
                <c:pt idx="149">
                  <c:v>72.322171254729483</c:v>
                </c:pt>
                <c:pt idx="150">
                  <c:v>75.726224826839413</c:v>
                </c:pt>
                <c:pt idx="151">
                  <c:v>71.828654413335087</c:v>
                </c:pt>
                <c:pt idx="152">
                  <c:v>67.980585013242433</c:v>
                </c:pt>
                <c:pt idx="153">
                  <c:v>67.14342158839203</c:v>
                </c:pt>
                <c:pt idx="154">
                  <c:v>66.657670742381598</c:v>
                </c:pt>
                <c:pt idx="155">
                  <c:v>64.357071128950935</c:v>
                </c:pt>
                <c:pt idx="156">
                  <c:v>73.661651676802407</c:v>
                </c:pt>
                <c:pt idx="157">
                  <c:v>111.75847912074599</c:v>
                </c:pt>
                <c:pt idx="158">
                  <c:v>131.44140472723936</c:v>
                </c:pt>
                <c:pt idx="159">
                  <c:v>116.8303792659153</c:v>
                </c:pt>
                <c:pt idx="160">
                  <c:v>77.503264256571285</c:v>
                </c:pt>
                <c:pt idx="161">
                  <c:v>75.879601183126255</c:v>
                </c:pt>
                <c:pt idx="162">
                  <c:v>79.374766077381182</c:v>
                </c:pt>
                <c:pt idx="163">
                  <c:v>75.305175601058238</c:v>
                </c:pt>
                <c:pt idx="164">
                  <c:v>71.343780256594272</c:v>
                </c:pt>
                <c:pt idx="165">
                  <c:v>70.478568669703705</c:v>
                </c:pt>
                <c:pt idx="166">
                  <c:v>69.974662954161261</c:v>
                </c:pt>
                <c:pt idx="167">
                  <c:v>67.605942227290612</c:v>
                </c:pt>
                <c:pt idx="168">
                  <c:v>77.163113008696442</c:v>
                </c:pt>
                <c:pt idx="169">
                  <c:v>116.3016718100239</c:v>
                </c:pt>
                <c:pt idx="170">
                  <c:v>136.51415556013049</c:v>
                </c:pt>
                <c:pt idx="171">
                  <c:v>121.49330142775251</c:v>
                </c:pt>
                <c:pt idx="172">
                  <c:v>81.089037186772728</c:v>
                </c:pt>
                <c:pt idx="173">
                  <c:v>79.416148437282402</c:v>
                </c:pt>
                <c:pt idx="174">
                  <c:v>83.000351980381126</c:v>
                </c:pt>
                <c:pt idx="175">
                  <c:v>78.816714719520363</c:v>
                </c:pt>
                <c:pt idx="176">
                  <c:v>74.74459264484733</c:v>
                </c:pt>
                <c:pt idx="177">
                  <c:v>73.852107139101889</c:v>
                </c:pt>
                <c:pt idx="178">
                  <c:v>73.330610265135945</c:v>
                </c:pt>
                <c:pt idx="179">
                  <c:v>70.895350797064609</c:v>
                </c:pt>
                <c:pt idx="180">
                  <c:v>80.700092721371362</c:v>
                </c:pt>
                <c:pt idx="181">
                  <c:v>120.85932038203849</c:v>
                </c:pt>
                <c:pt idx="182">
                  <c:v>141.59093476115041</c:v>
                </c:pt>
                <c:pt idx="183">
                  <c:v>126.16890093587955</c:v>
                </c:pt>
                <c:pt idx="184">
                  <c:v>84.709395140768976</c:v>
                </c:pt>
                <c:pt idx="185">
                  <c:v>82.988455307646092</c:v>
                </c:pt>
                <c:pt idx="186">
                  <c:v>86.660119085164808</c:v>
                </c:pt>
                <c:pt idx="187">
                  <c:v>82.364854589249219</c:v>
                </c:pt>
                <c:pt idx="188">
                  <c:v>78.184349118902944</c:v>
                </c:pt>
                <c:pt idx="189">
                  <c:v>77.265275202841337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FF-4A90-8F37-0E1E58C23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31768"/>
        <c:axId val="1"/>
      </c:lineChart>
      <c:dateAx>
        <c:axId val="20923176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5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09231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NP15 Curve Analysis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NP15 Curve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[1]Details!$BP$5:$BP$194</c:f>
              <c:numCache>
                <c:formatCode>General</c:formatCode>
                <c:ptCount val="190"/>
                <c:pt idx="0">
                  <c:v>17.766613333333332</c:v>
                </c:pt>
                <c:pt idx="1">
                  <c:v>25.505808064516124</c:v>
                </c:pt>
                <c:pt idx="2">
                  <c:v>35.609687096774188</c:v>
                </c:pt>
                <c:pt idx="3">
                  <c:v>35.868441666666662</c:v>
                </c:pt>
                <c:pt idx="4">
                  <c:v>25.979719354838707</c:v>
                </c:pt>
                <c:pt idx="5">
                  <c:v>29.323858333333334</c:v>
                </c:pt>
                <c:pt idx="6">
                  <c:v>30.194759677419356</c:v>
                </c:pt>
                <c:pt idx="7">
                  <c:v>28.47067419354839</c:v>
                </c:pt>
                <c:pt idx="8">
                  <c:v>24.449055172413793</c:v>
                </c:pt>
                <c:pt idx="9">
                  <c:v>20.357022580645161</c:v>
                </c:pt>
                <c:pt idx="10">
                  <c:v>19.113316666666666</c:v>
                </c:pt>
                <c:pt idx="11">
                  <c:v>15.199251612903224</c:v>
                </c:pt>
                <c:pt idx="12">
                  <c:v>16.366246666666665</c:v>
                </c:pt>
                <c:pt idx="13">
                  <c:v>28.131964516129027</c:v>
                </c:pt>
                <c:pt idx="14">
                  <c:v>41.706348387096767</c:v>
                </c:pt>
                <c:pt idx="15">
                  <c:v>39.161316666666664</c:v>
                </c:pt>
                <c:pt idx="16">
                  <c:v>25.851578225806449</c:v>
                </c:pt>
                <c:pt idx="17">
                  <c:v>29.525962499999999</c:v>
                </c:pt>
                <c:pt idx="18">
                  <c:v>30.461738709677419</c:v>
                </c:pt>
                <c:pt idx="19">
                  <c:v>28.233646774193545</c:v>
                </c:pt>
                <c:pt idx="20">
                  <c:v>25.637849999999997</c:v>
                </c:pt>
                <c:pt idx="21">
                  <c:v>21.21402258064516</c:v>
                </c:pt>
                <c:pt idx="22">
                  <c:v>19.970316666666665</c:v>
                </c:pt>
                <c:pt idx="23">
                  <c:v>16.056251612903225</c:v>
                </c:pt>
                <c:pt idx="24">
                  <c:v>17.223246666666665</c:v>
                </c:pt>
                <c:pt idx="25">
                  <c:v>29.72996451612903</c:v>
                </c:pt>
                <c:pt idx="26">
                  <c:v>43.304348387096766</c:v>
                </c:pt>
                <c:pt idx="27">
                  <c:v>40.759316666666663</c:v>
                </c:pt>
                <c:pt idx="28">
                  <c:v>26.708578225806452</c:v>
                </c:pt>
                <c:pt idx="29">
                  <c:v>30.382962499999998</c:v>
                </c:pt>
                <c:pt idx="30">
                  <c:v>31.318738709677419</c:v>
                </c:pt>
                <c:pt idx="31">
                  <c:v>29.069146774193541</c:v>
                </c:pt>
                <c:pt idx="32">
                  <c:v>26.473349999999996</c:v>
                </c:pt>
                <c:pt idx="33">
                  <c:v>22.04952258064516</c:v>
                </c:pt>
                <c:pt idx="34">
                  <c:v>20.805816666666669</c:v>
                </c:pt>
                <c:pt idx="35">
                  <c:v>16.891751612903224</c:v>
                </c:pt>
                <c:pt idx="36">
                  <c:v>18.058746666666664</c:v>
                </c:pt>
                <c:pt idx="37">
                  <c:v>31.306464516129033</c:v>
                </c:pt>
                <c:pt idx="38">
                  <c:v>44.880848387096776</c:v>
                </c:pt>
                <c:pt idx="39">
                  <c:v>42.335816666666666</c:v>
                </c:pt>
                <c:pt idx="40">
                  <c:v>27.544078225806452</c:v>
                </c:pt>
                <c:pt idx="41">
                  <c:v>31.218462500000001</c:v>
                </c:pt>
                <c:pt idx="42">
                  <c:v>32.154238709677422</c:v>
                </c:pt>
                <c:pt idx="43">
                  <c:v>29.883146774193541</c:v>
                </c:pt>
                <c:pt idx="44">
                  <c:v>27.287349999999996</c:v>
                </c:pt>
                <c:pt idx="45">
                  <c:v>22.86352258064516</c:v>
                </c:pt>
                <c:pt idx="46">
                  <c:v>21.619816666666665</c:v>
                </c:pt>
                <c:pt idx="47">
                  <c:v>17.705751612903224</c:v>
                </c:pt>
                <c:pt idx="48">
                  <c:v>18.872746666666664</c:v>
                </c:pt>
                <c:pt idx="49">
                  <c:v>32.861464516129026</c:v>
                </c:pt>
                <c:pt idx="50">
                  <c:v>46.435848387096769</c:v>
                </c:pt>
                <c:pt idx="51">
                  <c:v>43.890816666666666</c:v>
                </c:pt>
                <c:pt idx="52">
                  <c:v>28.358078225806452</c:v>
                </c:pt>
                <c:pt idx="53">
                  <c:v>32.032462499999994</c:v>
                </c:pt>
                <c:pt idx="54">
                  <c:v>32.968238709677422</c:v>
                </c:pt>
                <c:pt idx="55">
                  <c:v>30.960646774193545</c:v>
                </c:pt>
                <c:pt idx="56">
                  <c:v>28.364849999999997</c:v>
                </c:pt>
                <c:pt idx="57">
                  <c:v>23.941022580645161</c:v>
                </c:pt>
                <c:pt idx="58">
                  <c:v>22.697316666666666</c:v>
                </c:pt>
                <c:pt idx="59">
                  <c:v>18.783251612903221</c:v>
                </c:pt>
                <c:pt idx="60">
                  <c:v>19.950246666666665</c:v>
                </c:pt>
                <c:pt idx="61">
                  <c:v>34.508964516129033</c:v>
                </c:pt>
                <c:pt idx="62">
                  <c:v>48.08334838709677</c:v>
                </c:pt>
                <c:pt idx="63">
                  <c:v>45.538316666666667</c:v>
                </c:pt>
                <c:pt idx="64">
                  <c:v>29.435578225806449</c:v>
                </c:pt>
                <c:pt idx="65">
                  <c:v>33.109962499999995</c:v>
                </c:pt>
                <c:pt idx="66">
                  <c:v>34.045738709677416</c:v>
                </c:pt>
                <c:pt idx="67">
                  <c:v>31.959646774193544</c:v>
                </c:pt>
                <c:pt idx="68">
                  <c:v>29.363849999999999</c:v>
                </c:pt>
                <c:pt idx="69">
                  <c:v>24.940022580645156</c:v>
                </c:pt>
                <c:pt idx="70">
                  <c:v>23.696316666666661</c:v>
                </c:pt>
                <c:pt idx="71">
                  <c:v>19.782251612903224</c:v>
                </c:pt>
                <c:pt idx="72">
                  <c:v>20.949246666666664</c:v>
                </c:pt>
                <c:pt idx="73">
                  <c:v>35.963964516129032</c:v>
                </c:pt>
                <c:pt idx="74">
                  <c:v>49.538348387096775</c:v>
                </c:pt>
                <c:pt idx="75">
                  <c:v>46.993316666666658</c:v>
                </c:pt>
                <c:pt idx="76">
                  <c:v>30.434578225806455</c:v>
                </c:pt>
                <c:pt idx="77">
                  <c:v>34.108962499999997</c:v>
                </c:pt>
                <c:pt idx="78">
                  <c:v>35.044738709677418</c:v>
                </c:pt>
                <c:pt idx="79">
                  <c:v>32.673646774193543</c:v>
                </c:pt>
                <c:pt idx="80">
                  <c:v>30.077850000000002</c:v>
                </c:pt>
                <c:pt idx="81">
                  <c:v>25.654022580645158</c:v>
                </c:pt>
                <c:pt idx="82">
                  <c:v>24.410316666666667</c:v>
                </c:pt>
                <c:pt idx="83">
                  <c:v>20.496251612903222</c:v>
                </c:pt>
                <c:pt idx="84">
                  <c:v>21.663246666666666</c:v>
                </c:pt>
                <c:pt idx="85">
                  <c:v>37.247964516129031</c:v>
                </c:pt>
                <c:pt idx="86">
                  <c:v>50.822348387096774</c:v>
                </c:pt>
                <c:pt idx="87">
                  <c:v>48.277316666666664</c:v>
                </c:pt>
                <c:pt idx="88">
                  <c:v>31.14857822580645</c:v>
                </c:pt>
                <c:pt idx="89">
                  <c:v>34.822962499999996</c:v>
                </c:pt>
                <c:pt idx="90">
                  <c:v>35.758738709677417</c:v>
                </c:pt>
                <c:pt idx="91">
                  <c:v>33.387646774193549</c:v>
                </c:pt>
                <c:pt idx="92">
                  <c:v>30.791849999999997</c:v>
                </c:pt>
                <c:pt idx="93">
                  <c:v>26.36802258064516</c:v>
                </c:pt>
                <c:pt idx="94">
                  <c:v>25.124316666666665</c:v>
                </c:pt>
                <c:pt idx="95">
                  <c:v>21.210251612903221</c:v>
                </c:pt>
                <c:pt idx="96">
                  <c:v>22.377246666666665</c:v>
                </c:pt>
                <c:pt idx="97">
                  <c:v>38.474964516129027</c:v>
                </c:pt>
                <c:pt idx="98">
                  <c:v>52.049348387096771</c:v>
                </c:pt>
                <c:pt idx="99">
                  <c:v>49.504316666666668</c:v>
                </c:pt>
                <c:pt idx="100">
                  <c:v>31.862578225806452</c:v>
                </c:pt>
                <c:pt idx="101">
                  <c:v>35.536962500000001</c:v>
                </c:pt>
                <c:pt idx="102">
                  <c:v>36.472738709677415</c:v>
                </c:pt>
                <c:pt idx="103">
                  <c:v>34.10164677419354</c:v>
                </c:pt>
                <c:pt idx="104">
                  <c:v>31.505849999999995</c:v>
                </c:pt>
                <c:pt idx="105">
                  <c:v>27.082022580645162</c:v>
                </c:pt>
                <c:pt idx="106">
                  <c:v>25.838316666666664</c:v>
                </c:pt>
                <c:pt idx="107">
                  <c:v>21.924251612903223</c:v>
                </c:pt>
                <c:pt idx="108">
                  <c:v>23.091246666666663</c:v>
                </c:pt>
                <c:pt idx="109">
                  <c:v>39.302964516129023</c:v>
                </c:pt>
                <c:pt idx="110">
                  <c:v>52.877348387096774</c:v>
                </c:pt>
                <c:pt idx="111">
                  <c:v>50.332316666666671</c:v>
                </c:pt>
                <c:pt idx="112">
                  <c:v>32.57657822580645</c:v>
                </c:pt>
                <c:pt idx="113">
                  <c:v>36.2509625</c:v>
                </c:pt>
                <c:pt idx="114">
                  <c:v>37.186738709677421</c:v>
                </c:pt>
                <c:pt idx="115">
                  <c:v>34.79414677419355</c:v>
                </c:pt>
                <c:pt idx="116">
                  <c:v>32.198349999999998</c:v>
                </c:pt>
                <c:pt idx="117">
                  <c:v>27.774522580645161</c:v>
                </c:pt>
                <c:pt idx="118">
                  <c:v>26.530816666666666</c:v>
                </c:pt>
                <c:pt idx="119">
                  <c:v>22.616751612903222</c:v>
                </c:pt>
                <c:pt idx="120">
                  <c:v>23.783746666666666</c:v>
                </c:pt>
                <c:pt idx="121">
                  <c:v>40.10946451612903</c:v>
                </c:pt>
                <c:pt idx="122">
                  <c:v>53.683848387096774</c:v>
                </c:pt>
                <c:pt idx="123">
                  <c:v>51.138816666666671</c:v>
                </c:pt>
                <c:pt idx="124">
                  <c:v>33.269078225806453</c:v>
                </c:pt>
                <c:pt idx="125">
                  <c:v>36.943462500000003</c:v>
                </c:pt>
                <c:pt idx="126">
                  <c:v>37.879238709677423</c:v>
                </c:pt>
                <c:pt idx="127">
                  <c:v>35.429646774193543</c:v>
                </c:pt>
                <c:pt idx="128">
                  <c:v>32.833849999999998</c:v>
                </c:pt>
                <c:pt idx="129">
                  <c:v>28.410022580645162</c:v>
                </c:pt>
                <c:pt idx="130">
                  <c:v>27.166316666666663</c:v>
                </c:pt>
                <c:pt idx="131">
                  <c:v>23.252251612903223</c:v>
                </c:pt>
                <c:pt idx="132">
                  <c:v>24.419246666666663</c:v>
                </c:pt>
                <c:pt idx="133">
                  <c:v>40.744964516129031</c:v>
                </c:pt>
                <c:pt idx="134">
                  <c:v>54.319348387096767</c:v>
                </c:pt>
                <c:pt idx="135">
                  <c:v>51.774316666666671</c:v>
                </c:pt>
                <c:pt idx="136">
                  <c:v>33.904578225806453</c:v>
                </c:pt>
                <c:pt idx="137">
                  <c:v>37.578962499999996</c:v>
                </c:pt>
                <c:pt idx="138">
                  <c:v>38.514738709677417</c:v>
                </c:pt>
                <c:pt idx="139">
                  <c:v>36.065146774193543</c:v>
                </c:pt>
                <c:pt idx="140">
                  <c:v>33.469349999999999</c:v>
                </c:pt>
                <c:pt idx="141">
                  <c:v>29.045522580645162</c:v>
                </c:pt>
                <c:pt idx="142">
                  <c:v>27.801816666666667</c:v>
                </c:pt>
                <c:pt idx="143">
                  <c:v>23.887751612903223</c:v>
                </c:pt>
                <c:pt idx="144">
                  <c:v>25.054746666666666</c:v>
                </c:pt>
                <c:pt idx="145">
                  <c:v>41.380464516129031</c:v>
                </c:pt>
                <c:pt idx="146">
                  <c:v>54.954848387096774</c:v>
                </c:pt>
                <c:pt idx="147">
                  <c:v>52.409816666666664</c:v>
                </c:pt>
                <c:pt idx="148">
                  <c:v>34.540078225806454</c:v>
                </c:pt>
                <c:pt idx="149">
                  <c:v>38.214462499999996</c:v>
                </c:pt>
                <c:pt idx="150">
                  <c:v>39.150238709677417</c:v>
                </c:pt>
                <c:pt idx="151">
                  <c:v>36.700646774193544</c:v>
                </c:pt>
                <c:pt idx="152">
                  <c:v>34.104849999999999</c:v>
                </c:pt>
                <c:pt idx="153">
                  <c:v>29.681022580645166</c:v>
                </c:pt>
                <c:pt idx="154">
                  <c:v>28.437316666666668</c:v>
                </c:pt>
                <c:pt idx="155">
                  <c:v>24.523251612903223</c:v>
                </c:pt>
                <c:pt idx="156">
                  <c:v>25.690246666666667</c:v>
                </c:pt>
                <c:pt idx="157">
                  <c:v>42.015964516129031</c:v>
                </c:pt>
                <c:pt idx="158">
                  <c:v>55.590348387096768</c:v>
                </c:pt>
                <c:pt idx="159">
                  <c:v>53.045316666666665</c:v>
                </c:pt>
                <c:pt idx="160">
                  <c:v>35.175578225806454</c:v>
                </c:pt>
                <c:pt idx="161">
                  <c:v>38.849962499999997</c:v>
                </c:pt>
                <c:pt idx="162">
                  <c:v>39.785738709677418</c:v>
                </c:pt>
                <c:pt idx="163">
                  <c:v>37.314646774193548</c:v>
                </c:pt>
                <c:pt idx="164">
                  <c:v>34.718849999999996</c:v>
                </c:pt>
                <c:pt idx="165">
                  <c:v>30.295022580645163</c:v>
                </c:pt>
                <c:pt idx="166">
                  <c:v>29.051316666666665</c:v>
                </c:pt>
                <c:pt idx="167">
                  <c:v>25.137251612903221</c:v>
                </c:pt>
                <c:pt idx="168">
                  <c:v>26.304246666666664</c:v>
                </c:pt>
                <c:pt idx="169">
                  <c:v>42.629964516129036</c:v>
                </c:pt>
                <c:pt idx="170">
                  <c:v>56.204348387096772</c:v>
                </c:pt>
                <c:pt idx="171">
                  <c:v>53.659316666666669</c:v>
                </c:pt>
                <c:pt idx="172">
                  <c:v>35.789578225806451</c:v>
                </c:pt>
                <c:pt idx="173">
                  <c:v>39.463962499999994</c:v>
                </c:pt>
                <c:pt idx="174">
                  <c:v>40.399738709677415</c:v>
                </c:pt>
                <c:pt idx="175">
                  <c:v>37.928646774193545</c:v>
                </c:pt>
                <c:pt idx="176">
                  <c:v>35.332849999999993</c:v>
                </c:pt>
                <c:pt idx="177">
                  <c:v>30.909022580645164</c:v>
                </c:pt>
                <c:pt idx="178">
                  <c:v>29.665316666666666</c:v>
                </c:pt>
                <c:pt idx="179">
                  <c:v>25.751251612903221</c:v>
                </c:pt>
                <c:pt idx="180">
                  <c:v>26.918246666666665</c:v>
                </c:pt>
                <c:pt idx="181">
                  <c:v>43.243964516129033</c:v>
                </c:pt>
                <c:pt idx="182">
                  <c:v>56.818348387096776</c:v>
                </c:pt>
                <c:pt idx="183">
                  <c:v>54.273316666666666</c:v>
                </c:pt>
                <c:pt idx="184">
                  <c:v>36.403578225806449</c:v>
                </c:pt>
                <c:pt idx="185">
                  <c:v>40.077962499999998</c:v>
                </c:pt>
                <c:pt idx="186">
                  <c:v>41.013738709677419</c:v>
                </c:pt>
                <c:pt idx="187">
                  <c:v>38.542646774193543</c:v>
                </c:pt>
                <c:pt idx="188">
                  <c:v>35.946849999999998</c:v>
                </c:pt>
                <c:pt idx="189">
                  <c:v>31.523022580645161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C-42BF-A338-3A709760150E}"/>
            </c:ext>
          </c:extLst>
        </c:ser>
        <c:ser>
          <c:idx val="1"/>
          <c:order val="1"/>
          <c:tx>
            <c:v>NP15 Curve Shifted 1 Std. Dev.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[1]Details!$BR$5:$BR$194</c:f>
              <c:numCache>
                <c:formatCode>General</c:formatCode>
                <c:ptCount val="190"/>
                <c:pt idx="0">
                  <c:v>19.547343462848279</c:v>
                </c:pt>
                <c:pt idx="1">
                  <c:v>29.341519187575418</c:v>
                </c:pt>
                <c:pt idx="2">
                  <c:v>42.229699853197651</c:v>
                </c:pt>
                <c:pt idx="3">
                  <c:v>40.605611149915262</c:v>
                </c:pt>
                <c:pt idx="4">
                  <c:v>29.730017072053879</c:v>
                </c:pt>
                <c:pt idx="5">
                  <c:v>33.749245880278544</c:v>
                </c:pt>
                <c:pt idx="6">
                  <c:v>34.873709393944047</c:v>
                </c:pt>
                <c:pt idx="7">
                  <c:v>33.046678999877003</c:v>
                </c:pt>
                <c:pt idx="8">
                  <c:v>28.506472706223349</c:v>
                </c:pt>
                <c:pt idx="9">
                  <c:v>23.813660334571935</c:v>
                </c:pt>
                <c:pt idx="10">
                  <c:v>22.519492969828516</c:v>
                </c:pt>
                <c:pt idx="11">
                  <c:v>18.025583323100051</c:v>
                </c:pt>
                <c:pt idx="12">
                  <c:v>19.534658910830064</c:v>
                </c:pt>
                <c:pt idx="13">
                  <c:v>33.784057522956033</c:v>
                </c:pt>
                <c:pt idx="14">
                  <c:v>50.369645069172073</c:v>
                </c:pt>
                <c:pt idx="15">
                  <c:v>47.561382956944783</c:v>
                </c:pt>
                <c:pt idx="16">
                  <c:v>31.560434670701234</c:v>
                </c:pt>
                <c:pt idx="17">
                  <c:v>36.233149018260733</c:v>
                </c:pt>
                <c:pt idx="18">
                  <c:v>35.486005028395283</c:v>
                </c:pt>
                <c:pt idx="19">
                  <c:v>33.000285796779515</c:v>
                </c:pt>
                <c:pt idx="20">
                  <c:v>30.073863139014136</c:v>
                </c:pt>
                <c:pt idx="21">
                  <c:v>24.96858560895879</c:v>
                </c:pt>
                <c:pt idx="22">
                  <c:v>23.584474066349895</c:v>
                </c:pt>
                <c:pt idx="23">
                  <c:v>19.022628748454213</c:v>
                </c:pt>
                <c:pt idx="24">
                  <c:v>20.47086048652362</c:v>
                </c:pt>
                <c:pt idx="25">
                  <c:v>35.446653275652054</c:v>
                </c:pt>
                <c:pt idx="26">
                  <c:v>51.784158278171191</c:v>
                </c:pt>
                <c:pt idx="27">
                  <c:v>48.886519460420374</c:v>
                </c:pt>
                <c:pt idx="28">
                  <c:v>32.124764910008793</c:v>
                </c:pt>
                <c:pt idx="29">
                  <c:v>36.648797267166721</c:v>
                </c:pt>
                <c:pt idx="30">
                  <c:v>37.883299865893747</c:v>
                </c:pt>
                <c:pt idx="31">
                  <c:v>35.249307489843318</c:v>
                </c:pt>
                <c:pt idx="32">
                  <c:v>32.188017151280526</c:v>
                </c:pt>
                <c:pt idx="33">
                  <c:v>26.87769276318042</c:v>
                </c:pt>
                <c:pt idx="34">
                  <c:v>25.427304526638569</c:v>
                </c:pt>
                <c:pt idx="35">
                  <c:v>20.69458648421562</c:v>
                </c:pt>
                <c:pt idx="36">
                  <c:v>22.179507404685456</c:v>
                </c:pt>
                <c:pt idx="37">
                  <c:v>38.544392273944673</c:v>
                </c:pt>
                <c:pt idx="38">
                  <c:v>55.385892036463453</c:v>
                </c:pt>
                <c:pt idx="39">
                  <c:v>52.36885660046363</c:v>
                </c:pt>
                <c:pt idx="40">
                  <c:v>34.148446605390838</c:v>
                </c:pt>
                <c:pt idx="41">
                  <c:v>38.792527687692107</c:v>
                </c:pt>
                <c:pt idx="42">
                  <c:v>40.045405920929284</c:v>
                </c:pt>
                <c:pt idx="43">
                  <c:v>37.291582699947767</c:v>
                </c:pt>
                <c:pt idx="44">
                  <c:v>34.126748523713083</c:v>
                </c:pt>
                <c:pt idx="45">
                  <c:v>28.653746996996411</c:v>
                </c:pt>
                <c:pt idx="46">
                  <c:v>27.152602374762463</c:v>
                </c:pt>
                <c:pt idx="47">
                  <c:v>22.281910800200496</c:v>
                </c:pt>
                <c:pt idx="48">
                  <c:v>23.799520871263049</c:v>
                </c:pt>
                <c:pt idx="49">
                  <c:v>41.52430683039389</c:v>
                </c:pt>
                <c:pt idx="50">
                  <c:v>58.791030857164884</c:v>
                </c:pt>
                <c:pt idx="51">
                  <c:v>55.678805794221326</c:v>
                </c:pt>
                <c:pt idx="52">
                  <c:v>36.042332303611801</c:v>
                </c:pt>
                <c:pt idx="53">
                  <c:v>40.790827710284418</c:v>
                </c:pt>
                <c:pt idx="54">
                  <c:v>42.062308554094649</c:v>
                </c:pt>
                <c:pt idx="55">
                  <c:v>39.570331107613406</c:v>
                </c:pt>
                <c:pt idx="56">
                  <c:v>36.319930162796837</c:v>
                </c:pt>
                <c:pt idx="57">
                  <c:v>30.70976535858081</c:v>
                </c:pt>
                <c:pt idx="58">
                  <c:v>29.167122515526376</c:v>
                </c:pt>
                <c:pt idx="59">
                  <c:v>24.179129728801257</c:v>
                </c:pt>
                <c:pt idx="60">
                  <c:v>25.726743933495548</c:v>
                </c:pt>
                <c:pt idx="61">
                  <c:v>44.57856095289668</c:v>
                </c:pt>
                <c:pt idx="62">
                  <c:v>62.217633699310532</c:v>
                </c:pt>
                <c:pt idx="63">
                  <c:v>59.025008298463845</c:v>
                </c:pt>
                <c:pt idx="64">
                  <c:v>38.215540978574708</c:v>
                </c:pt>
                <c:pt idx="65">
                  <c:v>43.057614173592285</c:v>
                </c:pt>
                <c:pt idx="66">
                  <c:v>44.347565849956261</c:v>
                </c:pt>
                <c:pt idx="67">
                  <c:v>41.691612304003982</c:v>
                </c:pt>
                <c:pt idx="68">
                  <c:v>38.367243065779213</c:v>
                </c:pt>
                <c:pt idx="69">
                  <c:v>32.637396105489472</c:v>
                </c:pt>
                <c:pt idx="70">
                  <c:v>31.058870159539335</c:v>
                </c:pt>
                <c:pt idx="71">
                  <c:v>25.967948635165207</c:v>
                </c:pt>
                <c:pt idx="72">
                  <c:v>27.542437263713072</c:v>
                </c:pt>
                <c:pt idx="73">
                  <c:v>47.355083485755578</c:v>
                </c:pt>
                <c:pt idx="74">
                  <c:v>65.324744707138564</c:v>
                </c:pt>
                <c:pt idx="75">
                  <c:v>62.06176514382777</c:v>
                </c:pt>
                <c:pt idx="76">
                  <c:v>40.251297909150196</c:v>
                </c:pt>
                <c:pt idx="77">
                  <c:v>45.177292307063141</c:v>
                </c:pt>
                <c:pt idx="78">
                  <c:v>46.48440914849521</c:v>
                </c:pt>
                <c:pt idx="79">
                  <c:v>43.395865824441948</c:v>
                </c:pt>
                <c:pt idx="80">
                  <c:v>40.005408076326802</c:v>
                </c:pt>
                <c:pt idx="81">
                  <c:v>34.168259510224267</c:v>
                </c:pt>
                <c:pt idx="82">
                  <c:v>32.557449300343649</c:v>
                </c:pt>
                <c:pt idx="83">
                  <c:v>27.373848409815537</c:v>
                </c:pt>
                <c:pt idx="84">
                  <c:v>28.972325624647262</c:v>
                </c:pt>
                <c:pt idx="85">
                  <c:v>49.883305975225724</c:v>
                </c:pt>
                <c:pt idx="86">
                  <c:v>68.151589086994434</c:v>
                </c:pt>
                <c:pt idx="87">
                  <c:v>64.825616705570468</c:v>
                </c:pt>
                <c:pt idx="88">
                  <c:v>41.879381536762061</c:v>
                </c:pt>
                <c:pt idx="89">
                  <c:v>46.881315181510871</c:v>
                </c:pt>
                <c:pt idx="90">
                  <c:v>48.204017178606314</c:v>
                </c:pt>
                <c:pt idx="91">
                  <c:v>45.060360759392601</c:v>
                </c:pt>
                <c:pt idx="92">
                  <c:v>41.610428476759886</c:v>
                </c:pt>
                <c:pt idx="93">
                  <c:v>35.676228191222485</c:v>
                </c:pt>
                <c:pt idx="94">
                  <c:v>34.036410332782424</c:v>
                </c:pt>
                <c:pt idx="95">
                  <c:v>28.768770215797886</c:v>
                </c:pt>
                <c:pt idx="96">
                  <c:v>30.389329131252293</c:v>
                </c:pt>
                <c:pt idx="97">
                  <c:v>52.315110237307437</c:v>
                </c:pt>
                <c:pt idx="98">
                  <c:v>70.856088895201438</c:v>
                </c:pt>
                <c:pt idx="99">
                  <c:v>67.473103535893856</c:v>
                </c:pt>
                <c:pt idx="100">
                  <c:v>43.478363228449872</c:v>
                </c:pt>
                <c:pt idx="101">
                  <c:v>48.550069544108261</c:v>
                </c:pt>
                <c:pt idx="102">
                  <c:v>49.887415637315868</c:v>
                </c:pt>
                <c:pt idx="103">
                  <c:v>46.695411890860775</c:v>
                </c:pt>
                <c:pt idx="104">
                  <c:v>43.191191136528879</c:v>
                </c:pt>
                <c:pt idx="105">
                  <c:v>37.168075257831134</c:v>
                </c:pt>
                <c:pt idx="106">
                  <c:v>35.501806442632208</c:v>
                </c:pt>
                <c:pt idx="107">
                  <c:v>30.15702580384044</c:v>
                </c:pt>
                <c:pt idx="108">
                  <c:v>31.798067522983544</c:v>
                </c:pt>
                <c:pt idx="109">
                  <c:v>54.183177416107064</c:v>
                </c:pt>
                <c:pt idx="110">
                  <c:v>72.975217722728019</c:v>
                </c:pt>
                <c:pt idx="111">
                  <c:v>69.539431136498379</c:v>
                </c:pt>
                <c:pt idx="112">
                  <c:v>45.055649032717817</c:v>
                </c:pt>
                <c:pt idx="113">
                  <c:v>50.192019984440115</c:v>
                </c:pt>
                <c:pt idx="114">
                  <c:v>51.543157243493823</c:v>
                </c:pt>
                <c:pt idx="115">
                  <c:v>48.273481723648274</c:v>
                </c:pt>
                <c:pt idx="116">
                  <c:v>44.719527607046686</c:v>
                </c:pt>
                <c:pt idx="117">
                  <c:v>38.614749165662602</c:v>
                </c:pt>
                <c:pt idx="118">
                  <c:v>36.924251852668917</c:v>
                </c:pt>
                <c:pt idx="119">
                  <c:v>31.508516050502429</c:v>
                </c:pt>
                <c:pt idx="120">
                  <c:v>33.168508453249366</c:v>
                </c:pt>
                <c:pt idx="121">
                  <c:v>55.993451051048766</c:v>
                </c:pt>
                <c:pt idx="122">
                  <c:v>75.017279315968565</c:v>
                </c:pt>
                <c:pt idx="123">
                  <c:v>71.533053218726934</c:v>
                </c:pt>
                <c:pt idx="124">
                  <c:v>46.582002011210463</c:v>
                </c:pt>
                <c:pt idx="125">
                  <c:v>51.778238285870991</c:v>
                </c:pt>
                <c:pt idx="126">
                  <c:v>53.142275648458018</c:v>
                </c:pt>
                <c:pt idx="127">
                  <c:v>49.749741011955628</c:v>
                </c:pt>
                <c:pt idx="128">
                  <c:v>46.149746991372041</c:v>
                </c:pt>
                <c:pt idx="129">
                  <c:v>39.969262241413162</c:v>
                </c:pt>
                <c:pt idx="130">
                  <c:v>38.256307162609211</c:v>
                </c:pt>
                <c:pt idx="131">
                  <c:v>32.774706487388457</c:v>
                </c:pt>
                <c:pt idx="132">
                  <c:v>34.452294081301559</c:v>
                </c:pt>
                <c:pt idx="133">
                  <c:v>57.539898743066878</c:v>
                </c:pt>
                <c:pt idx="134">
                  <c:v>76.779116196689074</c:v>
                </c:pt>
                <c:pt idx="135">
                  <c:v>73.249850157848712</c:v>
                </c:pt>
                <c:pt idx="136">
                  <c:v>48.010794814116466</c:v>
                </c:pt>
                <c:pt idx="137">
                  <c:v>53.262776943347504</c:v>
                </c:pt>
                <c:pt idx="138">
                  <c:v>54.638878614066336</c:v>
                </c:pt>
                <c:pt idx="139">
                  <c:v>51.205634884211428</c:v>
                </c:pt>
                <c:pt idx="140">
                  <c:v>47.562878895354558</c:v>
                </c:pt>
                <c:pt idx="141">
                  <c:v>41.311958766133927</c:v>
                </c:pt>
                <c:pt idx="142">
                  <c:v>39.578152081857247</c:v>
                </c:pt>
                <c:pt idx="143">
                  <c:v>34.035215511638029</c:v>
                </c:pt>
                <c:pt idx="144">
                  <c:v>35.729261373528395</c:v>
                </c:pt>
                <c:pt idx="145">
                  <c:v>59.061938615423493</c:v>
                </c:pt>
                <c:pt idx="146">
                  <c:v>78.502253868498173</c:v>
                </c:pt>
                <c:pt idx="147">
                  <c:v>74.931127193905169</c:v>
                </c:pt>
                <c:pt idx="148">
                  <c:v>49.423343148354121</c:v>
                </c:pt>
                <c:pt idx="149">
                  <c:v>54.727469480576005</c:v>
                </c:pt>
                <c:pt idx="150">
                  <c:v>56.114937283952798</c:v>
                </c:pt>
                <c:pt idx="151">
                  <c:v>52.645164645677852</c:v>
                </c:pt>
                <c:pt idx="152">
                  <c:v>48.962420593866668</c:v>
                </c:pt>
                <c:pt idx="153">
                  <c:v>42.645548951716961</c:v>
                </c:pt>
                <c:pt idx="154">
                  <c:v>40.892245022635628</c:v>
                </c:pt>
                <c:pt idx="155">
                  <c:v>35.291833246529571</c:v>
                </c:pt>
                <c:pt idx="156">
                  <c:v>37.001347439650587</c:v>
                </c:pt>
                <c:pt idx="157">
                  <c:v>60.563993695892393</c:v>
                </c:pt>
                <c:pt idx="158">
                  <c:v>80.193113189099378</c:v>
                </c:pt>
                <c:pt idx="159">
                  <c:v>76.582821441421288</c:v>
                </c:pt>
                <c:pt idx="160">
                  <c:v>50.822846247525938</c:v>
                </c:pt>
                <c:pt idx="161">
                  <c:v>56.175997876974236</c:v>
                </c:pt>
                <c:pt idx="162">
                  <c:v>57.574208299398641</c:v>
                </c:pt>
                <c:pt idx="163">
                  <c:v>54.036289111441448</c:v>
                </c:pt>
                <c:pt idx="164">
                  <c:v>50.316211426862708</c:v>
                </c:pt>
                <c:pt idx="165">
                  <c:v>43.937718998425687</c:v>
                </c:pt>
                <c:pt idx="166">
                  <c:v>42.166200477372605</c:v>
                </c:pt>
                <c:pt idx="167">
                  <c:v>36.512051231825701</c:v>
                </c:pt>
                <c:pt idx="168">
                  <c:v>38.236030977190886</c:v>
                </c:pt>
                <c:pt idx="169">
                  <c:v>62.013813030171832</c:v>
                </c:pt>
                <c:pt idx="170">
                  <c:v>81.819631440001814</c:v>
                </c:pt>
                <c:pt idx="171">
                  <c:v>78.172760002435069</c:v>
                </c:pt>
                <c:pt idx="172">
                  <c:v>52.176790262021804</c:v>
                </c:pt>
                <c:pt idx="173">
                  <c:v>57.57585810118978</c:v>
                </c:pt>
                <c:pt idx="174">
                  <c:v>58.984153730588787</c:v>
                </c:pt>
                <c:pt idx="175">
                  <c:v>55.412650310905271</c:v>
                </c:pt>
                <c:pt idx="176">
                  <c:v>51.657545995260293</c:v>
                </c:pt>
                <c:pt idx="177">
                  <c:v>45.221195315457734</c:v>
                </c:pt>
                <c:pt idx="178">
                  <c:v>43.432585445394423</c:v>
                </c:pt>
                <c:pt idx="179">
                  <c:v>37.727953434034546</c:v>
                </c:pt>
                <c:pt idx="180">
                  <c:v>39.465541218170351</c:v>
                </c:pt>
                <c:pt idx="181">
                  <c:v>63.445585611498544</c:v>
                </c:pt>
                <c:pt idx="182">
                  <c:v>83.417587172715713</c:v>
                </c:pt>
                <c:pt idx="183">
                  <c:v>79.736385185331841</c:v>
                </c:pt>
                <c:pt idx="184">
                  <c:v>53.518514813580595</c:v>
                </c:pt>
                <c:pt idx="185">
                  <c:v>58.960801811007123</c:v>
                </c:pt>
                <c:pt idx="186">
                  <c:v>60.378618196117266</c:v>
                </c:pt>
                <c:pt idx="187">
                  <c:v>56.775543829219117</c:v>
                </c:pt>
                <c:pt idx="188">
                  <c:v>52.987504329426912</c:v>
                </c:pt>
                <c:pt idx="189">
                  <c:v>46.496718586953065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C-42BF-A338-3A709760150E}"/>
            </c:ext>
          </c:extLst>
        </c:ser>
        <c:ser>
          <c:idx val="2"/>
          <c:order val="2"/>
          <c:tx>
            <c:v>NP15 Curve Shifted 2 Std. Dev.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[1]Details!$BN$5:$BN$194</c:f>
              <c:numCache>
                <c:formatCode>General</c:formatCode>
                <c:ptCount val="190"/>
                <c:pt idx="0">
                  <c:v>36312</c:v>
                </c:pt>
                <c:pt idx="1">
                  <c:v>36342</c:v>
                </c:pt>
                <c:pt idx="2">
                  <c:v>36373</c:v>
                </c:pt>
                <c:pt idx="3">
                  <c:v>36404</c:v>
                </c:pt>
                <c:pt idx="4">
                  <c:v>36434</c:v>
                </c:pt>
                <c:pt idx="5">
                  <c:v>36465</c:v>
                </c:pt>
                <c:pt idx="6">
                  <c:v>36495</c:v>
                </c:pt>
                <c:pt idx="7">
                  <c:v>36526</c:v>
                </c:pt>
                <c:pt idx="8">
                  <c:v>36557</c:v>
                </c:pt>
                <c:pt idx="9">
                  <c:v>36586</c:v>
                </c:pt>
                <c:pt idx="10">
                  <c:v>36617</c:v>
                </c:pt>
                <c:pt idx="11">
                  <c:v>36647</c:v>
                </c:pt>
                <c:pt idx="12">
                  <c:v>36678</c:v>
                </c:pt>
                <c:pt idx="13">
                  <c:v>36708</c:v>
                </c:pt>
                <c:pt idx="14">
                  <c:v>36739</c:v>
                </c:pt>
                <c:pt idx="15">
                  <c:v>36770</c:v>
                </c:pt>
                <c:pt idx="16">
                  <c:v>36800</c:v>
                </c:pt>
                <c:pt idx="17">
                  <c:v>36831</c:v>
                </c:pt>
                <c:pt idx="18">
                  <c:v>36861</c:v>
                </c:pt>
                <c:pt idx="19">
                  <c:v>36892</c:v>
                </c:pt>
                <c:pt idx="20">
                  <c:v>36923</c:v>
                </c:pt>
                <c:pt idx="21">
                  <c:v>36951</c:v>
                </c:pt>
                <c:pt idx="22">
                  <c:v>36982</c:v>
                </c:pt>
                <c:pt idx="23">
                  <c:v>37012</c:v>
                </c:pt>
                <c:pt idx="24">
                  <c:v>37043</c:v>
                </c:pt>
                <c:pt idx="25">
                  <c:v>37073</c:v>
                </c:pt>
                <c:pt idx="26">
                  <c:v>37104</c:v>
                </c:pt>
                <c:pt idx="27">
                  <c:v>37135</c:v>
                </c:pt>
                <c:pt idx="28">
                  <c:v>37165</c:v>
                </c:pt>
                <c:pt idx="29">
                  <c:v>37196</c:v>
                </c:pt>
                <c:pt idx="30">
                  <c:v>37226</c:v>
                </c:pt>
                <c:pt idx="31">
                  <c:v>37257</c:v>
                </c:pt>
                <c:pt idx="32">
                  <c:v>37288</c:v>
                </c:pt>
                <c:pt idx="33">
                  <c:v>37316</c:v>
                </c:pt>
                <c:pt idx="34">
                  <c:v>37347</c:v>
                </c:pt>
                <c:pt idx="35">
                  <c:v>37377</c:v>
                </c:pt>
                <c:pt idx="36">
                  <c:v>37408</c:v>
                </c:pt>
                <c:pt idx="37">
                  <c:v>37438</c:v>
                </c:pt>
                <c:pt idx="38">
                  <c:v>37469</c:v>
                </c:pt>
                <c:pt idx="39">
                  <c:v>37500</c:v>
                </c:pt>
                <c:pt idx="40">
                  <c:v>37530</c:v>
                </c:pt>
                <c:pt idx="41">
                  <c:v>37561</c:v>
                </c:pt>
                <c:pt idx="42">
                  <c:v>37591</c:v>
                </c:pt>
                <c:pt idx="43">
                  <c:v>37622</c:v>
                </c:pt>
                <c:pt idx="44">
                  <c:v>37653</c:v>
                </c:pt>
                <c:pt idx="45">
                  <c:v>37681</c:v>
                </c:pt>
                <c:pt idx="46">
                  <c:v>37712</c:v>
                </c:pt>
                <c:pt idx="47">
                  <c:v>37742</c:v>
                </c:pt>
                <c:pt idx="48">
                  <c:v>37773</c:v>
                </c:pt>
                <c:pt idx="49">
                  <c:v>37803</c:v>
                </c:pt>
                <c:pt idx="50">
                  <c:v>37834</c:v>
                </c:pt>
                <c:pt idx="51">
                  <c:v>37865</c:v>
                </c:pt>
                <c:pt idx="52">
                  <c:v>37895</c:v>
                </c:pt>
                <c:pt idx="53">
                  <c:v>37926</c:v>
                </c:pt>
                <c:pt idx="54">
                  <c:v>37956</c:v>
                </c:pt>
                <c:pt idx="55">
                  <c:v>37987</c:v>
                </c:pt>
                <c:pt idx="56">
                  <c:v>38018</c:v>
                </c:pt>
                <c:pt idx="57">
                  <c:v>38047</c:v>
                </c:pt>
                <c:pt idx="58">
                  <c:v>38078</c:v>
                </c:pt>
                <c:pt idx="59">
                  <c:v>38108</c:v>
                </c:pt>
                <c:pt idx="60">
                  <c:v>38139</c:v>
                </c:pt>
                <c:pt idx="61">
                  <c:v>38169</c:v>
                </c:pt>
                <c:pt idx="62">
                  <c:v>38200</c:v>
                </c:pt>
                <c:pt idx="63">
                  <c:v>38231</c:v>
                </c:pt>
                <c:pt idx="64">
                  <c:v>38261</c:v>
                </c:pt>
                <c:pt idx="65">
                  <c:v>38292</c:v>
                </c:pt>
                <c:pt idx="66">
                  <c:v>38322</c:v>
                </c:pt>
                <c:pt idx="67">
                  <c:v>38353</c:v>
                </c:pt>
                <c:pt idx="68">
                  <c:v>38384</c:v>
                </c:pt>
                <c:pt idx="69">
                  <c:v>38412</c:v>
                </c:pt>
                <c:pt idx="70">
                  <c:v>38443</c:v>
                </c:pt>
                <c:pt idx="71">
                  <c:v>38473</c:v>
                </c:pt>
                <c:pt idx="72">
                  <c:v>38504</c:v>
                </c:pt>
                <c:pt idx="73">
                  <c:v>38534</c:v>
                </c:pt>
                <c:pt idx="74">
                  <c:v>38565</c:v>
                </c:pt>
                <c:pt idx="75">
                  <c:v>38596</c:v>
                </c:pt>
                <c:pt idx="76">
                  <c:v>38626</c:v>
                </c:pt>
                <c:pt idx="77">
                  <c:v>38657</c:v>
                </c:pt>
                <c:pt idx="78">
                  <c:v>38687</c:v>
                </c:pt>
                <c:pt idx="79">
                  <c:v>38718</c:v>
                </c:pt>
                <c:pt idx="80">
                  <c:v>38749</c:v>
                </c:pt>
                <c:pt idx="81">
                  <c:v>38777</c:v>
                </c:pt>
                <c:pt idx="82">
                  <c:v>38808</c:v>
                </c:pt>
                <c:pt idx="83">
                  <c:v>38838</c:v>
                </c:pt>
                <c:pt idx="84">
                  <c:v>38869</c:v>
                </c:pt>
                <c:pt idx="85">
                  <c:v>38899</c:v>
                </c:pt>
                <c:pt idx="86">
                  <c:v>38930</c:v>
                </c:pt>
                <c:pt idx="87">
                  <c:v>38961</c:v>
                </c:pt>
                <c:pt idx="88">
                  <c:v>38991</c:v>
                </c:pt>
                <c:pt idx="89">
                  <c:v>39022</c:v>
                </c:pt>
                <c:pt idx="90">
                  <c:v>39052</c:v>
                </c:pt>
                <c:pt idx="91">
                  <c:v>39083</c:v>
                </c:pt>
                <c:pt idx="92">
                  <c:v>39114</c:v>
                </c:pt>
                <c:pt idx="93">
                  <c:v>39142</c:v>
                </c:pt>
                <c:pt idx="94">
                  <c:v>39173</c:v>
                </c:pt>
                <c:pt idx="95">
                  <c:v>39203</c:v>
                </c:pt>
                <c:pt idx="96">
                  <c:v>39234</c:v>
                </c:pt>
                <c:pt idx="97">
                  <c:v>39264</c:v>
                </c:pt>
                <c:pt idx="98">
                  <c:v>39295</c:v>
                </c:pt>
                <c:pt idx="99">
                  <c:v>39326</c:v>
                </c:pt>
                <c:pt idx="100">
                  <c:v>39356</c:v>
                </c:pt>
                <c:pt idx="101">
                  <c:v>39387</c:v>
                </c:pt>
                <c:pt idx="102">
                  <c:v>39417</c:v>
                </c:pt>
                <c:pt idx="103">
                  <c:v>39448</c:v>
                </c:pt>
                <c:pt idx="104">
                  <c:v>39479</c:v>
                </c:pt>
                <c:pt idx="105">
                  <c:v>39508</c:v>
                </c:pt>
                <c:pt idx="106">
                  <c:v>39539</c:v>
                </c:pt>
                <c:pt idx="107">
                  <c:v>39569</c:v>
                </c:pt>
                <c:pt idx="108">
                  <c:v>39600</c:v>
                </c:pt>
                <c:pt idx="109">
                  <c:v>39630</c:v>
                </c:pt>
                <c:pt idx="110">
                  <c:v>39661</c:v>
                </c:pt>
                <c:pt idx="111">
                  <c:v>39692</c:v>
                </c:pt>
                <c:pt idx="112">
                  <c:v>39722</c:v>
                </c:pt>
                <c:pt idx="113">
                  <c:v>39753</c:v>
                </c:pt>
                <c:pt idx="114">
                  <c:v>39783</c:v>
                </c:pt>
                <c:pt idx="115">
                  <c:v>39814</c:v>
                </c:pt>
                <c:pt idx="116">
                  <c:v>39845</c:v>
                </c:pt>
                <c:pt idx="117">
                  <c:v>39873</c:v>
                </c:pt>
                <c:pt idx="118">
                  <c:v>39904</c:v>
                </c:pt>
                <c:pt idx="119">
                  <c:v>39934</c:v>
                </c:pt>
                <c:pt idx="120">
                  <c:v>39965</c:v>
                </c:pt>
                <c:pt idx="121">
                  <c:v>39995</c:v>
                </c:pt>
                <c:pt idx="122">
                  <c:v>40026</c:v>
                </c:pt>
                <c:pt idx="123">
                  <c:v>40057</c:v>
                </c:pt>
                <c:pt idx="124">
                  <c:v>40087</c:v>
                </c:pt>
                <c:pt idx="125">
                  <c:v>40118</c:v>
                </c:pt>
                <c:pt idx="126">
                  <c:v>40148</c:v>
                </c:pt>
                <c:pt idx="127">
                  <c:v>40179</c:v>
                </c:pt>
                <c:pt idx="128">
                  <c:v>40210</c:v>
                </c:pt>
                <c:pt idx="129">
                  <c:v>40238</c:v>
                </c:pt>
                <c:pt idx="130">
                  <c:v>40269</c:v>
                </c:pt>
                <c:pt idx="131">
                  <c:v>40299</c:v>
                </c:pt>
                <c:pt idx="132">
                  <c:v>40330</c:v>
                </c:pt>
                <c:pt idx="133">
                  <c:v>40360</c:v>
                </c:pt>
                <c:pt idx="134">
                  <c:v>40391</c:v>
                </c:pt>
                <c:pt idx="135">
                  <c:v>40422</c:v>
                </c:pt>
                <c:pt idx="136">
                  <c:v>40452</c:v>
                </c:pt>
                <c:pt idx="137">
                  <c:v>40483</c:v>
                </c:pt>
                <c:pt idx="138">
                  <c:v>40513</c:v>
                </c:pt>
                <c:pt idx="139">
                  <c:v>40544</c:v>
                </c:pt>
                <c:pt idx="140">
                  <c:v>40575</c:v>
                </c:pt>
                <c:pt idx="141">
                  <c:v>40603</c:v>
                </c:pt>
                <c:pt idx="142">
                  <c:v>40634</c:v>
                </c:pt>
                <c:pt idx="143">
                  <c:v>40664</c:v>
                </c:pt>
                <c:pt idx="144">
                  <c:v>40695</c:v>
                </c:pt>
                <c:pt idx="145">
                  <c:v>40725</c:v>
                </c:pt>
                <c:pt idx="146">
                  <c:v>40756</c:v>
                </c:pt>
                <c:pt idx="147">
                  <c:v>40787</c:v>
                </c:pt>
                <c:pt idx="148">
                  <c:v>40817</c:v>
                </c:pt>
                <c:pt idx="149">
                  <c:v>40848</c:v>
                </c:pt>
                <c:pt idx="150">
                  <c:v>40878</c:v>
                </c:pt>
                <c:pt idx="151">
                  <c:v>40909</c:v>
                </c:pt>
                <c:pt idx="152">
                  <c:v>40940</c:v>
                </c:pt>
                <c:pt idx="153">
                  <c:v>40969</c:v>
                </c:pt>
                <c:pt idx="154">
                  <c:v>41000</c:v>
                </c:pt>
                <c:pt idx="155">
                  <c:v>41030</c:v>
                </c:pt>
                <c:pt idx="156">
                  <c:v>41061</c:v>
                </c:pt>
                <c:pt idx="157">
                  <c:v>41091</c:v>
                </c:pt>
                <c:pt idx="158">
                  <c:v>41122</c:v>
                </c:pt>
                <c:pt idx="159">
                  <c:v>41153</c:v>
                </c:pt>
                <c:pt idx="160">
                  <c:v>41183</c:v>
                </c:pt>
                <c:pt idx="161">
                  <c:v>41214</c:v>
                </c:pt>
                <c:pt idx="162">
                  <c:v>41244</c:v>
                </c:pt>
                <c:pt idx="163">
                  <c:v>41275</c:v>
                </c:pt>
                <c:pt idx="164">
                  <c:v>41306</c:v>
                </c:pt>
                <c:pt idx="165">
                  <c:v>41334</c:v>
                </c:pt>
                <c:pt idx="166">
                  <c:v>41365</c:v>
                </c:pt>
                <c:pt idx="167">
                  <c:v>41395</c:v>
                </c:pt>
                <c:pt idx="168">
                  <c:v>41426</c:v>
                </c:pt>
                <c:pt idx="169">
                  <c:v>41456</c:v>
                </c:pt>
                <c:pt idx="170">
                  <c:v>41487</c:v>
                </c:pt>
                <c:pt idx="171">
                  <c:v>41518</c:v>
                </c:pt>
                <c:pt idx="172">
                  <c:v>41548</c:v>
                </c:pt>
                <c:pt idx="173">
                  <c:v>41579</c:v>
                </c:pt>
                <c:pt idx="174">
                  <c:v>41609</c:v>
                </c:pt>
                <c:pt idx="175">
                  <c:v>41640</c:v>
                </c:pt>
                <c:pt idx="176">
                  <c:v>41671</c:v>
                </c:pt>
                <c:pt idx="177">
                  <c:v>41699</c:v>
                </c:pt>
                <c:pt idx="178">
                  <c:v>41730</c:v>
                </c:pt>
                <c:pt idx="179">
                  <c:v>41760</c:v>
                </c:pt>
                <c:pt idx="180">
                  <c:v>41791</c:v>
                </c:pt>
                <c:pt idx="181">
                  <c:v>41821</c:v>
                </c:pt>
                <c:pt idx="182">
                  <c:v>41852</c:v>
                </c:pt>
                <c:pt idx="183">
                  <c:v>41883</c:v>
                </c:pt>
                <c:pt idx="184">
                  <c:v>41913</c:v>
                </c:pt>
                <c:pt idx="185">
                  <c:v>41944</c:v>
                </c:pt>
                <c:pt idx="186">
                  <c:v>41974</c:v>
                </c:pt>
                <c:pt idx="187">
                  <c:v>42005</c:v>
                </c:pt>
                <c:pt idx="188">
                  <c:v>42036</c:v>
                </c:pt>
                <c:pt idx="189">
                  <c:v>42064</c:v>
                </c:pt>
              </c:numCache>
            </c:numRef>
          </c:cat>
          <c:val>
            <c:numRef>
              <c:f>[1]Details!$BU$5:$BU$194</c:f>
              <c:numCache>
                <c:formatCode>General</c:formatCode>
                <c:ptCount val="190"/>
                <c:pt idx="0">
                  <c:v>21.615605363655781</c:v>
                </c:pt>
                <c:pt idx="1">
                  <c:v>34.144112033200102</c:v>
                </c:pt>
                <c:pt idx="2">
                  <c:v>50.975395032540348</c:v>
                </c:pt>
                <c:pt idx="3">
                  <c:v>46.376031376482644</c:v>
                </c:pt>
                <c:pt idx="4">
                  <c:v>34.383292538608998</c:v>
                </c:pt>
                <c:pt idx="5">
                  <c:v>39.294562907347093</c:v>
                </c:pt>
                <c:pt idx="6">
                  <c:v>40.772554025562556</c:v>
                </c:pt>
                <c:pt idx="7">
                  <c:v>38.866090836474015</c:v>
                </c:pt>
                <c:pt idx="8">
                  <c:v>33.707235979380549</c:v>
                </c:pt>
                <c:pt idx="9">
                  <c:v>28.270168520929097</c:v>
                </c:pt>
                <c:pt idx="10">
                  <c:v>26.967173597426793</c:v>
                </c:pt>
                <c:pt idx="11">
                  <c:v>21.75971624840972</c:v>
                </c:pt>
                <c:pt idx="12">
                  <c:v>23.769676610302916</c:v>
                </c:pt>
                <c:pt idx="13">
                  <c:v>41.423632393834112</c:v>
                </c:pt>
                <c:pt idx="14">
                  <c:v>62.20177036182443</c:v>
                </c:pt>
                <c:pt idx="15">
                  <c:v>59.153809483309111</c:v>
                </c:pt>
                <c:pt idx="16">
                  <c:v>39.515952244861317</c:v>
                </c:pt>
                <c:pt idx="17">
                  <c:v>45.67153222404022</c:v>
                </c:pt>
                <c:pt idx="18">
                  <c:v>41.916187888232074</c:v>
                </c:pt>
                <c:pt idx="19">
                  <c:v>39.136703948883778</c:v>
                </c:pt>
                <c:pt idx="20">
                  <c:v>35.820998418307973</c:v>
                </c:pt>
                <c:pt idx="21">
                  <c:v>29.86209353044304</c:v>
                </c:pt>
                <c:pt idx="22">
                  <c:v>28.323561631187449</c:v>
                </c:pt>
                <c:pt idx="23">
                  <c:v>22.934636799629974</c:v>
                </c:pt>
                <c:pt idx="24">
                  <c:v>24.77862323433294</c:v>
                </c:pt>
                <c:pt idx="25">
                  <c:v>43.072602093185999</c:v>
                </c:pt>
                <c:pt idx="26">
                  <c:v>63.157059899037044</c:v>
                </c:pt>
                <c:pt idx="27">
                  <c:v>59.846111924618825</c:v>
                </c:pt>
                <c:pt idx="28">
                  <c:v>39.466470496073434</c:v>
                </c:pt>
                <c:pt idx="29">
                  <c:v>45.186999781875592</c:v>
                </c:pt>
                <c:pt idx="30">
                  <c:v>46.874920059503758</c:v>
                </c:pt>
                <c:pt idx="31">
                  <c:v>43.753386051613333</c:v>
                </c:pt>
                <c:pt idx="32">
                  <c:v>40.091042575684064</c:v>
                </c:pt>
                <c:pt idx="33">
                  <c:v>33.586683955119838</c:v>
                </c:pt>
                <c:pt idx="34">
                  <c:v>31.880363009506514</c:v>
                </c:pt>
                <c:pt idx="35">
                  <c:v>26.029195156940972</c:v>
                </c:pt>
                <c:pt idx="36">
                  <c:v>27.987437501514872</c:v>
                </c:pt>
                <c:pt idx="37">
                  <c:v>48.793318784193019</c:v>
                </c:pt>
                <c:pt idx="38">
                  <c:v>70.327272438150942</c:v>
                </c:pt>
                <c:pt idx="39">
                  <c:v>66.703679804307029</c:v>
                </c:pt>
                <c:pt idx="40">
                  <c:v>43.625433701204798</c:v>
                </c:pt>
                <c:pt idx="41">
                  <c:v>49.709085259387727</c:v>
                </c:pt>
                <c:pt idx="42">
                  <c:v>51.468714581208964</c:v>
                </c:pt>
                <c:pt idx="43">
                  <c:v>48.057926746877357</c:v>
                </c:pt>
                <c:pt idx="44">
                  <c:v>44.108594501583241</c:v>
                </c:pt>
                <c:pt idx="45">
                  <c:v>37.138896999211497</c:v>
                </c:pt>
                <c:pt idx="46">
                  <c:v>35.294354387364841</c:v>
                </c:pt>
                <c:pt idx="47">
                  <c:v>29.042859150643761</c:v>
                </c:pt>
                <c:pt idx="48">
                  <c:v>31.108224173988088</c:v>
                </c:pt>
                <c:pt idx="49">
                  <c:v>54.427301126849088</c:v>
                </c:pt>
                <c:pt idx="50">
                  <c:v>77.26489899813113</c:v>
                </c:pt>
                <c:pt idx="51">
                  <c:v>73.374417433987261</c:v>
                </c:pt>
                <c:pt idx="52">
                  <c:v>47.621385306407099</c:v>
                </c:pt>
                <c:pt idx="53">
                  <c:v>54.039682216003818</c:v>
                </c:pt>
                <c:pt idx="54">
                  <c:v>55.871916619080629</c:v>
                </c:pt>
                <c:pt idx="55">
                  <c:v>52.691008265860468</c:v>
                </c:pt>
                <c:pt idx="56">
                  <c:v>48.488830810333553</c:v>
                </c:pt>
                <c:pt idx="57">
                  <c:v>41.101440037294289</c:v>
                </c:pt>
                <c:pt idx="58">
                  <c:v>39.13671970104128</c:v>
                </c:pt>
                <c:pt idx="59">
                  <c:v>32.523469279933472</c:v>
                </c:pt>
                <c:pt idx="60">
                  <c:v>34.692270012686009</c:v>
                </c:pt>
                <c:pt idx="61">
                  <c:v>60.263802409385107</c:v>
                </c:pt>
                <c:pt idx="62">
                  <c:v>84.310795914871861</c:v>
                </c:pt>
                <c:pt idx="63">
                  <c:v>80.180928757680931</c:v>
                </c:pt>
                <c:pt idx="64">
                  <c:v>52.035285050440478</c:v>
                </c:pt>
                <c:pt idx="65">
                  <c:v>58.770143269835373</c:v>
                </c:pt>
                <c:pt idx="66">
                  <c:v>60.676057780916359</c:v>
                </c:pt>
                <c:pt idx="67">
                  <c:v>57.16491055414329</c:v>
                </c:pt>
                <c:pt idx="68">
                  <c:v>52.731161409561025</c:v>
                </c:pt>
                <c:pt idx="69">
                  <c:v>44.958090084837885</c:v>
                </c:pt>
                <c:pt idx="70">
                  <c:v>42.883397056017579</c:v>
                </c:pt>
                <c:pt idx="71">
                  <c:v>35.934601186108246</c:v>
                </c:pt>
                <c:pt idx="72">
                  <c:v>38.200990173331313</c:v>
                </c:pt>
                <c:pt idx="73">
                  <c:v>65.830775959481471</c:v>
                </c:pt>
                <c:pt idx="74">
                  <c:v>91.010559619610689</c:v>
                </c:pt>
                <c:pt idx="75">
                  <c:v>86.659273530306109</c:v>
                </c:pt>
                <c:pt idx="76">
                  <c:v>56.326132007299123</c:v>
                </c:pt>
                <c:pt idx="77">
                  <c:v>63.359881134151692</c:v>
                </c:pt>
                <c:pt idx="78">
                  <c:v>65.337016641697275</c:v>
                </c:pt>
                <c:pt idx="79">
                  <c:v>61.116739411158733</c:v>
                </c:pt>
                <c:pt idx="80">
                  <c:v>56.464660344854643</c:v>
                </c:pt>
                <c:pt idx="81">
                  <c:v>48.327116686569639</c:v>
                </c:pt>
                <c:pt idx="82">
                  <c:v>46.148012860155681</c:v>
                </c:pt>
                <c:pt idx="83">
                  <c:v>38.881005578311253</c:v>
                </c:pt>
                <c:pt idx="84">
                  <c:v>41.239027575925888</c:v>
                </c:pt>
                <c:pt idx="85">
                  <c:v>71.15381429246726</c:v>
                </c:pt>
                <c:pt idx="86">
                  <c:v>97.409667935207054</c:v>
                </c:pt>
                <c:pt idx="87">
                  <c:v>92.849600197223154</c:v>
                </c:pt>
                <c:pt idx="88">
                  <c:v>60.104457590545522</c:v>
                </c:pt>
                <c:pt idx="89">
                  <c:v>67.422255695364797</c:v>
                </c:pt>
                <c:pt idx="90">
                  <c:v>69.467028544199181</c:v>
                </c:pt>
                <c:pt idx="91">
                  <c:v>65.056626932098666</c:v>
                </c:pt>
                <c:pt idx="92">
                  <c:v>60.197942211552565</c:v>
                </c:pt>
                <c:pt idx="93">
                  <c:v>51.713972564449975</c:v>
                </c:pt>
                <c:pt idx="94">
                  <c:v>49.436289657686899</c:v>
                </c:pt>
                <c:pt idx="95">
                  <c:v>41.866238554149248</c:v>
                </c:pt>
                <c:pt idx="96">
                  <c:v>44.312655308867967</c:v>
                </c:pt>
                <c:pt idx="97">
                  <c:v>76.435179311675597</c:v>
                </c:pt>
                <c:pt idx="98">
                  <c:v>103.72198686072028</c:v>
                </c:pt>
                <c:pt idx="99">
                  <c:v>98.963512979340734</c:v>
                </c:pt>
                <c:pt idx="100">
                  <c:v>63.890575817178757</c:v>
                </c:pt>
                <c:pt idx="101">
                  <c:v>71.481849644737181</c:v>
                </c:pt>
                <c:pt idx="102">
                  <c:v>73.592751248974253</c:v>
                </c:pt>
                <c:pt idx="103">
                  <c:v>69.007855376940128</c:v>
                </c:pt>
                <c:pt idx="104">
                  <c:v>63.951340397751771</c:v>
                </c:pt>
                <c:pt idx="105">
                  <c:v>55.134581426610936</c:v>
                </c:pt>
                <c:pt idx="106">
                  <c:v>52.762668263916886</c:v>
                </c:pt>
                <c:pt idx="107">
                  <c:v>44.90108593826627</c:v>
                </c:pt>
                <c:pt idx="108">
                  <c:v>47.433340367311708</c:v>
                </c:pt>
                <c:pt idx="109">
                  <c:v>80.976368112623419</c:v>
                </c:pt>
                <c:pt idx="110">
                  <c:v>109.25726855013632</c:v>
                </c:pt>
                <c:pt idx="111">
                  <c:v>104.30607049932443</c:v>
                </c:pt>
                <c:pt idx="112">
                  <c:v>67.702049656856971</c:v>
                </c:pt>
                <c:pt idx="113">
                  <c:v>75.558550361412898</c:v>
                </c:pt>
                <c:pt idx="114">
                  <c:v>77.734316119753231</c:v>
                </c:pt>
                <c:pt idx="115">
                  <c:v>72.922822469922096</c:v>
                </c:pt>
                <c:pt idx="116">
                  <c:v>67.676554543258845</c:v>
                </c:pt>
                <c:pt idx="117">
                  <c:v>58.539879007975813</c:v>
                </c:pt>
                <c:pt idx="118">
                  <c:v>56.077650067081379</c:v>
                </c:pt>
                <c:pt idx="119">
                  <c:v>47.935496599897512</c:v>
                </c:pt>
                <c:pt idx="120">
                  <c:v>50.550819776175281</c:v>
                </c:pt>
                <c:pt idx="121">
                  <c:v>85.48880061028585</c:v>
                </c:pt>
                <c:pt idx="122">
                  <c:v>114.72951010008204</c:v>
                </c:pt>
                <c:pt idx="123">
                  <c:v>109.59330915786542</c:v>
                </c:pt>
                <c:pt idx="124">
                  <c:v>71.487690345925841</c:v>
                </c:pt>
                <c:pt idx="125">
                  <c:v>79.600850145286614</c:v>
                </c:pt>
                <c:pt idx="126">
                  <c:v>81.83985395741783</c:v>
                </c:pt>
                <c:pt idx="127">
                  <c:v>76.735122832578796</c:v>
                </c:pt>
                <c:pt idx="128">
                  <c:v>71.305205299083582</c:v>
                </c:pt>
                <c:pt idx="129">
                  <c:v>61.858534217623145</c:v>
                </c:pt>
                <c:pt idx="130">
                  <c:v>59.308822433138857</c:v>
                </c:pt>
                <c:pt idx="131">
                  <c:v>50.894531501165879</c:v>
                </c:pt>
                <c:pt idx="132">
                  <c:v>53.590470617587584</c:v>
                </c:pt>
                <c:pt idx="133">
                  <c:v>89.65464866378008</c:v>
                </c:pt>
                <c:pt idx="134">
                  <c:v>119.82702586725851</c:v>
                </c:pt>
                <c:pt idx="135">
                  <c:v>114.51101095763563</c:v>
                </c:pt>
                <c:pt idx="136">
                  <c:v>75.176505248451306</c:v>
                </c:pt>
                <c:pt idx="137">
                  <c:v>83.539244089647411</c:v>
                </c:pt>
                <c:pt idx="138">
                  <c:v>85.839927892075337</c:v>
                </c:pt>
                <c:pt idx="139">
                  <c:v>80.566431115231737</c:v>
                </c:pt>
                <c:pt idx="140">
                  <c:v>74.958405176412796</c:v>
                </c:pt>
                <c:pt idx="141">
                  <c:v>65.210611398175928</c:v>
                </c:pt>
                <c:pt idx="142">
                  <c:v>62.576140271205311</c:v>
                </c:pt>
                <c:pt idx="143">
                  <c:v>53.89732370402367</c:v>
                </c:pt>
                <c:pt idx="144">
                  <c:v>56.672001988050738</c:v>
                </c:pt>
                <c:pt idx="145">
                  <c:v>93.832990430278542</c:v>
                </c:pt>
                <c:pt idx="146">
                  <c:v>124.91319159314793</c:v>
                </c:pt>
                <c:pt idx="147">
                  <c:v>119.42272784326551</c:v>
                </c:pt>
                <c:pt idx="148">
                  <c:v>78.891563196918881</c:v>
                </c:pt>
                <c:pt idx="149">
                  <c:v>87.49790374868499</c:v>
                </c:pt>
                <c:pt idx="150">
                  <c:v>89.859137793049982</c:v>
                </c:pt>
                <c:pt idx="151">
                  <c:v>84.428099980667412</c:v>
                </c:pt>
                <c:pt idx="152">
                  <c:v>78.646319393568405</c:v>
                </c:pt>
                <c:pt idx="153">
                  <c:v>68.604387157086293</c:v>
                </c:pt>
                <c:pt idx="154">
                  <c:v>65.887291293022045</c:v>
                </c:pt>
                <c:pt idx="155">
                  <c:v>56.949941976131804</c:v>
                </c:pt>
                <c:pt idx="156">
                  <c:v>59.801866187156222</c:v>
                </c:pt>
                <c:pt idx="157">
                  <c:v>98.036463006243025</c:v>
                </c:pt>
                <c:pt idx="158">
                  <c:v>130.00565874760318</c:v>
                </c:pt>
                <c:pt idx="159">
                  <c:v>124.34496721962424</c:v>
                </c:pt>
                <c:pt idx="160">
                  <c:v>82.642567113545866</c:v>
                </c:pt>
                <c:pt idx="161">
                  <c:v>91.487780996844478</c:v>
                </c:pt>
                <c:pt idx="162">
                  <c:v>93.908663288384801</c:v>
                </c:pt>
                <c:pt idx="163">
                  <c:v>88.25969214984373</c:v>
                </c:pt>
                <c:pt idx="164">
                  <c:v>82.308800740410092</c:v>
                </c:pt>
                <c:pt idx="165">
                  <c:v>71.980360324924675</c:v>
                </c:pt>
                <c:pt idx="166">
                  <c:v>69.182846979531504</c:v>
                </c:pt>
                <c:pt idx="167">
                  <c:v>59.993545377530502</c:v>
                </c:pt>
                <c:pt idx="168">
                  <c:v>62.920856500395189</c:v>
                </c:pt>
                <c:pt idx="169">
                  <c:v>102.2025692178584</c:v>
                </c:pt>
                <c:pt idx="170">
                  <c:v>135.03911348205185</c:v>
                </c:pt>
                <c:pt idx="171">
                  <c:v>129.21271143026391</c:v>
                </c:pt>
                <c:pt idx="172">
                  <c:v>86.367861954515035</c:v>
                </c:pt>
                <c:pt idx="173">
                  <c:v>95.446324343109012</c:v>
                </c:pt>
                <c:pt idx="174">
                  <c:v>97.92559918544147</c:v>
                </c:pt>
                <c:pt idx="175">
                  <c:v>92.118776112285488</c:v>
                </c:pt>
                <c:pt idx="176">
                  <c:v>86.002596659747908</c:v>
                </c:pt>
                <c:pt idx="177">
                  <c:v>75.393870491932844</c:v>
                </c:pt>
                <c:pt idx="178">
                  <c:v>72.517803513761564</c:v>
                </c:pt>
                <c:pt idx="179">
                  <c:v>63.081928382563895</c:v>
                </c:pt>
                <c:pt idx="180">
                  <c:v>66.083219760957903</c:v>
                </c:pt>
                <c:pt idx="181">
                  <c:v>106.39082697401854</c:v>
                </c:pt>
                <c:pt idx="182">
                  <c:v>140.07739374090016</c:v>
                </c:pt>
                <c:pt idx="183">
                  <c:v>134.08900352806717</c:v>
                </c:pt>
                <c:pt idx="184">
                  <c:v>90.124945496694011</c:v>
                </c:pt>
                <c:pt idx="185">
                  <c:v>99.432220790787625</c:v>
                </c:pt>
                <c:pt idx="186">
                  <c:v>101.96896710462629</c:v>
                </c:pt>
                <c:pt idx="187">
                  <c:v>96.007616124511657</c:v>
                </c:pt>
                <c:pt idx="188">
                  <c:v>89.729600686671318</c:v>
                </c:pt>
                <c:pt idx="189">
                  <c:v>78.846232146273593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7C-42BF-A338-3A7097601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32752"/>
        <c:axId val="1"/>
      </c:lineChart>
      <c:dateAx>
        <c:axId val="2092327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5"/>
        <c:majorTimeUnit val="years"/>
        <c:minorUnit val="1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09232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25" b="1" i="0" u="none" strike="noStrike" baseline="0">
                <a:solidFill>
                  <a:srgbClr val="000000"/>
                </a:solidFill>
                <a:latin typeface="Arial Narrow"/>
              </a:rPr>
              <a:t>Energy Developments Limited</a:t>
            </a:r>
          </a:p>
          <a:p>
            <a:pPr>
              <a:defRPr sz="125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r>
              <a:rPr lang="en-US" sz="100" b="1" i="0" u="none" strike="noStrike" baseline="0">
                <a:solidFill>
                  <a:srgbClr val="000000"/>
                </a:solidFill>
                <a:latin typeface="Arial Narrow"/>
              </a:rPr>
              <a:t>(NP15 Curve, SP15 Curve, and Fixed Price)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SP15 Curve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[1]Details!$AE$14:$AE$194</c:f>
              <c:numCache>
                <c:formatCode>General</c:formatCode>
                <c:ptCount val="181"/>
                <c:pt idx="0">
                  <c:v>19.423949999999998</c:v>
                </c:pt>
                <c:pt idx="1">
                  <c:v>19.144816666666664</c:v>
                </c:pt>
                <c:pt idx="2">
                  <c:v>18.087840322580643</c:v>
                </c:pt>
                <c:pt idx="3">
                  <c:v>22.019263333333331</c:v>
                </c:pt>
                <c:pt idx="4">
                  <c:v>33.711875806451616</c:v>
                </c:pt>
                <c:pt idx="5">
                  <c:v>42.019272580645158</c:v>
                </c:pt>
                <c:pt idx="6">
                  <c:v>35.654608333333336</c:v>
                </c:pt>
                <c:pt idx="7">
                  <c:v>23.363110483870965</c:v>
                </c:pt>
                <c:pt idx="8">
                  <c:v>22.597004166666665</c:v>
                </c:pt>
                <c:pt idx="9">
                  <c:v>24.003246774193549</c:v>
                </c:pt>
                <c:pt idx="10">
                  <c:v>22.541704838709677</c:v>
                </c:pt>
                <c:pt idx="11">
                  <c:v>20.797671428571423</c:v>
                </c:pt>
                <c:pt idx="12">
                  <c:v>20.366949999999996</c:v>
                </c:pt>
                <c:pt idx="13">
                  <c:v>20.087816666666662</c:v>
                </c:pt>
                <c:pt idx="14">
                  <c:v>19.030840322580644</c:v>
                </c:pt>
                <c:pt idx="15">
                  <c:v>22.962263333333329</c:v>
                </c:pt>
                <c:pt idx="16">
                  <c:v>35.395875806451613</c:v>
                </c:pt>
                <c:pt idx="17">
                  <c:v>43.703272580645162</c:v>
                </c:pt>
                <c:pt idx="18">
                  <c:v>37.338608333333333</c:v>
                </c:pt>
                <c:pt idx="19">
                  <c:v>24.306110483870967</c:v>
                </c:pt>
                <c:pt idx="20">
                  <c:v>23.54000416666667</c:v>
                </c:pt>
                <c:pt idx="21">
                  <c:v>24.946246774193547</c:v>
                </c:pt>
                <c:pt idx="22">
                  <c:v>23.398704838709676</c:v>
                </c:pt>
                <c:pt idx="23">
                  <c:v>21.654671428571426</c:v>
                </c:pt>
                <c:pt idx="24">
                  <c:v>21.223949999999999</c:v>
                </c:pt>
                <c:pt idx="25">
                  <c:v>20.944816666666664</c:v>
                </c:pt>
                <c:pt idx="26">
                  <c:v>19.887840322580644</c:v>
                </c:pt>
                <c:pt idx="27">
                  <c:v>23.819263333333332</c:v>
                </c:pt>
                <c:pt idx="28">
                  <c:v>36.993875806451612</c:v>
                </c:pt>
                <c:pt idx="29">
                  <c:v>45.301272580645161</c:v>
                </c:pt>
                <c:pt idx="30">
                  <c:v>38.936608333333332</c:v>
                </c:pt>
                <c:pt idx="31">
                  <c:v>25.163110483870966</c:v>
                </c:pt>
                <c:pt idx="32">
                  <c:v>24.397004166666669</c:v>
                </c:pt>
                <c:pt idx="33">
                  <c:v>25.80324677419355</c:v>
                </c:pt>
                <c:pt idx="34">
                  <c:v>24.255704838709679</c:v>
                </c:pt>
                <c:pt idx="35">
                  <c:v>22.511671428571425</c:v>
                </c:pt>
                <c:pt idx="36">
                  <c:v>22.080949999999998</c:v>
                </c:pt>
                <c:pt idx="37">
                  <c:v>21.801816666666664</c:v>
                </c:pt>
                <c:pt idx="38">
                  <c:v>20.744840322580643</c:v>
                </c:pt>
                <c:pt idx="39">
                  <c:v>24.676263333333331</c:v>
                </c:pt>
                <c:pt idx="40">
                  <c:v>38.591875806451618</c:v>
                </c:pt>
                <c:pt idx="41">
                  <c:v>46.89927258064516</c:v>
                </c:pt>
                <c:pt idx="42">
                  <c:v>40.534608333333338</c:v>
                </c:pt>
                <c:pt idx="43">
                  <c:v>26.020110483870969</c:v>
                </c:pt>
                <c:pt idx="44">
                  <c:v>25.254004166666668</c:v>
                </c:pt>
                <c:pt idx="45">
                  <c:v>26.660246774193549</c:v>
                </c:pt>
                <c:pt idx="46">
                  <c:v>25.397704838709679</c:v>
                </c:pt>
                <c:pt idx="47">
                  <c:v>23.653671428571425</c:v>
                </c:pt>
                <c:pt idx="48">
                  <c:v>23.222949999999997</c:v>
                </c:pt>
                <c:pt idx="49">
                  <c:v>22.943816666666663</c:v>
                </c:pt>
                <c:pt idx="50">
                  <c:v>21.886840322580646</c:v>
                </c:pt>
                <c:pt idx="51">
                  <c:v>25.818263333333331</c:v>
                </c:pt>
                <c:pt idx="52">
                  <c:v>40.303875806451614</c:v>
                </c:pt>
                <c:pt idx="53">
                  <c:v>48.611272580645164</c:v>
                </c:pt>
                <c:pt idx="54">
                  <c:v>42.246608333333327</c:v>
                </c:pt>
                <c:pt idx="55">
                  <c:v>27.162110483870968</c:v>
                </c:pt>
                <c:pt idx="56">
                  <c:v>26.396004166666668</c:v>
                </c:pt>
                <c:pt idx="57">
                  <c:v>27.802246774193549</c:v>
                </c:pt>
                <c:pt idx="58">
                  <c:v>26.439704838709677</c:v>
                </c:pt>
                <c:pt idx="59">
                  <c:v>24.695671428571423</c:v>
                </c:pt>
                <c:pt idx="60">
                  <c:v>24.264949999999995</c:v>
                </c:pt>
                <c:pt idx="61">
                  <c:v>23.985816666666665</c:v>
                </c:pt>
                <c:pt idx="62">
                  <c:v>22.928840322580644</c:v>
                </c:pt>
                <c:pt idx="63">
                  <c:v>26.860263333333332</c:v>
                </c:pt>
                <c:pt idx="64">
                  <c:v>41.801875806451612</c:v>
                </c:pt>
                <c:pt idx="65">
                  <c:v>50.109272580645154</c:v>
                </c:pt>
                <c:pt idx="66">
                  <c:v>43.744608333333332</c:v>
                </c:pt>
                <c:pt idx="67">
                  <c:v>28.204110483870966</c:v>
                </c:pt>
                <c:pt idx="68">
                  <c:v>27.438004166666669</c:v>
                </c:pt>
                <c:pt idx="69">
                  <c:v>28.84424677419355</c:v>
                </c:pt>
                <c:pt idx="70">
                  <c:v>27.196704838709675</c:v>
                </c:pt>
                <c:pt idx="71">
                  <c:v>25.452671428571424</c:v>
                </c:pt>
                <c:pt idx="72">
                  <c:v>25.021949999999997</c:v>
                </c:pt>
                <c:pt idx="73">
                  <c:v>24.742816666666663</c:v>
                </c:pt>
                <c:pt idx="74">
                  <c:v>23.685840322580646</c:v>
                </c:pt>
                <c:pt idx="75">
                  <c:v>27.61726333333333</c:v>
                </c:pt>
                <c:pt idx="76">
                  <c:v>43.12887580645161</c:v>
                </c:pt>
                <c:pt idx="77">
                  <c:v>51.436272580645159</c:v>
                </c:pt>
                <c:pt idx="78">
                  <c:v>45.07160833333333</c:v>
                </c:pt>
                <c:pt idx="79">
                  <c:v>28.961110483870968</c:v>
                </c:pt>
                <c:pt idx="80">
                  <c:v>28.195004166666671</c:v>
                </c:pt>
                <c:pt idx="81">
                  <c:v>29.601246774193548</c:v>
                </c:pt>
                <c:pt idx="82">
                  <c:v>27.910704838709677</c:v>
                </c:pt>
                <c:pt idx="83">
                  <c:v>26.166671428571426</c:v>
                </c:pt>
                <c:pt idx="84">
                  <c:v>25.735949999999999</c:v>
                </c:pt>
                <c:pt idx="85">
                  <c:v>25.456816666666661</c:v>
                </c:pt>
                <c:pt idx="86">
                  <c:v>24.399840322580644</c:v>
                </c:pt>
                <c:pt idx="87">
                  <c:v>28.331263333333332</c:v>
                </c:pt>
                <c:pt idx="88">
                  <c:v>44.355875806451621</c:v>
                </c:pt>
                <c:pt idx="89">
                  <c:v>52.663272580645156</c:v>
                </c:pt>
                <c:pt idx="90">
                  <c:v>46.298608333333334</c:v>
                </c:pt>
                <c:pt idx="91">
                  <c:v>29.675110483870967</c:v>
                </c:pt>
                <c:pt idx="92">
                  <c:v>28.909004166666666</c:v>
                </c:pt>
                <c:pt idx="93">
                  <c:v>30.315246774193547</c:v>
                </c:pt>
                <c:pt idx="94">
                  <c:v>28.624704838709675</c:v>
                </c:pt>
                <c:pt idx="95">
                  <c:v>26.880671428571425</c:v>
                </c:pt>
                <c:pt idx="96">
                  <c:v>26.449950000000001</c:v>
                </c:pt>
                <c:pt idx="97">
                  <c:v>26.170816666666664</c:v>
                </c:pt>
                <c:pt idx="98">
                  <c:v>25.113840322580643</c:v>
                </c:pt>
                <c:pt idx="99">
                  <c:v>29.045263333333331</c:v>
                </c:pt>
                <c:pt idx="100">
                  <c:v>45.18387580645161</c:v>
                </c:pt>
                <c:pt idx="101">
                  <c:v>53.491272580645159</c:v>
                </c:pt>
                <c:pt idx="102">
                  <c:v>47.12660833333333</c:v>
                </c:pt>
                <c:pt idx="103">
                  <c:v>30.389110483870969</c:v>
                </c:pt>
                <c:pt idx="104">
                  <c:v>29.623004166666668</c:v>
                </c:pt>
                <c:pt idx="105">
                  <c:v>31.029246774193549</c:v>
                </c:pt>
                <c:pt idx="106">
                  <c:v>29.317204838709678</c:v>
                </c:pt>
                <c:pt idx="107">
                  <c:v>27.573171428571428</c:v>
                </c:pt>
                <c:pt idx="108">
                  <c:v>27.142449999999997</c:v>
                </c:pt>
                <c:pt idx="109">
                  <c:v>26.86331666666667</c:v>
                </c:pt>
                <c:pt idx="110">
                  <c:v>25.806340322580645</c:v>
                </c:pt>
                <c:pt idx="111">
                  <c:v>29.737763333333334</c:v>
                </c:pt>
                <c:pt idx="112">
                  <c:v>45.99037580645161</c:v>
                </c:pt>
                <c:pt idx="113">
                  <c:v>54.297772580645159</c:v>
                </c:pt>
                <c:pt idx="114">
                  <c:v>47.93310833333333</c:v>
                </c:pt>
                <c:pt idx="115">
                  <c:v>31.081610483870968</c:v>
                </c:pt>
                <c:pt idx="116">
                  <c:v>30.31550416666667</c:v>
                </c:pt>
                <c:pt idx="117">
                  <c:v>31.721746774193555</c:v>
                </c:pt>
                <c:pt idx="118">
                  <c:v>29.952704838709678</c:v>
                </c:pt>
                <c:pt idx="119">
                  <c:v>28.208671428571424</c:v>
                </c:pt>
                <c:pt idx="120">
                  <c:v>27.777949999999997</c:v>
                </c:pt>
                <c:pt idx="121">
                  <c:v>27.498816666666663</c:v>
                </c:pt>
                <c:pt idx="122">
                  <c:v>26.441840322580646</c:v>
                </c:pt>
                <c:pt idx="123">
                  <c:v>30.373263333333334</c:v>
                </c:pt>
                <c:pt idx="124">
                  <c:v>46.625875806451617</c:v>
                </c:pt>
                <c:pt idx="125">
                  <c:v>54.933272580645159</c:v>
                </c:pt>
                <c:pt idx="126">
                  <c:v>48.56860833333333</c:v>
                </c:pt>
                <c:pt idx="127">
                  <c:v>31.717110483870968</c:v>
                </c:pt>
                <c:pt idx="128">
                  <c:v>30.951004166666671</c:v>
                </c:pt>
                <c:pt idx="129">
                  <c:v>32.357246774193548</c:v>
                </c:pt>
                <c:pt idx="130">
                  <c:v>30.588204838709679</c:v>
                </c:pt>
                <c:pt idx="131">
                  <c:v>28.844171428571428</c:v>
                </c:pt>
                <c:pt idx="132">
                  <c:v>28.413449999999997</c:v>
                </c:pt>
                <c:pt idx="133">
                  <c:v>28.134316666666667</c:v>
                </c:pt>
                <c:pt idx="134">
                  <c:v>27.077340322580646</c:v>
                </c:pt>
                <c:pt idx="135">
                  <c:v>31.008763333333334</c:v>
                </c:pt>
                <c:pt idx="136">
                  <c:v>47.261375806451618</c:v>
                </c:pt>
                <c:pt idx="137">
                  <c:v>55.56877258064516</c:v>
                </c:pt>
                <c:pt idx="138">
                  <c:v>49.204108333333323</c:v>
                </c:pt>
                <c:pt idx="139">
                  <c:v>32.352610483870968</c:v>
                </c:pt>
                <c:pt idx="140">
                  <c:v>31.586504166666668</c:v>
                </c:pt>
                <c:pt idx="141">
                  <c:v>32.992746774193549</c:v>
                </c:pt>
                <c:pt idx="142">
                  <c:v>31.223704838709676</c:v>
                </c:pt>
                <c:pt idx="143">
                  <c:v>29.479671428571422</c:v>
                </c:pt>
                <c:pt idx="144">
                  <c:v>29.048950000000001</c:v>
                </c:pt>
                <c:pt idx="145">
                  <c:v>28.769816666666667</c:v>
                </c:pt>
                <c:pt idx="146">
                  <c:v>27.712840322580643</c:v>
                </c:pt>
                <c:pt idx="147">
                  <c:v>31.644263333333335</c:v>
                </c:pt>
                <c:pt idx="148">
                  <c:v>47.896875806451618</c:v>
                </c:pt>
                <c:pt idx="149">
                  <c:v>56.20427258064516</c:v>
                </c:pt>
                <c:pt idx="150">
                  <c:v>49.839608333333331</c:v>
                </c:pt>
                <c:pt idx="151">
                  <c:v>32.988110483870969</c:v>
                </c:pt>
                <c:pt idx="152">
                  <c:v>32.222004166666665</c:v>
                </c:pt>
                <c:pt idx="153">
                  <c:v>33.628246774193549</c:v>
                </c:pt>
                <c:pt idx="154">
                  <c:v>31.837704838709676</c:v>
                </c:pt>
                <c:pt idx="155">
                  <c:v>30.093671428571426</c:v>
                </c:pt>
                <c:pt idx="156">
                  <c:v>29.662949999999999</c:v>
                </c:pt>
                <c:pt idx="157">
                  <c:v>29.383816666666664</c:v>
                </c:pt>
                <c:pt idx="158">
                  <c:v>28.326840322580647</c:v>
                </c:pt>
                <c:pt idx="159">
                  <c:v>32.258263333333332</c:v>
                </c:pt>
                <c:pt idx="160">
                  <c:v>48.510875806451615</c:v>
                </c:pt>
                <c:pt idx="161">
                  <c:v>56.818272580645171</c:v>
                </c:pt>
                <c:pt idx="162">
                  <c:v>50.453608333333335</c:v>
                </c:pt>
                <c:pt idx="163">
                  <c:v>33.602110483870973</c:v>
                </c:pt>
                <c:pt idx="164">
                  <c:v>32.836004166666669</c:v>
                </c:pt>
                <c:pt idx="165">
                  <c:v>34.242246774193546</c:v>
                </c:pt>
                <c:pt idx="166">
                  <c:v>32.451704838709681</c:v>
                </c:pt>
                <c:pt idx="167">
                  <c:v>30.70767142857143</c:v>
                </c:pt>
                <c:pt idx="168">
                  <c:v>30.276949999999999</c:v>
                </c:pt>
                <c:pt idx="169">
                  <c:v>29.997816666666665</c:v>
                </c:pt>
                <c:pt idx="170">
                  <c:v>28.940840322580645</c:v>
                </c:pt>
                <c:pt idx="171">
                  <c:v>32.872263333333336</c:v>
                </c:pt>
                <c:pt idx="172">
                  <c:v>49.124875806451612</c:v>
                </c:pt>
                <c:pt idx="173">
                  <c:v>57.432272580645154</c:v>
                </c:pt>
                <c:pt idx="174">
                  <c:v>51.067608333333339</c:v>
                </c:pt>
                <c:pt idx="175">
                  <c:v>34.21611048387097</c:v>
                </c:pt>
                <c:pt idx="176">
                  <c:v>33.450004166666666</c:v>
                </c:pt>
                <c:pt idx="177">
                  <c:v>34.856246774193551</c:v>
                </c:pt>
                <c:pt idx="178">
                  <c:v>33.065704838709678</c:v>
                </c:pt>
                <c:pt idx="179">
                  <c:v>31.321671428571427</c:v>
                </c:pt>
                <c:pt idx="180">
                  <c:v>30.890949999999997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4-4BE9-80A2-708F60FF3B8F}"/>
            </c:ext>
          </c:extLst>
        </c:ser>
        <c:ser>
          <c:idx val="1"/>
          <c:order val="1"/>
          <c:tx>
            <c:v>NP15 Curve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[1]Details!$AF$14:$AF$194</c:f>
              <c:numCache>
                <c:formatCode>General</c:formatCode>
                <c:ptCount val="181"/>
                <c:pt idx="0">
                  <c:v>20.357022580645161</c:v>
                </c:pt>
                <c:pt idx="1">
                  <c:v>19.113316666666666</c:v>
                </c:pt>
                <c:pt idx="2">
                  <c:v>15.199251612903224</c:v>
                </c:pt>
                <c:pt idx="3">
                  <c:v>16.366246666666665</c:v>
                </c:pt>
                <c:pt idx="4">
                  <c:v>28.131964516129027</c:v>
                </c:pt>
                <c:pt idx="5">
                  <c:v>41.706348387096767</c:v>
                </c:pt>
                <c:pt idx="6">
                  <c:v>39.161316666666664</c:v>
                </c:pt>
                <c:pt idx="7">
                  <c:v>25.851578225806449</c:v>
                </c:pt>
                <c:pt idx="8">
                  <c:v>29.525962499999999</c:v>
                </c:pt>
                <c:pt idx="9">
                  <c:v>30.461738709677419</c:v>
                </c:pt>
                <c:pt idx="10">
                  <c:v>28.233646774193545</c:v>
                </c:pt>
                <c:pt idx="11">
                  <c:v>25.637849999999997</c:v>
                </c:pt>
                <c:pt idx="12">
                  <c:v>21.21402258064516</c:v>
                </c:pt>
                <c:pt idx="13">
                  <c:v>19.970316666666665</c:v>
                </c:pt>
                <c:pt idx="14">
                  <c:v>16.056251612903225</c:v>
                </c:pt>
                <c:pt idx="15">
                  <c:v>17.223246666666665</c:v>
                </c:pt>
                <c:pt idx="16">
                  <c:v>29.72996451612903</c:v>
                </c:pt>
                <c:pt idx="17">
                  <c:v>43.304348387096766</c:v>
                </c:pt>
                <c:pt idx="18">
                  <c:v>40.759316666666663</c:v>
                </c:pt>
                <c:pt idx="19">
                  <c:v>26.708578225806452</c:v>
                </c:pt>
                <c:pt idx="20">
                  <c:v>30.382962499999998</c:v>
                </c:pt>
                <c:pt idx="21">
                  <c:v>31.318738709677419</c:v>
                </c:pt>
                <c:pt idx="22">
                  <c:v>29.069146774193541</c:v>
                </c:pt>
                <c:pt idx="23">
                  <c:v>26.473349999999996</c:v>
                </c:pt>
                <c:pt idx="24">
                  <c:v>22.04952258064516</c:v>
                </c:pt>
                <c:pt idx="25">
                  <c:v>20.805816666666669</c:v>
                </c:pt>
                <c:pt idx="26">
                  <c:v>16.891751612903224</c:v>
                </c:pt>
                <c:pt idx="27">
                  <c:v>18.058746666666664</c:v>
                </c:pt>
                <c:pt idx="28">
                  <c:v>31.306464516129033</c:v>
                </c:pt>
                <c:pt idx="29">
                  <c:v>44.880848387096776</c:v>
                </c:pt>
                <c:pt idx="30">
                  <c:v>42.335816666666666</c:v>
                </c:pt>
                <c:pt idx="31">
                  <c:v>27.544078225806452</c:v>
                </c:pt>
                <c:pt idx="32">
                  <c:v>31.218462500000001</c:v>
                </c:pt>
                <c:pt idx="33">
                  <c:v>32.154238709677422</c:v>
                </c:pt>
                <c:pt idx="34">
                  <c:v>29.883146774193541</c:v>
                </c:pt>
                <c:pt idx="35">
                  <c:v>27.287349999999996</c:v>
                </c:pt>
                <c:pt idx="36">
                  <c:v>22.86352258064516</c:v>
                </c:pt>
                <c:pt idx="37">
                  <c:v>21.619816666666665</c:v>
                </c:pt>
                <c:pt idx="38">
                  <c:v>17.705751612903224</c:v>
                </c:pt>
                <c:pt idx="39">
                  <c:v>18.872746666666664</c:v>
                </c:pt>
                <c:pt idx="40">
                  <c:v>32.861464516129026</c:v>
                </c:pt>
                <c:pt idx="41">
                  <c:v>46.435848387096769</c:v>
                </c:pt>
                <c:pt idx="42">
                  <c:v>43.890816666666666</c:v>
                </c:pt>
                <c:pt idx="43">
                  <c:v>28.358078225806452</c:v>
                </c:pt>
                <c:pt idx="44">
                  <c:v>32.032462499999994</c:v>
                </c:pt>
                <c:pt idx="45">
                  <c:v>32.968238709677422</c:v>
                </c:pt>
                <c:pt idx="46">
                  <c:v>30.960646774193545</c:v>
                </c:pt>
                <c:pt idx="47">
                  <c:v>28.364849999999997</c:v>
                </c:pt>
                <c:pt idx="48">
                  <c:v>23.941022580645161</c:v>
                </c:pt>
                <c:pt idx="49">
                  <c:v>22.697316666666666</c:v>
                </c:pt>
                <c:pt idx="50">
                  <c:v>18.783251612903221</c:v>
                </c:pt>
                <c:pt idx="51">
                  <c:v>19.950246666666665</c:v>
                </c:pt>
                <c:pt idx="52">
                  <c:v>34.508964516129033</c:v>
                </c:pt>
                <c:pt idx="53">
                  <c:v>48.08334838709677</c:v>
                </c:pt>
                <c:pt idx="54">
                  <c:v>45.538316666666667</c:v>
                </c:pt>
                <c:pt idx="55">
                  <c:v>29.435578225806449</c:v>
                </c:pt>
                <c:pt idx="56">
                  <c:v>33.109962499999995</c:v>
                </c:pt>
                <c:pt idx="57">
                  <c:v>34.045738709677416</c:v>
                </c:pt>
                <c:pt idx="58">
                  <c:v>31.959646774193544</c:v>
                </c:pt>
                <c:pt idx="59">
                  <c:v>29.363849999999999</c:v>
                </c:pt>
                <c:pt idx="60">
                  <c:v>24.940022580645156</c:v>
                </c:pt>
                <c:pt idx="61">
                  <c:v>23.696316666666661</c:v>
                </c:pt>
                <c:pt idx="62">
                  <c:v>19.782251612903224</c:v>
                </c:pt>
                <c:pt idx="63">
                  <c:v>20.949246666666664</c:v>
                </c:pt>
                <c:pt idx="64">
                  <c:v>35.963964516129032</c:v>
                </c:pt>
                <c:pt idx="65">
                  <c:v>49.538348387096775</c:v>
                </c:pt>
                <c:pt idx="66">
                  <c:v>46.993316666666658</c:v>
                </c:pt>
                <c:pt idx="67">
                  <c:v>30.434578225806455</c:v>
                </c:pt>
                <c:pt idx="68">
                  <c:v>34.108962499999997</c:v>
                </c:pt>
                <c:pt idx="69">
                  <c:v>35.044738709677418</c:v>
                </c:pt>
                <c:pt idx="70">
                  <c:v>32.673646774193543</c:v>
                </c:pt>
                <c:pt idx="71">
                  <c:v>30.077850000000002</c:v>
                </c:pt>
                <c:pt idx="72">
                  <c:v>25.654022580645158</c:v>
                </c:pt>
                <c:pt idx="73">
                  <c:v>24.410316666666667</c:v>
                </c:pt>
                <c:pt idx="74">
                  <c:v>20.496251612903222</c:v>
                </c:pt>
                <c:pt idx="75">
                  <c:v>21.663246666666666</c:v>
                </c:pt>
                <c:pt idx="76">
                  <c:v>37.247964516129031</c:v>
                </c:pt>
                <c:pt idx="77">
                  <c:v>50.822348387096774</c:v>
                </c:pt>
                <c:pt idx="78">
                  <c:v>48.277316666666664</c:v>
                </c:pt>
                <c:pt idx="79">
                  <c:v>31.14857822580645</c:v>
                </c:pt>
                <c:pt idx="80">
                  <c:v>34.822962499999996</c:v>
                </c:pt>
                <c:pt idx="81">
                  <c:v>35.758738709677417</c:v>
                </c:pt>
                <c:pt idx="82">
                  <c:v>33.387646774193549</c:v>
                </c:pt>
                <c:pt idx="83">
                  <c:v>30.791849999999997</c:v>
                </c:pt>
                <c:pt idx="84">
                  <c:v>26.36802258064516</c:v>
                </c:pt>
                <c:pt idx="85">
                  <c:v>25.124316666666665</c:v>
                </c:pt>
                <c:pt idx="86">
                  <c:v>21.210251612903221</c:v>
                </c:pt>
                <c:pt idx="87">
                  <c:v>22.377246666666665</c:v>
                </c:pt>
                <c:pt idx="88">
                  <c:v>38.474964516129027</c:v>
                </c:pt>
                <c:pt idx="89">
                  <c:v>52.049348387096771</c:v>
                </c:pt>
                <c:pt idx="90">
                  <c:v>49.504316666666668</c:v>
                </c:pt>
                <c:pt idx="91">
                  <c:v>31.862578225806452</c:v>
                </c:pt>
                <c:pt idx="92">
                  <c:v>35.536962500000001</c:v>
                </c:pt>
                <c:pt idx="93">
                  <c:v>36.472738709677415</c:v>
                </c:pt>
                <c:pt idx="94">
                  <c:v>34.10164677419354</c:v>
                </c:pt>
                <c:pt idx="95">
                  <c:v>31.505849999999995</c:v>
                </c:pt>
                <c:pt idx="96">
                  <c:v>27.082022580645162</c:v>
                </c:pt>
                <c:pt idx="97">
                  <c:v>25.838316666666664</c:v>
                </c:pt>
                <c:pt idx="98">
                  <c:v>21.924251612903223</c:v>
                </c:pt>
                <c:pt idx="99">
                  <c:v>23.091246666666663</c:v>
                </c:pt>
                <c:pt idx="100">
                  <c:v>39.302964516129023</c:v>
                </c:pt>
                <c:pt idx="101">
                  <c:v>52.877348387096774</c:v>
                </c:pt>
                <c:pt idx="102">
                  <c:v>50.332316666666671</c:v>
                </c:pt>
                <c:pt idx="103">
                  <c:v>32.57657822580645</c:v>
                </c:pt>
                <c:pt idx="104">
                  <c:v>36.2509625</c:v>
                </c:pt>
                <c:pt idx="105">
                  <c:v>37.186738709677421</c:v>
                </c:pt>
                <c:pt idx="106">
                  <c:v>34.79414677419355</c:v>
                </c:pt>
                <c:pt idx="107">
                  <c:v>32.198349999999998</c:v>
                </c:pt>
                <c:pt idx="108">
                  <c:v>27.774522580645161</c:v>
                </c:pt>
                <c:pt idx="109">
                  <c:v>26.530816666666666</c:v>
                </c:pt>
                <c:pt idx="110">
                  <c:v>22.616751612903222</c:v>
                </c:pt>
                <c:pt idx="111">
                  <c:v>23.783746666666666</c:v>
                </c:pt>
                <c:pt idx="112">
                  <c:v>40.10946451612903</c:v>
                </c:pt>
                <c:pt idx="113">
                  <c:v>53.683848387096774</c:v>
                </c:pt>
                <c:pt idx="114">
                  <c:v>51.138816666666671</c:v>
                </c:pt>
                <c:pt idx="115">
                  <c:v>33.269078225806453</c:v>
                </c:pt>
                <c:pt idx="116">
                  <c:v>36.943462500000003</c:v>
                </c:pt>
                <c:pt idx="117">
                  <c:v>37.879238709677423</c:v>
                </c:pt>
                <c:pt idx="118">
                  <c:v>35.429646774193543</c:v>
                </c:pt>
                <c:pt idx="119">
                  <c:v>32.833849999999998</c:v>
                </c:pt>
                <c:pt idx="120">
                  <c:v>28.410022580645162</c:v>
                </c:pt>
                <c:pt idx="121">
                  <c:v>27.166316666666663</c:v>
                </c:pt>
                <c:pt idx="122">
                  <c:v>23.252251612903223</c:v>
                </c:pt>
                <c:pt idx="123">
                  <c:v>24.419246666666663</c:v>
                </c:pt>
                <c:pt idx="124">
                  <c:v>40.744964516129031</c:v>
                </c:pt>
                <c:pt idx="125">
                  <c:v>54.319348387096767</c:v>
                </c:pt>
                <c:pt idx="126">
                  <c:v>51.774316666666671</c:v>
                </c:pt>
                <c:pt idx="127">
                  <c:v>33.904578225806453</c:v>
                </c:pt>
                <c:pt idx="128">
                  <c:v>37.578962499999996</c:v>
                </c:pt>
                <c:pt idx="129">
                  <c:v>38.514738709677417</c:v>
                </c:pt>
                <c:pt idx="130">
                  <c:v>36.065146774193543</c:v>
                </c:pt>
                <c:pt idx="131">
                  <c:v>33.469349999999999</c:v>
                </c:pt>
                <c:pt idx="132">
                  <c:v>29.045522580645162</c:v>
                </c:pt>
                <c:pt idx="133">
                  <c:v>27.801816666666667</c:v>
                </c:pt>
                <c:pt idx="134">
                  <c:v>23.887751612903223</c:v>
                </c:pt>
                <c:pt idx="135">
                  <c:v>25.054746666666666</c:v>
                </c:pt>
                <c:pt idx="136">
                  <c:v>41.380464516129031</c:v>
                </c:pt>
                <c:pt idx="137">
                  <c:v>54.954848387096774</c:v>
                </c:pt>
                <c:pt idx="138">
                  <c:v>52.409816666666664</c:v>
                </c:pt>
                <c:pt idx="139">
                  <c:v>34.540078225806454</c:v>
                </c:pt>
                <c:pt idx="140">
                  <c:v>38.214462499999996</c:v>
                </c:pt>
                <c:pt idx="141">
                  <c:v>39.150238709677417</c:v>
                </c:pt>
                <c:pt idx="142">
                  <c:v>36.700646774193544</c:v>
                </c:pt>
                <c:pt idx="143">
                  <c:v>34.104849999999999</c:v>
                </c:pt>
                <c:pt idx="144">
                  <c:v>29.681022580645166</c:v>
                </c:pt>
                <c:pt idx="145">
                  <c:v>28.437316666666668</c:v>
                </c:pt>
                <c:pt idx="146">
                  <c:v>24.523251612903223</c:v>
                </c:pt>
                <c:pt idx="147">
                  <c:v>25.690246666666667</c:v>
                </c:pt>
                <c:pt idx="148">
                  <c:v>42.015964516129031</c:v>
                </c:pt>
                <c:pt idx="149">
                  <c:v>55.590348387096768</c:v>
                </c:pt>
                <c:pt idx="150">
                  <c:v>53.045316666666665</c:v>
                </c:pt>
                <c:pt idx="151">
                  <c:v>35.175578225806454</c:v>
                </c:pt>
                <c:pt idx="152">
                  <c:v>38.849962499999997</c:v>
                </c:pt>
                <c:pt idx="153">
                  <c:v>39.785738709677418</c:v>
                </c:pt>
                <c:pt idx="154">
                  <c:v>37.314646774193548</c:v>
                </c:pt>
                <c:pt idx="155">
                  <c:v>34.718849999999996</c:v>
                </c:pt>
                <c:pt idx="156">
                  <c:v>30.295022580645163</c:v>
                </c:pt>
                <c:pt idx="157">
                  <c:v>29.051316666666665</c:v>
                </c:pt>
                <c:pt idx="158">
                  <c:v>25.137251612903221</c:v>
                </c:pt>
                <c:pt idx="159">
                  <c:v>26.304246666666664</c:v>
                </c:pt>
                <c:pt idx="160">
                  <c:v>42.629964516129036</c:v>
                </c:pt>
                <c:pt idx="161">
                  <c:v>56.204348387096772</c:v>
                </c:pt>
                <c:pt idx="162">
                  <c:v>53.659316666666669</c:v>
                </c:pt>
                <c:pt idx="163">
                  <c:v>35.789578225806451</c:v>
                </c:pt>
                <c:pt idx="164">
                  <c:v>39.463962499999994</c:v>
                </c:pt>
                <c:pt idx="165">
                  <c:v>40.399738709677415</c:v>
                </c:pt>
                <c:pt idx="166">
                  <c:v>37.928646774193545</c:v>
                </c:pt>
                <c:pt idx="167">
                  <c:v>35.332849999999993</c:v>
                </c:pt>
                <c:pt idx="168">
                  <c:v>30.909022580645164</c:v>
                </c:pt>
                <c:pt idx="169">
                  <c:v>29.665316666666666</c:v>
                </c:pt>
                <c:pt idx="170">
                  <c:v>25.751251612903221</c:v>
                </c:pt>
                <c:pt idx="171">
                  <c:v>26.918246666666665</c:v>
                </c:pt>
                <c:pt idx="172">
                  <c:v>43.243964516129033</c:v>
                </c:pt>
                <c:pt idx="173">
                  <c:v>56.818348387096776</c:v>
                </c:pt>
                <c:pt idx="174">
                  <c:v>54.273316666666666</c:v>
                </c:pt>
                <c:pt idx="175">
                  <c:v>36.403578225806449</c:v>
                </c:pt>
                <c:pt idx="176">
                  <c:v>40.077962499999998</c:v>
                </c:pt>
                <c:pt idx="177">
                  <c:v>41.013738709677419</c:v>
                </c:pt>
                <c:pt idx="178">
                  <c:v>38.542646774193543</c:v>
                </c:pt>
                <c:pt idx="179">
                  <c:v>35.946849999999998</c:v>
                </c:pt>
                <c:pt idx="180">
                  <c:v>31.523022580645161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4-4BE9-80A2-708F60FF3B8F}"/>
            </c:ext>
          </c:extLst>
        </c:ser>
        <c:ser>
          <c:idx val="2"/>
          <c:order val="2"/>
          <c:tx>
            <c:v>Fixed Price (Adj. By 75% of CPI)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[1]Details!$AD$14:$AD$194</c:f>
              <c:numCache>
                <c:formatCode>General</c:formatCode>
                <c:ptCount val="181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  <c:pt idx="24">
                  <c:v>37316</c:v>
                </c:pt>
                <c:pt idx="25">
                  <c:v>37347</c:v>
                </c:pt>
                <c:pt idx="26">
                  <c:v>37377</c:v>
                </c:pt>
                <c:pt idx="27">
                  <c:v>37408</c:v>
                </c:pt>
                <c:pt idx="28">
                  <c:v>37438</c:v>
                </c:pt>
                <c:pt idx="29">
                  <c:v>37469</c:v>
                </c:pt>
                <c:pt idx="30">
                  <c:v>37500</c:v>
                </c:pt>
                <c:pt idx="31">
                  <c:v>37530</c:v>
                </c:pt>
                <c:pt idx="32">
                  <c:v>37561</c:v>
                </c:pt>
                <c:pt idx="33">
                  <c:v>37591</c:v>
                </c:pt>
                <c:pt idx="34">
                  <c:v>37622</c:v>
                </c:pt>
                <c:pt idx="35">
                  <c:v>37653</c:v>
                </c:pt>
                <c:pt idx="36">
                  <c:v>37681</c:v>
                </c:pt>
                <c:pt idx="37">
                  <c:v>37712</c:v>
                </c:pt>
                <c:pt idx="38">
                  <c:v>37742</c:v>
                </c:pt>
                <c:pt idx="39">
                  <c:v>37773</c:v>
                </c:pt>
                <c:pt idx="40">
                  <c:v>37803</c:v>
                </c:pt>
                <c:pt idx="41">
                  <c:v>37834</c:v>
                </c:pt>
                <c:pt idx="42">
                  <c:v>37865</c:v>
                </c:pt>
                <c:pt idx="43">
                  <c:v>37895</c:v>
                </c:pt>
                <c:pt idx="44">
                  <c:v>37926</c:v>
                </c:pt>
                <c:pt idx="45">
                  <c:v>37956</c:v>
                </c:pt>
                <c:pt idx="46">
                  <c:v>37987</c:v>
                </c:pt>
                <c:pt idx="47">
                  <c:v>38018</c:v>
                </c:pt>
                <c:pt idx="48">
                  <c:v>38047</c:v>
                </c:pt>
                <c:pt idx="49">
                  <c:v>38078</c:v>
                </c:pt>
                <c:pt idx="50">
                  <c:v>38108</c:v>
                </c:pt>
                <c:pt idx="51">
                  <c:v>38139</c:v>
                </c:pt>
                <c:pt idx="52">
                  <c:v>38169</c:v>
                </c:pt>
                <c:pt idx="53">
                  <c:v>38200</c:v>
                </c:pt>
                <c:pt idx="54">
                  <c:v>38231</c:v>
                </c:pt>
                <c:pt idx="55">
                  <c:v>38261</c:v>
                </c:pt>
                <c:pt idx="56">
                  <c:v>38292</c:v>
                </c:pt>
                <c:pt idx="57">
                  <c:v>38322</c:v>
                </c:pt>
                <c:pt idx="58">
                  <c:v>38353</c:v>
                </c:pt>
                <c:pt idx="59">
                  <c:v>38384</c:v>
                </c:pt>
                <c:pt idx="60">
                  <c:v>38412</c:v>
                </c:pt>
                <c:pt idx="61">
                  <c:v>38443</c:v>
                </c:pt>
                <c:pt idx="62">
                  <c:v>38473</c:v>
                </c:pt>
                <c:pt idx="63">
                  <c:v>38504</c:v>
                </c:pt>
                <c:pt idx="64">
                  <c:v>38534</c:v>
                </c:pt>
                <c:pt idx="65">
                  <c:v>38565</c:v>
                </c:pt>
                <c:pt idx="66">
                  <c:v>38596</c:v>
                </c:pt>
                <c:pt idx="67">
                  <c:v>38626</c:v>
                </c:pt>
                <c:pt idx="68">
                  <c:v>38657</c:v>
                </c:pt>
                <c:pt idx="69">
                  <c:v>38687</c:v>
                </c:pt>
                <c:pt idx="70">
                  <c:v>38718</c:v>
                </c:pt>
                <c:pt idx="71">
                  <c:v>38749</c:v>
                </c:pt>
                <c:pt idx="72">
                  <c:v>38777</c:v>
                </c:pt>
                <c:pt idx="73">
                  <c:v>38808</c:v>
                </c:pt>
                <c:pt idx="74">
                  <c:v>38838</c:v>
                </c:pt>
                <c:pt idx="75">
                  <c:v>38869</c:v>
                </c:pt>
                <c:pt idx="76">
                  <c:v>38899</c:v>
                </c:pt>
                <c:pt idx="77">
                  <c:v>38930</c:v>
                </c:pt>
                <c:pt idx="78">
                  <c:v>38961</c:v>
                </c:pt>
                <c:pt idx="79">
                  <c:v>38991</c:v>
                </c:pt>
                <c:pt idx="80">
                  <c:v>39022</c:v>
                </c:pt>
                <c:pt idx="81">
                  <c:v>39052</c:v>
                </c:pt>
                <c:pt idx="82">
                  <c:v>39083</c:v>
                </c:pt>
                <c:pt idx="83">
                  <c:v>39114</c:v>
                </c:pt>
                <c:pt idx="84">
                  <c:v>39142</c:v>
                </c:pt>
                <c:pt idx="85">
                  <c:v>39173</c:v>
                </c:pt>
                <c:pt idx="86">
                  <c:v>39203</c:v>
                </c:pt>
                <c:pt idx="87">
                  <c:v>39234</c:v>
                </c:pt>
                <c:pt idx="88">
                  <c:v>39264</c:v>
                </c:pt>
                <c:pt idx="89">
                  <c:v>39295</c:v>
                </c:pt>
                <c:pt idx="90">
                  <c:v>39326</c:v>
                </c:pt>
                <c:pt idx="91">
                  <c:v>39356</c:v>
                </c:pt>
                <c:pt idx="92">
                  <c:v>39387</c:v>
                </c:pt>
                <c:pt idx="93">
                  <c:v>39417</c:v>
                </c:pt>
                <c:pt idx="94">
                  <c:v>39448</c:v>
                </c:pt>
                <c:pt idx="95">
                  <c:v>39479</c:v>
                </c:pt>
                <c:pt idx="96">
                  <c:v>39508</c:v>
                </c:pt>
                <c:pt idx="97">
                  <c:v>39539</c:v>
                </c:pt>
                <c:pt idx="98">
                  <c:v>39569</c:v>
                </c:pt>
                <c:pt idx="99">
                  <c:v>39600</c:v>
                </c:pt>
                <c:pt idx="100">
                  <c:v>39630</c:v>
                </c:pt>
                <c:pt idx="101">
                  <c:v>39661</c:v>
                </c:pt>
                <c:pt idx="102">
                  <c:v>39692</c:v>
                </c:pt>
                <c:pt idx="103">
                  <c:v>39722</c:v>
                </c:pt>
                <c:pt idx="104">
                  <c:v>39753</c:v>
                </c:pt>
                <c:pt idx="105">
                  <c:v>39783</c:v>
                </c:pt>
                <c:pt idx="106">
                  <c:v>39814</c:v>
                </c:pt>
                <c:pt idx="107">
                  <c:v>39845</c:v>
                </c:pt>
                <c:pt idx="108">
                  <c:v>39873</c:v>
                </c:pt>
                <c:pt idx="109">
                  <c:v>39904</c:v>
                </c:pt>
                <c:pt idx="110">
                  <c:v>39934</c:v>
                </c:pt>
                <c:pt idx="111">
                  <c:v>39965</c:v>
                </c:pt>
                <c:pt idx="112">
                  <c:v>39995</c:v>
                </c:pt>
                <c:pt idx="113">
                  <c:v>40026</c:v>
                </c:pt>
                <c:pt idx="114">
                  <c:v>40057</c:v>
                </c:pt>
                <c:pt idx="115">
                  <c:v>40087</c:v>
                </c:pt>
                <c:pt idx="116">
                  <c:v>40118</c:v>
                </c:pt>
                <c:pt idx="117">
                  <c:v>40148</c:v>
                </c:pt>
                <c:pt idx="118">
                  <c:v>40179</c:v>
                </c:pt>
                <c:pt idx="119">
                  <c:v>40210</c:v>
                </c:pt>
                <c:pt idx="120">
                  <c:v>40238</c:v>
                </c:pt>
                <c:pt idx="121">
                  <c:v>40269</c:v>
                </c:pt>
                <c:pt idx="122">
                  <c:v>40299</c:v>
                </c:pt>
                <c:pt idx="123">
                  <c:v>40330</c:v>
                </c:pt>
                <c:pt idx="124">
                  <c:v>40360</c:v>
                </c:pt>
                <c:pt idx="125">
                  <c:v>40391</c:v>
                </c:pt>
                <c:pt idx="126">
                  <c:v>40422</c:v>
                </c:pt>
                <c:pt idx="127">
                  <c:v>40452</c:v>
                </c:pt>
                <c:pt idx="128">
                  <c:v>40483</c:v>
                </c:pt>
                <c:pt idx="129">
                  <c:v>40513</c:v>
                </c:pt>
                <c:pt idx="130">
                  <c:v>40544</c:v>
                </c:pt>
                <c:pt idx="131">
                  <c:v>40575</c:v>
                </c:pt>
                <c:pt idx="132">
                  <c:v>40603</c:v>
                </c:pt>
                <c:pt idx="133">
                  <c:v>40634</c:v>
                </c:pt>
                <c:pt idx="134">
                  <c:v>40664</c:v>
                </c:pt>
                <c:pt idx="135">
                  <c:v>40695</c:v>
                </c:pt>
                <c:pt idx="136">
                  <c:v>40725</c:v>
                </c:pt>
                <c:pt idx="137">
                  <c:v>40756</c:v>
                </c:pt>
                <c:pt idx="138">
                  <c:v>40787</c:v>
                </c:pt>
                <c:pt idx="139">
                  <c:v>40817</c:v>
                </c:pt>
                <c:pt idx="140">
                  <c:v>40848</c:v>
                </c:pt>
                <c:pt idx="141">
                  <c:v>40878</c:v>
                </c:pt>
                <c:pt idx="142">
                  <c:v>40909</c:v>
                </c:pt>
                <c:pt idx="143">
                  <c:v>40940</c:v>
                </c:pt>
                <c:pt idx="144">
                  <c:v>40969</c:v>
                </c:pt>
                <c:pt idx="145">
                  <c:v>41000</c:v>
                </c:pt>
                <c:pt idx="146">
                  <c:v>41030</c:v>
                </c:pt>
                <c:pt idx="147">
                  <c:v>41061</c:v>
                </c:pt>
                <c:pt idx="148">
                  <c:v>41091</c:v>
                </c:pt>
                <c:pt idx="149">
                  <c:v>41122</c:v>
                </c:pt>
                <c:pt idx="150">
                  <c:v>41153</c:v>
                </c:pt>
                <c:pt idx="151">
                  <c:v>41183</c:v>
                </c:pt>
                <c:pt idx="152">
                  <c:v>41214</c:v>
                </c:pt>
                <c:pt idx="153">
                  <c:v>41244</c:v>
                </c:pt>
                <c:pt idx="154">
                  <c:v>41275</c:v>
                </c:pt>
                <c:pt idx="155">
                  <c:v>41306</c:v>
                </c:pt>
                <c:pt idx="156">
                  <c:v>41334</c:v>
                </c:pt>
                <c:pt idx="157">
                  <c:v>41365</c:v>
                </c:pt>
                <c:pt idx="158">
                  <c:v>41395</c:v>
                </c:pt>
                <c:pt idx="159">
                  <c:v>41426</c:v>
                </c:pt>
                <c:pt idx="160">
                  <c:v>41456</c:v>
                </c:pt>
                <c:pt idx="161">
                  <c:v>41487</c:v>
                </c:pt>
                <c:pt idx="162">
                  <c:v>41518</c:v>
                </c:pt>
                <c:pt idx="163">
                  <c:v>41548</c:v>
                </c:pt>
                <c:pt idx="164">
                  <c:v>41579</c:v>
                </c:pt>
                <c:pt idx="165">
                  <c:v>41609</c:v>
                </c:pt>
                <c:pt idx="166">
                  <c:v>41640</c:v>
                </c:pt>
                <c:pt idx="167">
                  <c:v>41671</c:v>
                </c:pt>
                <c:pt idx="168">
                  <c:v>41699</c:v>
                </c:pt>
                <c:pt idx="169">
                  <c:v>41730</c:v>
                </c:pt>
                <c:pt idx="170">
                  <c:v>41760</c:v>
                </c:pt>
                <c:pt idx="171">
                  <c:v>41791</c:v>
                </c:pt>
                <c:pt idx="172">
                  <c:v>41821</c:v>
                </c:pt>
                <c:pt idx="173">
                  <c:v>41852</c:v>
                </c:pt>
                <c:pt idx="174">
                  <c:v>41883</c:v>
                </c:pt>
                <c:pt idx="175">
                  <c:v>41913</c:v>
                </c:pt>
                <c:pt idx="176">
                  <c:v>41944</c:v>
                </c:pt>
                <c:pt idx="177">
                  <c:v>41974</c:v>
                </c:pt>
                <c:pt idx="178">
                  <c:v>42005</c:v>
                </c:pt>
                <c:pt idx="179">
                  <c:v>42036</c:v>
                </c:pt>
                <c:pt idx="180">
                  <c:v>42064</c:v>
                </c:pt>
              </c:numCache>
            </c:numRef>
          </c:cat>
          <c:val>
            <c:numRef>
              <c:f>[1]Details!$AG$14:$AG$194</c:f>
              <c:numCache>
                <c:formatCode>General</c:formatCode>
                <c:ptCount val="181"/>
                <c:pt idx="0">
                  <c:v>28.75</c:v>
                </c:pt>
                <c:pt idx="1">
                  <c:v>28.75</c:v>
                </c:pt>
                <c:pt idx="2">
                  <c:v>28.75</c:v>
                </c:pt>
                <c:pt idx="3">
                  <c:v>28.75</c:v>
                </c:pt>
                <c:pt idx="4">
                  <c:v>28.75</c:v>
                </c:pt>
                <c:pt idx="5">
                  <c:v>28.75</c:v>
                </c:pt>
                <c:pt idx="6">
                  <c:v>28.75</c:v>
                </c:pt>
                <c:pt idx="7">
                  <c:v>28.75</c:v>
                </c:pt>
                <c:pt idx="8">
                  <c:v>28.75</c:v>
                </c:pt>
                <c:pt idx="9">
                  <c:v>28.75</c:v>
                </c:pt>
                <c:pt idx="10">
                  <c:v>29.034623041213962</c:v>
                </c:pt>
                <c:pt idx="11">
                  <c:v>29.034623041213962</c:v>
                </c:pt>
                <c:pt idx="12">
                  <c:v>29.034623041213962</c:v>
                </c:pt>
                <c:pt idx="13">
                  <c:v>29.034623041213962</c:v>
                </c:pt>
                <c:pt idx="14">
                  <c:v>29.034623041213962</c:v>
                </c:pt>
                <c:pt idx="15">
                  <c:v>29.034623041213962</c:v>
                </c:pt>
                <c:pt idx="16">
                  <c:v>29.034623041213962</c:v>
                </c:pt>
                <c:pt idx="17">
                  <c:v>29.034623041213962</c:v>
                </c:pt>
                <c:pt idx="18">
                  <c:v>29.034623041213962</c:v>
                </c:pt>
                <c:pt idx="19">
                  <c:v>29.034623041213962</c:v>
                </c:pt>
                <c:pt idx="20">
                  <c:v>29.034623041213962</c:v>
                </c:pt>
                <c:pt idx="21">
                  <c:v>29.034623041213962</c:v>
                </c:pt>
                <c:pt idx="22">
                  <c:v>29.299068570626893</c:v>
                </c:pt>
                <c:pt idx="23">
                  <c:v>29.299068570626893</c:v>
                </c:pt>
                <c:pt idx="24">
                  <c:v>29.299068570626893</c:v>
                </c:pt>
                <c:pt idx="25">
                  <c:v>29.299068570626893</c:v>
                </c:pt>
                <c:pt idx="26">
                  <c:v>29.299068570626893</c:v>
                </c:pt>
                <c:pt idx="27">
                  <c:v>29.299068570626893</c:v>
                </c:pt>
                <c:pt idx="28">
                  <c:v>29.299068570626893</c:v>
                </c:pt>
                <c:pt idx="29">
                  <c:v>29.299068570626893</c:v>
                </c:pt>
                <c:pt idx="30">
                  <c:v>29.299068570626893</c:v>
                </c:pt>
                <c:pt idx="31">
                  <c:v>29.299068570626893</c:v>
                </c:pt>
                <c:pt idx="32">
                  <c:v>29.299068570626893</c:v>
                </c:pt>
                <c:pt idx="33">
                  <c:v>29.299068570626893</c:v>
                </c:pt>
                <c:pt idx="34">
                  <c:v>29.546761196625923</c:v>
                </c:pt>
                <c:pt idx="35">
                  <c:v>29.546761196625923</c:v>
                </c:pt>
                <c:pt idx="36">
                  <c:v>29.546761196625923</c:v>
                </c:pt>
                <c:pt idx="37">
                  <c:v>29.546761196625923</c:v>
                </c:pt>
                <c:pt idx="38">
                  <c:v>29.546761196625923</c:v>
                </c:pt>
                <c:pt idx="39">
                  <c:v>29.546761196625923</c:v>
                </c:pt>
                <c:pt idx="40">
                  <c:v>29.546761196625923</c:v>
                </c:pt>
                <c:pt idx="41">
                  <c:v>29.546761196625923</c:v>
                </c:pt>
                <c:pt idx="42">
                  <c:v>29.546761196625923</c:v>
                </c:pt>
                <c:pt idx="43">
                  <c:v>29.546761196625923</c:v>
                </c:pt>
                <c:pt idx="44">
                  <c:v>29.546761196625923</c:v>
                </c:pt>
                <c:pt idx="45">
                  <c:v>29.546761196625923</c:v>
                </c:pt>
                <c:pt idx="46">
                  <c:v>29.781301779637278</c:v>
                </c:pt>
                <c:pt idx="47">
                  <c:v>29.781301779637278</c:v>
                </c:pt>
                <c:pt idx="48">
                  <c:v>29.781301779637278</c:v>
                </c:pt>
                <c:pt idx="49">
                  <c:v>29.781301779637278</c:v>
                </c:pt>
                <c:pt idx="50">
                  <c:v>29.781301779637278</c:v>
                </c:pt>
                <c:pt idx="51">
                  <c:v>29.781301779637278</c:v>
                </c:pt>
                <c:pt idx="52">
                  <c:v>29.781301779637278</c:v>
                </c:pt>
                <c:pt idx="53">
                  <c:v>29.781301779637278</c:v>
                </c:pt>
                <c:pt idx="54">
                  <c:v>29.781301779637278</c:v>
                </c:pt>
                <c:pt idx="55">
                  <c:v>29.781301779637278</c:v>
                </c:pt>
                <c:pt idx="56">
                  <c:v>29.781301779637278</c:v>
                </c:pt>
                <c:pt idx="57">
                  <c:v>29.781301779637278</c:v>
                </c:pt>
                <c:pt idx="58">
                  <c:v>30.006446879748143</c:v>
                </c:pt>
                <c:pt idx="59">
                  <c:v>30.006446879748143</c:v>
                </c:pt>
                <c:pt idx="60">
                  <c:v>30.006446879748143</c:v>
                </c:pt>
                <c:pt idx="61">
                  <c:v>30.006446879748143</c:v>
                </c:pt>
                <c:pt idx="62">
                  <c:v>30.006446879748143</c:v>
                </c:pt>
                <c:pt idx="63">
                  <c:v>30.006446879748143</c:v>
                </c:pt>
                <c:pt idx="64">
                  <c:v>30.006446879748143</c:v>
                </c:pt>
                <c:pt idx="65">
                  <c:v>30.006446879748143</c:v>
                </c:pt>
                <c:pt idx="66">
                  <c:v>30.006446879748143</c:v>
                </c:pt>
                <c:pt idx="67">
                  <c:v>30.006446879748143</c:v>
                </c:pt>
                <c:pt idx="68">
                  <c:v>30.006446879748143</c:v>
                </c:pt>
                <c:pt idx="69">
                  <c:v>30.006446879748143</c:v>
                </c:pt>
                <c:pt idx="70">
                  <c:v>30.226092568311621</c:v>
                </c:pt>
                <c:pt idx="71">
                  <c:v>30.226092568311621</c:v>
                </c:pt>
                <c:pt idx="72">
                  <c:v>30.226092568311621</c:v>
                </c:pt>
                <c:pt idx="73">
                  <c:v>30.226092568311621</c:v>
                </c:pt>
                <c:pt idx="74">
                  <c:v>30.226092568311621</c:v>
                </c:pt>
                <c:pt idx="75">
                  <c:v>30.226092568311621</c:v>
                </c:pt>
                <c:pt idx="76">
                  <c:v>30.226092568311621</c:v>
                </c:pt>
                <c:pt idx="77">
                  <c:v>30.226092568311621</c:v>
                </c:pt>
                <c:pt idx="78">
                  <c:v>30.226092568311621</c:v>
                </c:pt>
                <c:pt idx="79">
                  <c:v>30.226092568311621</c:v>
                </c:pt>
                <c:pt idx="80">
                  <c:v>30.226092568311621</c:v>
                </c:pt>
                <c:pt idx="81">
                  <c:v>30.226092568311621</c:v>
                </c:pt>
                <c:pt idx="82">
                  <c:v>30.444263012451042</c:v>
                </c:pt>
                <c:pt idx="83">
                  <c:v>30.444263012451042</c:v>
                </c:pt>
                <c:pt idx="84">
                  <c:v>30.444263012451042</c:v>
                </c:pt>
                <c:pt idx="85">
                  <c:v>30.444263012451042</c:v>
                </c:pt>
                <c:pt idx="86">
                  <c:v>30.444263012451042</c:v>
                </c:pt>
                <c:pt idx="87">
                  <c:v>30.444263012451042</c:v>
                </c:pt>
                <c:pt idx="88">
                  <c:v>30.444263012451042</c:v>
                </c:pt>
                <c:pt idx="89">
                  <c:v>30.444263012451042</c:v>
                </c:pt>
                <c:pt idx="90">
                  <c:v>30.444263012451042</c:v>
                </c:pt>
                <c:pt idx="91">
                  <c:v>30.444263012451042</c:v>
                </c:pt>
                <c:pt idx="92">
                  <c:v>30.444263012451042</c:v>
                </c:pt>
                <c:pt idx="93">
                  <c:v>30.444263012451042</c:v>
                </c:pt>
                <c:pt idx="94">
                  <c:v>30.665104185885173</c:v>
                </c:pt>
                <c:pt idx="95">
                  <c:v>30.665104185885173</c:v>
                </c:pt>
                <c:pt idx="96">
                  <c:v>30.665104185885173</c:v>
                </c:pt>
                <c:pt idx="97">
                  <c:v>30.665104185885173</c:v>
                </c:pt>
                <c:pt idx="98">
                  <c:v>30.665104185885173</c:v>
                </c:pt>
                <c:pt idx="99">
                  <c:v>30.665104185885173</c:v>
                </c:pt>
                <c:pt idx="100">
                  <c:v>30.665104185885173</c:v>
                </c:pt>
                <c:pt idx="101">
                  <c:v>30.665104185885173</c:v>
                </c:pt>
                <c:pt idx="102">
                  <c:v>30.665104185885173</c:v>
                </c:pt>
                <c:pt idx="103">
                  <c:v>30.665104185885173</c:v>
                </c:pt>
                <c:pt idx="104">
                  <c:v>30.665104185885173</c:v>
                </c:pt>
                <c:pt idx="105">
                  <c:v>30.665104185885173</c:v>
                </c:pt>
                <c:pt idx="106">
                  <c:v>30.892883021021351</c:v>
                </c:pt>
                <c:pt idx="107">
                  <c:v>30.892883021021351</c:v>
                </c:pt>
                <c:pt idx="108">
                  <c:v>30.892883021021351</c:v>
                </c:pt>
                <c:pt idx="109">
                  <c:v>30.892883021021351</c:v>
                </c:pt>
                <c:pt idx="110">
                  <c:v>30.892883021021351</c:v>
                </c:pt>
                <c:pt idx="111">
                  <c:v>30.892883021021351</c:v>
                </c:pt>
                <c:pt idx="112">
                  <c:v>30.892883021021351</c:v>
                </c:pt>
                <c:pt idx="113">
                  <c:v>30.892883021021351</c:v>
                </c:pt>
                <c:pt idx="114">
                  <c:v>30.892883021021351</c:v>
                </c:pt>
                <c:pt idx="115">
                  <c:v>30.892883021021351</c:v>
                </c:pt>
                <c:pt idx="116">
                  <c:v>30.892883021021351</c:v>
                </c:pt>
                <c:pt idx="117">
                  <c:v>30.892883021021351</c:v>
                </c:pt>
                <c:pt idx="118">
                  <c:v>31.131992297814335</c:v>
                </c:pt>
                <c:pt idx="119">
                  <c:v>31.131992297814335</c:v>
                </c:pt>
                <c:pt idx="120">
                  <c:v>31.131992297814335</c:v>
                </c:pt>
                <c:pt idx="121">
                  <c:v>31.131992297814335</c:v>
                </c:pt>
                <c:pt idx="122">
                  <c:v>31.131992297814335</c:v>
                </c:pt>
                <c:pt idx="123">
                  <c:v>31.131992297814335</c:v>
                </c:pt>
                <c:pt idx="124">
                  <c:v>31.131992297814335</c:v>
                </c:pt>
                <c:pt idx="125">
                  <c:v>31.131992297814335</c:v>
                </c:pt>
                <c:pt idx="126">
                  <c:v>31.131992297814335</c:v>
                </c:pt>
                <c:pt idx="127">
                  <c:v>31.131992297814335</c:v>
                </c:pt>
                <c:pt idx="128">
                  <c:v>31.131992297814335</c:v>
                </c:pt>
                <c:pt idx="129">
                  <c:v>31.131992297814335</c:v>
                </c:pt>
                <c:pt idx="130">
                  <c:v>31.386961566223764</c:v>
                </c:pt>
                <c:pt idx="131">
                  <c:v>31.386961566223764</c:v>
                </c:pt>
                <c:pt idx="132">
                  <c:v>31.386961566223764</c:v>
                </c:pt>
                <c:pt idx="133">
                  <c:v>31.386961566223764</c:v>
                </c:pt>
                <c:pt idx="134">
                  <c:v>31.386961566223764</c:v>
                </c:pt>
                <c:pt idx="135">
                  <c:v>31.386961566223764</c:v>
                </c:pt>
                <c:pt idx="136">
                  <c:v>31.386961566223764</c:v>
                </c:pt>
                <c:pt idx="137">
                  <c:v>31.386961566223764</c:v>
                </c:pt>
                <c:pt idx="138">
                  <c:v>31.386961566223764</c:v>
                </c:pt>
                <c:pt idx="139">
                  <c:v>31.386961566223764</c:v>
                </c:pt>
                <c:pt idx="140">
                  <c:v>31.386961566223764</c:v>
                </c:pt>
                <c:pt idx="141">
                  <c:v>31.386961566223764</c:v>
                </c:pt>
                <c:pt idx="142">
                  <c:v>31.662474422862672</c:v>
                </c:pt>
                <c:pt idx="143">
                  <c:v>31.662474422862672</c:v>
                </c:pt>
                <c:pt idx="144">
                  <c:v>31.662474422862672</c:v>
                </c:pt>
                <c:pt idx="145">
                  <c:v>31.662474422862672</c:v>
                </c:pt>
                <c:pt idx="146">
                  <c:v>31.662474422862672</c:v>
                </c:pt>
                <c:pt idx="147">
                  <c:v>31.662474422862672</c:v>
                </c:pt>
                <c:pt idx="148">
                  <c:v>31.662474422862672</c:v>
                </c:pt>
                <c:pt idx="149">
                  <c:v>31.662474422862672</c:v>
                </c:pt>
                <c:pt idx="150">
                  <c:v>31.662474422862672</c:v>
                </c:pt>
                <c:pt idx="151">
                  <c:v>31.662474422862672</c:v>
                </c:pt>
                <c:pt idx="152">
                  <c:v>31.662474422862672</c:v>
                </c:pt>
                <c:pt idx="153">
                  <c:v>31.662474422862672</c:v>
                </c:pt>
                <c:pt idx="154">
                  <c:v>31.963392510308168</c:v>
                </c:pt>
                <c:pt idx="155">
                  <c:v>31.963392510308168</c:v>
                </c:pt>
                <c:pt idx="156">
                  <c:v>31.963392510308168</c:v>
                </c:pt>
                <c:pt idx="157">
                  <c:v>31.963392510308168</c:v>
                </c:pt>
                <c:pt idx="158">
                  <c:v>31.963392510308168</c:v>
                </c:pt>
                <c:pt idx="159">
                  <c:v>31.963392510308168</c:v>
                </c:pt>
                <c:pt idx="160">
                  <c:v>31.963392510308168</c:v>
                </c:pt>
                <c:pt idx="161">
                  <c:v>31.963392510308168</c:v>
                </c:pt>
                <c:pt idx="162">
                  <c:v>31.963392510308168</c:v>
                </c:pt>
                <c:pt idx="163">
                  <c:v>31.963392510308168</c:v>
                </c:pt>
                <c:pt idx="164">
                  <c:v>31.963392510308168</c:v>
                </c:pt>
                <c:pt idx="165">
                  <c:v>31.963392510308168</c:v>
                </c:pt>
                <c:pt idx="166">
                  <c:v>32.29478668144673</c:v>
                </c:pt>
                <c:pt idx="167">
                  <c:v>32.29478668144673</c:v>
                </c:pt>
                <c:pt idx="168">
                  <c:v>32.29478668144673</c:v>
                </c:pt>
                <c:pt idx="169">
                  <c:v>32.29478668144673</c:v>
                </c:pt>
                <c:pt idx="170">
                  <c:v>32.29478668144673</c:v>
                </c:pt>
                <c:pt idx="171">
                  <c:v>32.29478668144673</c:v>
                </c:pt>
                <c:pt idx="172">
                  <c:v>32.29478668144673</c:v>
                </c:pt>
                <c:pt idx="173">
                  <c:v>32.29478668144673</c:v>
                </c:pt>
                <c:pt idx="174">
                  <c:v>32.29478668144673</c:v>
                </c:pt>
                <c:pt idx="175">
                  <c:v>32.29478668144673</c:v>
                </c:pt>
                <c:pt idx="176">
                  <c:v>32.29478668144673</c:v>
                </c:pt>
                <c:pt idx="177">
                  <c:v>32.29478668144673</c:v>
                </c:pt>
                <c:pt idx="178">
                  <c:v>32.662000094398834</c:v>
                </c:pt>
                <c:pt idx="179">
                  <c:v>32.662000094398834</c:v>
                </c:pt>
                <c:pt idx="180">
                  <c:v>32.662000094398834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D4-4BE9-80A2-708F60FF3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9472"/>
        <c:axId val="1"/>
      </c:lineChart>
      <c:dateAx>
        <c:axId val="2092294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4"/>
        <c:majorTimeUnit val="years"/>
        <c:minorUnit val="2"/>
        <c:minorTimeUnit val="year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1" i="0" u="none" strike="noStrike" baseline="0">
                <a:solidFill>
                  <a:srgbClr val="000000"/>
                </a:solidFill>
                <a:latin typeface="Arial Narrow"/>
                <a:ea typeface="Arial Narrow"/>
                <a:cs typeface="Arial Narrow"/>
              </a:defRPr>
            </a:pPr>
            <a:endParaRPr lang="en-US"/>
          </a:p>
        </c:txPr>
        <c:crossAx val="209229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 Narrow"/>
              <a:ea typeface="Arial Narrow"/>
              <a:cs typeface="Arial Narrow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548640</xdr:colOff>
      <xdr:row>43</xdr:row>
      <xdr:rowOff>30480</xdr:rowOff>
    </xdr:from>
    <xdr:to>
      <xdr:col>15</xdr:col>
      <xdr:colOff>373380</xdr:colOff>
      <xdr:row>44</xdr:row>
      <xdr:rowOff>106680</xdr:rowOff>
    </xdr:to>
    <xdr:sp macro="" textlink="">
      <xdr:nvSpPr>
        <xdr:cNvPr id="18435" name="Text Box 3"/>
        <xdr:cNvSpPr txBox="1">
          <a:spLocks noChangeArrowheads="1"/>
        </xdr:cNvSpPr>
      </xdr:nvSpPr>
      <xdr:spPr bwMode="auto">
        <a:xfrm>
          <a:off x="9098280" y="7368540"/>
          <a:ext cx="80772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6576" rIns="36576" bIns="0" anchor="t" upright="1"/>
        <a:lstStyle/>
        <a:p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 Narrow"/>
            </a:rPr>
            <a:t>Project</a:t>
          </a:r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12</xdr:col>
      <xdr:colOff>838200</xdr:colOff>
      <xdr:row>39</xdr:row>
      <xdr:rowOff>0</xdr:rowOff>
    </xdr:to>
    <xdr:sp macro="" textlink="">
      <xdr:nvSpPr>
        <xdr:cNvPr id="18437" name="Line 5"/>
        <xdr:cNvSpPr>
          <a:spLocks noChangeShapeType="1"/>
        </xdr:cNvSpPr>
      </xdr:nvSpPr>
      <xdr:spPr bwMode="auto">
        <a:xfrm>
          <a:off x="6149340" y="6659880"/>
          <a:ext cx="23926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45</xdr:row>
      <xdr:rowOff>0</xdr:rowOff>
    </xdr:from>
    <xdr:to>
      <xdr:col>12</xdr:col>
      <xdr:colOff>838200</xdr:colOff>
      <xdr:row>45</xdr:row>
      <xdr:rowOff>0</xdr:rowOff>
    </xdr:to>
    <xdr:sp macro="" textlink="">
      <xdr:nvSpPr>
        <xdr:cNvPr id="18439" name="Line 7"/>
        <xdr:cNvSpPr>
          <a:spLocks noChangeShapeType="1"/>
        </xdr:cNvSpPr>
      </xdr:nvSpPr>
      <xdr:spPr bwMode="auto">
        <a:xfrm>
          <a:off x="6149340" y="7688580"/>
          <a:ext cx="23926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49</xdr:row>
      <xdr:rowOff>0</xdr:rowOff>
    </xdr:from>
    <xdr:to>
      <xdr:col>12</xdr:col>
      <xdr:colOff>838200</xdr:colOff>
      <xdr:row>49</xdr:row>
      <xdr:rowOff>0</xdr:rowOff>
    </xdr:to>
    <xdr:sp macro="" textlink="">
      <xdr:nvSpPr>
        <xdr:cNvPr id="18440" name="Line 8"/>
        <xdr:cNvSpPr>
          <a:spLocks noChangeShapeType="1"/>
        </xdr:cNvSpPr>
      </xdr:nvSpPr>
      <xdr:spPr bwMode="auto">
        <a:xfrm flipH="1">
          <a:off x="6149340" y="8366760"/>
          <a:ext cx="23926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7</xdr:col>
      <xdr:colOff>114300</xdr:colOff>
      <xdr:row>45</xdr:row>
      <xdr:rowOff>144780</xdr:rowOff>
    </xdr:from>
    <xdr:ext cx="1249680" cy="381000"/>
    <xdr:sp macro="" textlink="">
      <xdr:nvSpPr>
        <xdr:cNvPr id="18441" name="Text Box 9"/>
        <xdr:cNvSpPr txBox="1">
          <a:spLocks noChangeArrowheads="1"/>
        </xdr:cNvSpPr>
      </xdr:nvSpPr>
      <xdr:spPr bwMode="auto">
        <a:xfrm>
          <a:off x="4686300" y="7833360"/>
          <a:ext cx="124968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2004" rIns="18288" bIns="0" anchor="t" upright="1">
          <a:spAutoFit/>
        </a:bodyPr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 Narrow"/>
            </a:rPr>
            <a:t>EPMI</a:t>
          </a:r>
        </a:p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 Narrow"/>
            </a:rPr>
            <a:t>Financial Sell Contract</a:t>
          </a:r>
        </a:p>
      </xdr:txBody>
    </xdr:sp>
    <xdr:clientData/>
  </xdr:oneCellAnchor>
  <xdr:oneCellAnchor>
    <xdr:from>
      <xdr:col>7</xdr:col>
      <xdr:colOff>106680</xdr:colOff>
      <xdr:row>39</xdr:row>
      <xdr:rowOff>144780</xdr:rowOff>
    </xdr:from>
    <xdr:ext cx="1264920" cy="381000"/>
    <xdr:sp macro="" textlink="">
      <xdr:nvSpPr>
        <xdr:cNvPr id="18442" name="Text Box 10"/>
        <xdr:cNvSpPr txBox="1">
          <a:spLocks noChangeArrowheads="1"/>
        </xdr:cNvSpPr>
      </xdr:nvSpPr>
      <xdr:spPr bwMode="auto">
        <a:xfrm>
          <a:off x="4678680" y="6804660"/>
          <a:ext cx="126492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32004" rIns="18288" bIns="0" anchor="t" upright="1">
          <a:spAutoFit/>
        </a:bodyPr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 Narrow"/>
            </a:rPr>
            <a:t>EPMI</a:t>
          </a:r>
        </a:p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 Narrow"/>
            </a:rPr>
            <a:t>Financial Buy Contract</a:t>
          </a:r>
        </a:p>
      </xdr:txBody>
    </xdr:sp>
    <xdr:clientData/>
  </xdr:oneCellAnchor>
  <xdr:oneCellAnchor>
    <xdr:from>
      <xdr:col>12</xdr:col>
      <xdr:colOff>358140</xdr:colOff>
      <xdr:row>34</xdr:row>
      <xdr:rowOff>137160</xdr:rowOff>
    </xdr:from>
    <xdr:ext cx="2359300" cy="293029"/>
    <xdr:sp macro="" textlink="">
      <xdr:nvSpPr>
        <xdr:cNvPr id="18443" name="Text Box 11"/>
        <xdr:cNvSpPr txBox="1">
          <a:spLocks noChangeArrowheads="1"/>
        </xdr:cNvSpPr>
      </xdr:nvSpPr>
      <xdr:spPr bwMode="auto">
        <a:xfrm>
          <a:off x="8061960" y="5943600"/>
          <a:ext cx="2359300" cy="293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7432" rIns="0" bIns="0" anchor="t" upright="1">
          <a:spAutoFit/>
        </a:bodyPr>
        <a:lstStyle/>
        <a:p>
          <a:pPr algn="l" rtl="0">
            <a:lnSpc>
              <a:spcPts val="900"/>
            </a:lnSpc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This is the PV value of the fixed payment </a:t>
          </a:r>
        </a:p>
        <a:p>
          <a:pPr algn="l" rtl="0">
            <a:lnSpc>
              <a:spcPts val="900"/>
            </a:lnSpc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which includes both principal and interest.</a:t>
          </a:r>
        </a:p>
      </xdr:txBody>
    </xdr:sp>
    <xdr:clientData/>
  </xdr:oneCellAnchor>
  <xdr:twoCellAnchor>
    <xdr:from>
      <xdr:col>11</xdr:col>
      <xdr:colOff>441960</xdr:colOff>
      <xdr:row>35</xdr:row>
      <xdr:rowOff>129540</xdr:rowOff>
    </xdr:from>
    <xdr:to>
      <xdr:col>12</xdr:col>
      <xdr:colOff>396240</xdr:colOff>
      <xdr:row>38</xdr:row>
      <xdr:rowOff>0</xdr:rowOff>
    </xdr:to>
    <xdr:sp macro="" textlink="">
      <xdr:nvSpPr>
        <xdr:cNvPr id="18446" name="Line 14"/>
        <xdr:cNvSpPr>
          <a:spLocks noChangeShapeType="1"/>
        </xdr:cNvSpPr>
      </xdr:nvSpPr>
      <xdr:spPr bwMode="auto">
        <a:xfrm flipH="1">
          <a:off x="7299960" y="6103620"/>
          <a:ext cx="800100" cy="3810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7</xdr:col>
      <xdr:colOff>38100</xdr:colOff>
      <xdr:row>33</xdr:row>
      <xdr:rowOff>45720</xdr:rowOff>
    </xdr:from>
    <xdr:ext cx="3064878" cy="425694"/>
    <xdr:sp macro="" textlink="">
      <xdr:nvSpPr>
        <xdr:cNvPr id="18447" name="Text Box 15"/>
        <xdr:cNvSpPr txBox="1">
          <a:spLocks noChangeArrowheads="1"/>
        </xdr:cNvSpPr>
      </xdr:nvSpPr>
      <xdr:spPr bwMode="auto">
        <a:xfrm>
          <a:off x="4610100" y="5684520"/>
          <a:ext cx="3064878" cy="4256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7432" rIns="0" bIns="0" anchor="t" upright="1">
          <a:spAutoFit/>
        </a:bodyPr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This is the PV value of the floating payment, calculated </a:t>
          </a:r>
        </a:p>
        <a:p>
          <a:pPr algn="l" rtl="0">
            <a:lnSpc>
              <a:spcPts val="900"/>
            </a:lnSpc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as a monthly heat rate spread option.  The strike price</a:t>
          </a:r>
        </a:p>
        <a:p>
          <a:pPr algn="l" rtl="0">
            <a:lnSpc>
              <a:spcPts val="900"/>
            </a:lnSpc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is equal to the fuel curve plus VOM.</a:t>
          </a:r>
        </a:p>
      </xdr:txBody>
    </xdr:sp>
    <xdr:clientData/>
  </xdr:oneCellAnchor>
  <xdr:twoCellAnchor>
    <xdr:from>
      <xdr:col>9</xdr:col>
      <xdr:colOff>274320</xdr:colOff>
      <xdr:row>36</xdr:row>
      <xdr:rowOff>22860</xdr:rowOff>
    </xdr:from>
    <xdr:to>
      <xdr:col>11</xdr:col>
      <xdr:colOff>160020</xdr:colOff>
      <xdr:row>41</xdr:row>
      <xdr:rowOff>137160</xdr:rowOff>
    </xdr:to>
    <xdr:sp macro="" textlink="">
      <xdr:nvSpPr>
        <xdr:cNvPr id="18449" name="Line 17"/>
        <xdr:cNvSpPr>
          <a:spLocks noChangeShapeType="1"/>
        </xdr:cNvSpPr>
      </xdr:nvSpPr>
      <xdr:spPr bwMode="auto">
        <a:xfrm>
          <a:off x="6423660" y="6164580"/>
          <a:ext cx="594360" cy="9677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13</xdr:col>
      <xdr:colOff>0</xdr:colOff>
      <xdr:row>43</xdr:row>
      <xdr:rowOff>0</xdr:rowOff>
    </xdr:to>
    <xdr:sp macro="" textlink="">
      <xdr:nvSpPr>
        <xdr:cNvPr id="18450" name="Line 18"/>
        <xdr:cNvSpPr>
          <a:spLocks noChangeShapeType="1"/>
        </xdr:cNvSpPr>
      </xdr:nvSpPr>
      <xdr:spPr bwMode="auto">
        <a:xfrm flipH="1">
          <a:off x="6149340" y="7338060"/>
          <a:ext cx="24003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</xdr:row>
      <xdr:rowOff>0</xdr:rowOff>
    </xdr:from>
    <xdr:to>
      <xdr:col>10</xdr:col>
      <xdr:colOff>0</xdr:colOff>
      <xdr:row>34</xdr:row>
      <xdr:rowOff>15240</xdr:rowOff>
    </xdr:to>
    <xdr:graphicFrame macro="">
      <xdr:nvGraphicFramePr>
        <xdr:cNvPr id="1024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35</xdr:row>
      <xdr:rowOff>190500</xdr:rowOff>
    </xdr:from>
    <xdr:to>
      <xdr:col>10</xdr:col>
      <xdr:colOff>0</xdr:colOff>
      <xdr:row>62</xdr:row>
      <xdr:rowOff>7620</xdr:rowOff>
    </xdr:to>
    <xdr:graphicFrame macro="">
      <xdr:nvGraphicFramePr>
        <xdr:cNvPr id="1024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64</xdr:row>
      <xdr:rowOff>15240</xdr:rowOff>
    </xdr:from>
    <xdr:to>
      <xdr:col>10</xdr:col>
      <xdr:colOff>0</xdr:colOff>
      <xdr:row>90</xdr:row>
      <xdr:rowOff>7620</xdr:rowOff>
    </xdr:to>
    <xdr:graphicFrame macro="">
      <xdr:nvGraphicFramePr>
        <xdr:cNvPr id="1024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92</xdr:row>
      <xdr:rowOff>0</xdr:rowOff>
    </xdr:from>
    <xdr:to>
      <xdr:col>10</xdr:col>
      <xdr:colOff>0</xdr:colOff>
      <xdr:row>118</xdr:row>
      <xdr:rowOff>7620</xdr:rowOff>
    </xdr:to>
    <xdr:graphicFrame macro="">
      <xdr:nvGraphicFramePr>
        <xdr:cNvPr id="1024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</xdr:row>
      <xdr:rowOff>0</xdr:rowOff>
    </xdr:from>
    <xdr:to>
      <xdr:col>10</xdr:col>
      <xdr:colOff>0</xdr:colOff>
      <xdr:row>34</xdr:row>
      <xdr:rowOff>15240</xdr:rowOff>
    </xdr:to>
    <xdr:graphicFrame macro="">
      <xdr:nvGraphicFramePr>
        <xdr:cNvPr id="112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35</xdr:row>
      <xdr:rowOff>190500</xdr:rowOff>
    </xdr:from>
    <xdr:to>
      <xdr:col>10</xdr:col>
      <xdr:colOff>0</xdr:colOff>
      <xdr:row>62</xdr:row>
      <xdr:rowOff>7620</xdr:rowOff>
    </xdr:to>
    <xdr:graphicFrame macro="">
      <xdr:nvGraphicFramePr>
        <xdr:cNvPr id="1126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64</xdr:row>
      <xdr:rowOff>15240</xdr:rowOff>
    </xdr:from>
    <xdr:to>
      <xdr:col>10</xdr:col>
      <xdr:colOff>0</xdr:colOff>
      <xdr:row>90</xdr:row>
      <xdr:rowOff>7620</xdr:rowOff>
    </xdr:to>
    <xdr:graphicFrame macro="">
      <xdr:nvGraphicFramePr>
        <xdr:cNvPr id="1126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92</xdr:row>
      <xdr:rowOff>0</xdr:rowOff>
    </xdr:from>
    <xdr:to>
      <xdr:col>10</xdr:col>
      <xdr:colOff>0</xdr:colOff>
      <xdr:row>118</xdr:row>
      <xdr:rowOff>7620</xdr:rowOff>
    </xdr:to>
    <xdr:graphicFrame macro="">
      <xdr:nvGraphicFramePr>
        <xdr:cNvPr id="1126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518160</xdr:colOff>
      <xdr:row>2</xdr:row>
      <xdr:rowOff>0</xdr:rowOff>
    </xdr:from>
    <xdr:to>
      <xdr:col>65</xdr:col>
      <xdr:colOff>411480</xdr:colOff>
      <xdr:row>6</xdr:row>
      <xdr:rowOff>15240</xdr:rowOff>
    </xdr:to>
    <xdr:sp macro="" textlink="">
      <xdr:nvSpPr>
        <xdr:cNvPr id="3554" name="Line 482"/>
        <xdr:cNvSpPr>
          <a:spLocks noChangeShapeType="1"/>
        </xdr:cNvSpPr>
      </xdr:nvSpPr>
      <xdr:spPr bwMode="auto">
        <a:xfrm flipH="1">
          <a:off x="36758880" y="358140"/>
          <a:ext cx="685800" cy="723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redit/CHRISS/Accounts/Kaiser/EDI/Credres99_7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15"/>
      <sheetName val="Volume Detail"/>
      <sheetName val="Details"/>
      <sheetName val="MAIN"/>
      <sheetName val="Instructions"/>
      <sheetName val="InputPrice"/>
      <sheetName val="InputPosition"/>
      <sheetName val="VolSelection"/>
      <sheetName val="InputInterestRate"/>
      <sheetName val="CorrelationMatrix"/>
      <sheetName val="DefaultProbs"/>
      <sheetName val="Simulations"/>
      <sheetName val="ScreenMacros"/>
      <sheetName val="Swaptionvols"/>
    </sheetNames>
    <sheetDataSet>
      <sheetData sheetId="0"/>
      <sheetData sheetId="1"/>
      <sheetData sheetId="2">
        <row r="5">
          <cell r="BI5">
            <v>36312</v>
          </cell>
          <cell r="BJ5">
            <v>975036.55819650367</v>
          </cell>
          <cell r="BK5">
            <v>1098162.8274325021</v>
          </cell>
          <cell r="BL5">
            <v>1223735.0506431721</v>
          </cell>
          <cell r="BN5">
            <v>36312</v>
          </cell>
          <cell r="BO5">
            <v>20.509663333333332</v>
          </cell>
          <cell r="BP5">
            <v>17.766613333333332</v>
          </cell>
          <cell r="BQ5">
            <v>22.863711781813635</v>
          </cell>
          <cell r="BR5">
            <v>19.547343462848279</v>
          </cell>
          <cell r="BT5">
            <v>25.657942338908043</v>
          </cell>
          <cell r="BU5">
            <v>21.615605363655781</v>
          </cell>
        </row>
        <row r="6">
          <cell r="BI6">
            <v>36342</v>
          </cell>
          <cell r="BJ6">
            <v>975036.55819650367</v>
          </cell>
          <cell r="BK6">
            <v>1360968.2399776466</v>
          </cell>
          <cell r="BL6">
            <v>1771633.7627585195</v>
          </cell>
          <cell r="BN6">
            <v>36342</v>
          </cell>
          <cell r="BO6">
            <v>31.460445161290316</v>
          </cell>
          <cell r="BP6">
            <v>25.505808064516124</v>
          </cell>
          <cell r="BQ6">
            <v>34.128081842925639</v>
          </cell>
          <cell r="BR6">
            <v>29.341519187575418</v>
          </cell>
          <cell r="BT6">
            <v>37.155906868213215</v>
          </cell>
          <cell r="BU6">
            <v>34.144112033200102</v>
          </cell>
        </row>
        <row r="7">
          <cell r="BI7">
            <v>36373</v>
          </cell>
          <cell r="BJ7">
            <v>975036.55819650367</v>
          </cell>
          <cell r="BK7">
            <v>1510653.818501683</v>
          </cell>
          <cell r="BL7">
            <v>2094476.4676592276</v>
          </cell>
          <cell r="BN7">
            <v>36373</v>
          </cell>
          <cell r="BO7">
            <v>38.310170967741932</v>
          </cell>
          <cell r="BP7">
            <v>35.609687096774188</v>
          </cell>
          <cell r="BQ7">
            <v>42.859169562087892</v>
          </cell>
          <cell r="BR7">
            <v>42.229699853197651</v>
          </cell>
          <cell r="BT7">
            <v>48.290884730082091</v>
          </cell>
          <cell r="BU7">
            <v>50.975395032540348</v>
          </cell>
        </row>
        <row r="8">
          <cell r="BI8">
            <v>36404</v>
          </cell>
          <cell r="BJ8">
            <v>975036.55819650367</v>
          </cell>
          <cell r="BK8">
            <v>1626589.7763410117</v>
          </cell>
          <cell r="BL8">
            <v>2350134.4682916552</v>
          </cell>
          <cell r="BN8">
            <v>36404</v>
          </cell>
          <cell r="BO8">
            <v>34.077733333333327</v>
          </cell>
          <cell r="BP8">
            <v>35.868441666666662</v>
          </cell>
          <cell r="BQ8">
            <v>38.578402749227479</v>
          </cell>
          <cell r="BR8">
            <v>40.605611149915262</v>
          </cell>
          <cell r="BT8">
            <v>44.060738545404007</v>
          </cell>
          <cell r="BU8">
            <v>46.376031376482644</v>
          </cell>
        </row>
        <row r="9">
          <cell r="BI9">
            <v>36434</v>
          </cell>
          <cell r="BJ9">
            <v>975036.55819650367</v>
          </cell>
          <cell r="BK9">
            <v>1721644.9428000543</v>
          </cell>
          <cell r="BL9">
            <v>2563507.4853900392</v>
          </cell>
          <cell r="BN9">
            <v>36434</v>
          </cell>
          <cell r="BO9">
            <v>23.966481451612903</v>
          </cell>
          <cell r="BP9">
            <v>25.979719354838707</v>
          </cell>
          <cell r="BQ9">
            <v>27.426158573218274</v>
          </cell>
          <cell r="BR9">
            <v>29.730017072053879</v>
          </cell>
          <cell r="BT9">
            <v>31.718839284477287</v>
          </cell>
          <cell r="BU9">
            <v>34.383292538608998</v>
          </cell>
        </row>
        <row r="10">
          <cell r="BI10">
            <v>36465</v>
          </cell>
          <cell r="BJ10">
            <v>975036.55819650367</v>
          </cell>
          <cell r="BK10">
            <v>1808374.7027158923</v>
          </cell>
          <cell r="BL10">
            <v>2761222.9887961298</v>
          </cell>
          <cell r="BN10">
            <v>36465</v>
          </cell>
          <cell r="BO10">
            <v>21.968045833333331</v>
          </cell>
          <cell r="BP10">
            <v>29.323858333333334</v>
          </cell>
          <cell r="BQ10">
            <v>25.283336589292457</v>
          </cell>
          <cell r="BR10">
            <v>33.749245880278544</v>
          </cell>
          <cell r="BT10">
            <v>29.43762546991119</v>
          </cell>
          <cell r="BU10">
            <v>39.294562907347093</v>
          </cell>
        </row>
        <row r="11">
          <cell r="BI11">
            <v>36495</v>
          </cell>
          <cell r="BJ11">
            <v>975036.55819650367</v>
          </cell>
          <cell r="BK11">
            <v>1884302.9752778895</v>
          </cell>
          <cell r="BL11">
            <v>2936741.4881186746</v>
          </cell>
          <cell r="BN11">
            <v>36495</v>
          </cell>
          <cell r="BO11">
            <v>23.151037903225806</v>
          </cell>
          <cell r="BP11">
            <v>30.194759677419356</v>
          </cell>
          <cell r="BQ11">
            <v>26.738499548617142</v>
          </cell>
          <cell r="BR11">
            <v>34.873709393944047</v>
          </cell>
          <cell r="BT11">
            <v>31.261283538647287</v>
          </cell>
          <cell r="BU11">
            <v>40.772554025562556</v>
          </cell>
        </row>
        <row r="12">
          <cell r="BI12">
            <v>36526</v>
          </cell>
          <cell r="BJ12">
            <v>975036.55819650367</v>
          </cell>
          <cell r="BK12">
            <v>1956455.4864329062</v>
          </cell>
          <cell r="BL12">
            <v>3105674.5028813872</v>
          </cell>
          <cell r="BN12">
            <v>36526</v>
          </cell>
          <cell r="BO12">
            <v>21.336875806451612</v>
          </cell>
          <cell r="BP12">
            <v>28.47067419354839</v>
          </cell>
          <cell r="BQ12">
            <v>24.766286911317</v>
          </cell>
          <cell r="BR12">
            <v>33.046678999877003</v>
          </cell>
          <cell r="BT12">
            <v>29.127548846315438</v>
          </cell>
          <cell r="BU12">
            <v>38.866090836474015</v>
          </cell>
        </row>
        <row r="13">
          <cell r="BI13">
            <v>36557</v>
          </cell>
          <cell r="BJ13">
            <v>975036.55819650367</v>
          </cell>
          <cell r="BK13">
            <v>2023506.6354934331</v>
          </cell>
          <cell r="BL13">
            <v>3264571.2203702964</v>
          </cell>
          <cell r="BN13">
            <v>36557</v>
          </cell>
          <cell r="BO13">
            <v>20.133046551724135</v>
          </cell>
          <cell r="BP13">
            <v>24.449055172413793</v>
          </cell>
          <cell r="BQ13">
            <v>23.4742053618257</v>
          </cell>
          <cell r="BR13">
            <v>28.506472706223349</v>
          </cell>
          <cell r="BT13">
            <v>27.75687429707002</v>
          </cell>
          <cell r="BU13">
            <v>33.707235979380549</v>
          </cell>
        </row>
        <row r="14">
          <cell r="AD14">
            <v>36586</v>
          </cell>
          <cell r="AE14">
            <v>19.423949999999998</v>
          </cell>
          <cell r="AF14">
            <v>20.357022580645161</v>
          </cell>
          <cell r="AG14">
            <v>28.75</v>
          </cell>
          <cell r="BI14">
            <v>36586</v>
          </cell>
          <cell r="BJ14">
            <v>975036.55819650367</v>
          </cell>
          <cell r="BK14">
            <v>2082435.5557876416</v>
          </cell>
          <cell r="BL14">
            <v>3405764.4941461962</v>
          </cell>
          <cell r="BN14">
            <v>36586</v>
          </cell>
          <cell r="BO14">
            <v>19.423949999999998</v>
          </cell>
          <cell r="BP14">
            <v>20.357022580645161</v>
          </cell>
          <cell r="BQ14">
            <v>22.722151327546893</v>
          </cell>
          <cell r="BR14">
            <v>23.813660334571935</v>
          </cell>
          <cell r="BT14">
            <v>26.974393611184855</v>
          </cell>
          <cell r="BU14">
            <v>28.270168520929097</v>
          </cell>
        </row>
        <row r="15">
          <cell r="AD15">
            <v>36617</v>
          </cell>
          <cell r="AE15">
            <v>19.144816666666664</v>
          </cell>
          <cell r="AF15">
            <v>19.113316666666666</v>
          </cell>
          <cell r="AG15">
            <v>28.75</v>
          </cell>
          <cell r="BI15">
            <v>36617</v>
          </cell>
          <cell r="BJ15">
            <v>981165.04535997845</v>
          </cell>
          <cell r="BK15">
            <v>2144901.0197993461</v>
          </cell>
          <cell r="BL15">
            <v>3548698.200134797</v>
          </cell>
          <cell r="BN15">
            <v>36617</v>
          </cell>
          <cell r="BO15">
            <v>19.144816666666664</v>
          </cell>
          <cell r="BP15">
            <v>19.113316666666666</v>
          </cell>
          <cell r="BQ15">
            <v>22.55660657187471</v>
          </cell>
          <cell r="BR15">
            <v>22.519492969828516</v>
          </cell>
          <cell r="BT15">
            <v>27.011617268984871</v>
          </cell>
          <cell r="BU15">
            <v>26.967173597426793</v>
          </cell>
        </row>
        <row r="16">
          <cell r="AD16">
            <v>36647</v>
          </cell>
          <cell r="AE16">
            <v>18.087840322580643</v>
          </cell>
          <cell r="AF16">
            <v>15.199251612903224</v>
          </cell>
          <cell r="AG16">
            <v>28.75</v>
          </cell>
          <cell r="BI16">
            <v>36647</v>
          </cell>
          <cell r="BJ16">
            <v>988172.4916353561</v>
          </cell>
          <cell r="BK16">
            <v>2203462.7914204672</v>
          </cell>
          <cell r="BL16">
            <v>3682173.1577390432</v>
          </cell>
          <cell r="BN16">
            <v>36647</v>
          </cell>
          <cell r="BO16">
            <v>18.087840322580643</v>
          </cell>
          <cell r="BP16">
            <v>15.199251612903224</v>
          </cell>
          <cell r="BQ16">
            <v>21.451310970654319</v>
          </cell>
          <cell r="BR16">
            <v>18.025583323100051</v>
          </cell>
          <cell r="BT16">
            <v>25.895108719153527</v>
          </cell>
          <cell r="BU16">
            <v>21.75971624840972</v>
          </cell>
        </row>
        <row r="17">
          <cell r="AD17">
            <v>36678</v>
          </cell>
          <cell r="AE17">
            <v>22.019263333333331</v>
          </cell>
          <cell r="AF17">
            <v>16.366246666666665</v>
          </cell>
          <cell r="AG17">
            <v>28.75</v>
          </cell>
          <cell r="BI17">
            <v>36678</v>
          </cell>
          <cell r="BJ17">
            <v>1007100.4256436136</v>
          </cell>
          <cell r="BK17">
            <v>2270384.7520813085</v>
          </cell>
          <cell r="BL17">
            <v>3820376.9800996687</v>
          </cell>
          <cell r="BN17">
            <v>36678</v>
          </cell>
          <cell r="BO17">
            <v>22.019263333333331</v>
          </cell>
          <cell r="BP17">
            <v>16.366246666666665</v>
          </cell>
          <cell r="BQ17">
            <v>26.282067443140924</v>
          </cell>
          <cell r="BR17">
            <v>19.534658910830064</v>
          </cell>
          <cell r="BT17">
            <v>31.979890031624066</v>
          </cell>
          <cell r="BU17">
            <v>23.769676610302916</v>
          </cell>
        </row>
        <row r="18">
          <cell r="AD18">
            <v>36708</v>
          </cell>
          <cell r="AE18">
            <v>33.711875806451616</v>
          </cell>
          <cell r="AF18">
            <v>28.131964516129027</v>
          </cell>
          <cell r="AG18">
            <v>28.75</v>
          </cell>
          <cell r="BI18">
            <v>36708</v>
          </cell>
          <cell r="BJ18">
            <v>1030199.3556076996</v>
          </cell>
          <cell r="BK18">
            <v>2333629.8178060353</v>
          </cell>
          <cell r="BL18">
            <v>3944855.8840860818</v>
          </cell>
          <cell r="BN18">
            <v>36708</v>
          </cell>
          <cell r="BO18">
            <v>33.711875806451616</v>
          </cell>
          <cell r="BP18">
            <v>28.131964516129027</v>
          </cell>
          <cell r="BQ18">
            <v>40.485048628542337</v>
          </cell>
          <cell r="BR18">
            <v>33.784057522956033</v>
          </cell>
          <cell r="BT18">
            <v>49.639915829994671</v>
          </cell>
          <cell r="BU18">
            <v>41.423632393834112</v>
          </cell>
        </row>
        <row r="19">
          <cell r="AD19">
            <v>36739</v>
          </cell>
          <cell r="AE19">
            <v>42.019272580645158</v>
          </cell>
          <cell r="AF19">
            <v>41.706348387096767</v>
          </cell>
          <cell r="AG19">
            <v>28.75</v>
          </cell>
          <cell r="BI19">
            <v>36739</v>
          </cell>
          <cell r="BJ19">
            <v>1022076.1404552227</v>
          </cell>
          <cell r="BK19">
            <v>2357855.4071580032</v>
          </cell>
          <cell r="BL19">
            <v>4020513.7098002927</v>
          </cell>
          <cell r="BN19">
            <v>36739</v>
          </cell>
          <cell r="BO19">
            <v>42.019272580645158</v>
          </cell>
          <cell r="BP19">
            <v>41.706348387096767</v>
          </cell>
          <cell r="BQ19">
            <v>50.747570281331519</v>
          </cell>
          <cell r="BR19">
            <v>50.369645069172073</v>
          </cell>
          <cell r="BT19">
            <v>62.668472424711773</v>
          </cell>
          <cell r="BU19">
            <v>62.20177036182443</v>
          </cell>
        </row>
        <row r="20">
          <cell r="AD20">
            <v>36770</v>
          </cell>
          <cell r="AE20">
            <v>35.654608333333336</v>
          </cell>
          <cell r="AF20">
            <v>39.161316666666664</v>
          </cell>
          <cell r="AG20">
            <v>28.75</v>
          </cell>
          <cell r="BI20">
            <v>36770</v>
          </cell>
          <cell r="BJ20">
            <v>982064.27999464981</v>
          </cell>
          <cell r="BK20">
            <v>2340629.1995037012</v>
          </cell>
          <cell r="BL20">
            <v>4041918.4342556596</v>
          </cell>
          <cell r="BN20">
            <v>36770</v>
          </cell>
          <cell r="BO20">
            <v>35.654608333333336</v>
          </cell>
          <cell r="BP20">
            <v>39.161316666666664</v>
          </cell>
          <cell r="BQ20">
            <v>43.30248892180272</v>
          </cell>
          <cell r="BR20">
            <v>47.561382956944783</v>
          </cell>
          <cell r="BT20">
            <v>53.85686917792615</v>
          </cell>
          <cell r="BU20">
            <v>59.153809483309111</v>
          </cell>
        </row>
        <row r="21">
          <cell r="AD21">
            <v>36800</v>
          </cell>
          <cell r="AE21">
            <v>23.363110483870965</v>
          </cell>
          <cell r="AF21">
            <v>25.851578225806449</v>
          </cell>
          <cell r="AG21">
            <v>28.75</v>
          </cell>
          <cell r="BI21">
            <v>36800</v>
          </cell>
          <cell r="BJ21">
            <v>953468.92031057179</v>
          </cell>
          <cell r="BK21">
            <v>2333371.1841321904</v>
          </cell>
          <cell r="BL21">
            <v>4071110.1195396855</v>
          </cell>
          <cell r="BN21">
            <v>36800</v>
          </cell>
          <cell r="BO21">
            <v>23.363110483870965</v>
          </cell>
          <cell r="BP21">
            <v>25.851578225806449</v>
          </cell>
          <cell r="BQ21">
            <v>28.522433550866229</v>
          </cell>
          <cell r="BR21">
            <v>31.560434670701234</v>
          </cell>
          <cell r="BT21">
            <v>35.712154596830764</v>
          </cell>
          <cell r="BU21">
            <v>39.515952244861317</v>
          </cell>
        </row>
        <row r="22">
          <cell r="AD22">
            <v>36831</v>
          </cell>
          <cell r="AE22">
            <v>22.597004166666665</v>
          </cell>
          <cell r="AF22">
            <v>29.525962499999999</v>
          </cell>
          <cell r="AG22">
            <v>28.75</v>
          </cell>
          <cell r="BI22">
            <v>36831</v>
          </cell>
          <cell r="BJ22">
            <v>958759.81041801535</v>
          </cell>
          <cell r="BK22">
            <v>2365833.1923474167</v>
          </cell>
          <cell r="BL22">
            <v>4148457.7155260835</v>
          </cell>
          <cell r="BN22">
            <v>36831</v>
          </cell>
          <cell r="BO22">
            <v>22.597004166666665</v>
          </cell>
          <cell r="BP22">
            <v>29.525962499999999</v>
          </cell>
          <cell r="BQ22">
            <v>27.730192346383017</v>
          </cell>
          <cell r="BR22">
            <v>36.233149018260733</v>
          </cell>
          <cell r="BT22">
            <v>34.953637970809176</v>
          </cell>
          <cell r="BU22">
            <v>45.67153222404022</v>
          </cell>
        </row>
        <row r="23">
          <cell r="AD23">
            <v>36861</v>
          </cell>
          <cell r="AE23">
            <v>24.003246774193549</v>
          </cell>
          <cell r="AF23">
            <v>30.461738709677419</v>
          </cell>
          <cell r="AG23">
            <v>28.75</v>
          </cell>
          <cell r="BI23">
            <v>36861</v>
          </cell>
          <cell r="BJ23">
            <v>958202.67783046141</v>
          </cell>
          <cell r="BK23">
            <v>2388313.9791247658</v>
          </cell>
          <cell r="BL23">
            <v>4209992.1870928798</v>
          </cell>
          <cell r="BN23">
            <v>36861</v>
          </cell>
          <cell r="BO23">
            <v>24.003246774193549</v>
          </cell>
          <cell r="BP23">
            <v>30.461738709677419</v>
          </cell>
          <cell r="BQ23">
            <v>27.962269122091922</v>
          </cell>
          <cell r="BR23">
            <v>35.486005028395283</v>
          </cell>
          <cell r="BT23">
            <v>33.029125858631978</v>
          </cell>
          <cell r="BU23">
            <v>41.916187888232074</v>
          </cell>
        </row>
        <row r="24">
          <cell r="AD24">
            <v>36892</v>
          </cell>
          <cell r="AE24">
            <v>22.541704838709677</v>
          </cell>
          <cell r="AF24">
            <v>28.233646774193545</v>
          </cell>
          <cell r="AG24">
            <v>29.034623041213962</v>
          </cell>
          <cell r="BI24">
            <v>36892</v>
          </cell>
          <cell r="BJ24">
            <v>954736.31341589056</v>
          </cell>
          <cell r="BK24">
            <v>2411188.7071371693</v>
          </cell>
          <cell r="BL24">
            <v>4278751.0430811029</v>
          </cell>
          <cell r="BN24">
            <v>36892</v>
          </cell>
          <cell r="BO24">
            <v>22.541704838709677</v>
          </cell>
          <cell r="BP24">
            <v>28.233646774193545</v>
          </cell>
          <cell r="BQ24">
            <v>26.347382892953082</v>
          </cell>
          <cell r="BR24">
            <v>33.000285796779515</v>
          </cell>
          <cell r="BT24">
            <v>31.246690724418492</v>
          </cell>
          <cell r="BU24">
            <v>39.136703948883778</v>
          </cell>
        </row>
        <row r="25">
          <cell r="AD25">
            <v>36923</v>
          </cell>
          <cell r="AE25">
            <v>20.797671428571423</v>
          </cell>
          <cell r="AF25">
            <v>25.637849999999997</v>
          </cell>
          <cell r="AG25">
            <v>29.034623041213962</v>
          </cell>
          <cell r="BI25">
            <v>36923</v>
          </cell>
          <cell r="BJ25">
            <v>957189.05789299682</v>
          </cell>
          <cell r="BK25">
            <v>2439214.3376269918</v>
          </cell>
          <cell r="BL25">
            <v>4351860.0904364958</v>
          </cell>
          <cell r="BN25">
            <v>36923</v>
          </cell>
          <cell r="BO25">
            <v>20.797671428571423</v>
          </cell>
          <cell r="BP25">
            <v>25.637849999999997</v>
          </cell>
          <cell r="BQ25">
            <v>24.396208112343338</v>
          </cell>
          <cell r="BR25">
            <v>30.073863139014136</v>
          </cell>
          <cell r="BT25">
            <v>29.058339733922537</v>
          </cell>
          <cell r="BU25">
            <v>35.820998418307973</v>
          </cell>
        </row>
        <row r="26">
          <cell r="AD26">
            <v>36951</v>
          </cell>
          <cell r="AE26">
            <v>20.366949999999996</v>
          </cell>
          <cell r="AF26">
            <v>21.21402258064516</v>
          </cell>
          <cell r="AG26">
            <v>29.034623041213962</v>
          </cell>
          <cell r="BI26">
            <v>36951</v>
          </cell>
          <cell r="BJ26">
            <v>964866.1198037453</v>
          </cell>
          <cell r="BK26">
            <v>2469648.1474413313</v>
          </cell>
          <cell r="BL26">
            <v>4422729.800330786</v>
          </cell>
          <cell r="BN26">
            <v>36951</v>
          </cell>
          <cell r="BO26">
            <v>20.366949999999996</v>
          </cell>
          <cell r="BP26">
            <v>21.21402258064516</v>
          </cell>
          <cell r="BQ26">
            <v>23.971593917899828</v>
          </cell>
          <cell r="BR26">
            <v>24.96858560895879</v>
          </cell>
          <cell r="BT26">
            <v>28.669704838758602</v>
          </cell>
          <cell r="BU26">
            <v>29.86209353044304</v>
          </cell>
        </row>
        <row r="27">
          <cell r="AD27">
            <v>36982</v>
          </cell>
          <cell r="AE27">
            <v>20.087816666666662</v>
          </cell>
          <cell r="AF27">
            <v>19.970316666666665</v>
          </cell>
          <cell r="AG27">
            <v>29.034623041213962</v>
          </cell>
          <cell r="BI27">
            <v>36982</v>
          </cell>
          <cell r="BJ27">
            <v>981393.39869495854</v>
          </cell>
          <cell r="BK27">
            <v>2511499.9373930246</v>
          </cell>
          <cell r="BL27">
            <v>4509693.9418239556</v>
          </cell>
          <cell r="BN27">
            <v>36982</v>
          </cell>
          <cell r="BO27">
            <v>20.087816666666662</v>
          </cell>
          <cell r="BP27">
            <v>19.970316666666665</v>
          </cell>
          <cell r="BQ27">
            <v>23.72323880148409</v>
          </cell>
          <cell r="BR27">
            <v>23.584474066349895</v>
          </cell>
          <cell r="BT27">
            <v>28.490209889560806</v>
          </cell>
          <cell r="BU27">
            <v>28.323561631187449</v>
          </cell>
        </row>
        <row r="28">
          <cell r="AD28">
            <v>37012</v>
          </cell>
          <cell r="AE28">
            <v>19.030840322580644</v>
          </cell>
          <cell r="AF28">
            <v>16.056251612903225</v>
          </cell>
          <cell r="AG28">
            <v>29.034623041213962</v>
          </cell>
          <cell r="BI28">
            <v>37012</v>
          </cell>
          <cell r="BJ28">
            <v>999621.30655038916</v>
          </cell>
          <cell r="BK28">
            <v>2553480.1554687712</v>
          </cell>
          <cell r="BL28">
            <v>4594520.6163536534</v>
          </cell>
          <cell r="BN28">
            <v>37012</v>
          </cell>
          <cell r="BO28">
            <v>19.030840322580644</v>
          </cell>
          <cell r="BP28">
            <v>16.056251612903225</v>
          </cell>
          <cell r="BQ28">
            <v>22.546769878508769</v>
          </cell>
          <cell r="BR28">
            <v>19.022628748454213</v>
          </cell>
          <cell r="BT28">
            <v>27.183518377314474</v>
          </cell>
          <cell r="BU28">
            <v>22.934636799629974</v>
          </cell>
        </row>
        <row r="29">
          <cell r="AD29">
            <v>37043</v>
          </cell>
          <cell r="AE29">
            <v>22.962263333333329</v>
          </cell>
          <cell r="AF29">
            <v>17.223246666666665</v>
          </cell>
          <cell r="AG29">
            <v>29.034623041213962</v>
          </cell>
          <cell r="BI29">
            <v>37043</v>
          </cell>
          <cell r="BJ29">
            <v>1026009.566918578</v>
          </cell>
          <cell r="BK29">
            <v>2604704.3258124366</v>
          </cell>
          <cell r="BL29">
            <v>4690584.7489732504</v>
          </cell>
          <cell r="BN29">
            <v>37043</v>
          </cell>
          <cell r="BO29">
            <v>22.962263333333329</v>
          </cell>
          <cell r="BP29">
            <v>17.223246666666665</v>
          </cell>
          <cell r="BQ29">
            <v>27.292025612175525</v>
          </cell>
          <cell r="BR29">
            <v>20.47086048652362</v>
          </cell>
          <cell r="BT29">
            <v>33.035192653042458</v>
          </cell>
          <cell r="BU29">
            <v>24.77862323433294</v>
          </cell>
        </row>
        <row r="30">
          <cell r="AD30">
            <v>37073</v>
          </cell>
          <cell r="AE30">
            <v>35.395875806451613</v>
          </cell>
          <cell r="AF30">
            <v>29.72996451612903</v>
          </cell>
          <cell r="AG30">
            <v>29.034623041213962</v>
          </cell>
          <cell r="BI30">
            <v>37073</v>
          </cell>
          <cell r="BJ30">
            <v>1046222.4614740582</v>
          </cell>
          <cell r="BK30">
            <v>2646983.2477837233</v>
          </cell>
          <cell r="BL30">
            <v>4773823.1582546113</v>
          </cell>
          <cell r="BN30">
            <v>37073</v>
          </cell>
          <cell r="BO30">
            <v>35.395875806451613</v>
          </cell>
          <cell r="BP30">
            <v>29.72996451612903</v>
          </cell>
          <cell r="BQ30">
            <v>42.202046235832313</v>
          </cell>
          <cell r="BR30">
            <v>35.446653275652054</v>
          </cell>
          <cell r="BT30">
            <v>51.281341877283474</v>
          </cell>
          <cell r="BU30">
            <v>43.072602093185999</v>
          </cell>
        </row>
        <row r="31">
          <cell r="AD31">
            <v>37104</v>
          </cell>
          <cell r="AE31">
            <v>43.703272580645162</v>
          </cell>
          <cell r="AF31">
            <v>43.304348387096766</v>
          </cell>
          <cell r="AG31">
            <v>29.034623041213962</v>
          </cell>
          <cell r="BI31">
            <v>37104</v>
          </cell>
          <cell r="BJ31">
            <v>1035101.2682018038</v>
          </cell>
          <cell r="BK31">
            <v>2651498.2993245553</v>
          </cell>
          <cell r="BL31">
            <v>4811249.9078083467</v>
          </cell>
          <cell r="BN31">
            <v>37104</v>
          </cell>
          <cell r="BO31">
            <v>43.703272580645162</v>
          </cell>
          <cell r="BP31">
            <v>43.304348387096766</v>
          </cell>
          <cell r="BQ31">
            <v>52.261199368711125</v>
          </cell>
          <cell r="BR31">
            <v>51.784158278171191</v>
          </cell>
          <cell r="BT31">
            <v>63.738869350639796</v>
          </cell>
          <cell r="BU31">
            <v>63.157059899037044</v>
          </cell>
        </row>
        <row r="32">
          <cell r="AD32">
            <v>37135</v>
          </cell>
          <cell r="AE32">
            <v>37.338608333333333</v>
          </cell>
          <cell r="AF32">
            <v>40.759316666666663</v>
          </cell>
          <cell r="AG32">
            <v>29.034623041213962</v>
          </cell>
          <cell r="BI32">
            <v>37135</v>
          </cell>
          <cell r="BJ32">
            <v>993988.89504383691</v>
          </cell>
          <cell r="BK32">
            <v>2618944.9966407232</v>
          </cell>
          <cell r="BL32">
            <v>4802160.5329398755</v>
          </cell>
          <cell r="BN32">
            <v>37135</v>
          </cell>
          <cell r="BO32">
            <v>37.338608333333333</v>
          </cell>
          <cell r="BP32">
            <v>40.759316666666663</v>
          </cell>
          <cell r="BQ32">
            <v>44.783739085726765</v>
          </cell>
          <cell r="BR32">
            <v>48.886519460420374</v>
          </cell>
          <cell r="BT32">
            <v>54.823552408905414</v>
          </cell>
          <cell r="BU32">
            <v>59.846111924618825</v>
          </cell>
        </row>
        <row r="33">
          <cell r="AD33">
            <v>37165</v>
          </cell>
          <cell r="AE33">
            <v>24.306110483870967</v>
          </cell>
          <cell r="AF33">
            <v>26.708578225806452</v>
          </cell>
          <cell r="AG33">
            <v>29.034623041213962</v>
          </cell>
          <cell r="BI33">
            <v>37165</v>
          </cell>
          <cell r="BJ33">
            <v>963755.75443063118</v>
          </cell>
          <cell r="BK33">
            <v>2597647.6236549262</v>
          </cell>
          <cell r="BL33">
            <v>4804416.1803129781</v>
          </cell>
          <cell r="BN33">
            <v>37165</v>
          </cell>
          <cell r="BO33">
            <v>24.306110483870967</v>
          </cell>
          <cell r="BP33">
            <v>26.708578225806452</v>
          </cell>
          <cell r="BQ33">
            <v>29.235104862923798</v>
          </cell>
          <cell r="BR33">
            <v>32.124764910008793</v>
          </cell>
          <cell r="BT33">
            <v>35.916415474303292</v>
          </cell>
          <cell r="BU33">
            <v>39.466470496073434</v>
          </cell>
        </row>
        <row r="34">
          <cell r="AD34">
            <v>37196</v>
          </cell>
          <cell r="AE34">
            <v>23.54000416666667</v>
          </cell>
          <cell r="AF34">
            <v>30.382962499999998</v>
          </cell>
          <cell r="AG34">
            <v>29.034623041213962</v>
          </cell>
          <cell r="BI34">
            <v>37196</v>
          </cell>
          <cell r="BJ34">
            <v>967177.01982827857</v>
          </cell>
          <cell r="BK34">
            <v>2616189.0433036778</v>
          </cell>
          <cell r="BL34">
            <v>4855267.7774072457</v>
          </cell>
          <cell r="BN34">
            <v>37196</v>
          </cell>
          <cell r="BO34">
            <v>23.54000416666667</v>
          </cell>
          <cell r="BP34">
            <v>30.382962499999998</v>
          </cell>
          <cell r="BQ34">
            <v>28.3946254540658</v>
          </cell>
          <cell r="BR34">
            <v>36.648797267166721</v>
          </cell>
          <cell r="BT34">
            <v>35.009823783461457</v>
          </cell>
          <cell r="BU34">
            <v>45.186999781875592</v>
          </cell>
        </row>
        <row r="35">
          <cell r="AD35">
            <v>37226</v>
          </cell>
          <cell r="AE35">
            <v>24.946246774193547</v>
          </cell>
          <cell r="AF35">
            <v>31.318738709677419</v>
          </cell>
          <cell r="AG35">
            <v>29.034623041213962</v>
          </cell>
          <cell r="BI35">
            <v>37226</v>
          </cell>
          <cell r="BJ35">
            <v>965154.93725783378</v>
          </cell>
          <cell r="BK35">
            <v>2626827.7091235891</v>
          </cell>
          <cell r="BL35">
            <v>4894548.6846185047</v>
          </cell>
          <cell r="BN35">
            <v>37226</v>
          </cell>
          <cell r="BO35">
            <v>24.946246774193547</v>
          </cell>
          <cell r="BP35">
            <v>31.318738709677419</v>
          </cell>
          <cell r="BQ35">
            <v>30.175102383141041</v>
          </cell>
          <cell r="BR35">
            <v>37.883299865893747</v>
          </cell>
          <cell r="BT35">
            <v>37.337178044262956</v>
          </cell>
          <cell r="BU35">
            <v>46.874920059503758</v>
          </cell>
        </row>
        <row r="36">
          <cell r="AD36">
            <v>37257</v>
          </cell>
          <cell r="AE36">
            <v>23.398704838709676</v>
          </cell>
          <cell r="AF36">
            <v>29.069146774193541</v>
          </cell>
          <cell r="AG36">
            <v>29.299068570626893</v>
          </cell>
          <cell r="BI36">
            <v>37257</v>
          </cell>
          <cell r="BJ36">
            <v>960354.87988791801</v>
          </cell>
          <cell r="BK36">
            <v>2633646.6922623459</v>
          </cell>
          <cell r="BL36">
            <v>4928999.5333425999</v>
          </cell>
          <cell r="BN36">
            <v>37257</v>
          </cell>
          <cell r="BO36">
            <v>23.398704838709676</v>
          </cell>
          <cell r="BP36">
            <v>29.069146774193541</v>
          </cell>
          <cell r="BQ36">
            <v>28.373317873092059</v>
          </cell>
          <cell r="BR36">
            <v>35.249307489843318</v>
          </cell>
          <cell r="BT36">
            <v>35.218528217164007</v>
          </cell>
          <cell r="BU36">
            <v>43.753386051613333</v>
          </cell>
        </row>
        <row r="37">
          <cell r="AD37">
            <v>37288</v>
          </cell>
          <cell r="AE37">
            <v>21.654671428571426</v>
          </cell>
          <cell r="AF37">
            <v>26.473349999999996</v>
          </cell>
          <cell r="AG37">
            <v>29.299068570626893</v>
          </cell>
          <cell r="BI37">
            <v>37288</v>
          </cell>
          <cell r="BJ37">
            <v>961188.91381756682</v>
          </cell>
          <cell r="BK37">
            <v>2646288.3672416825</v>
          </cell>
          <cell r="BL37">
            <v>4969560.1219106112</v>
          </cell>
          <cell r="BN37">
            <v>37288</v>
          </cell>
          <cell r="BO37">
            <v>21.654671428571426</v>
          </cell>
          <cell r="BP37">
            <v>26.473349999999996</v>
          </cell>
          <cell r="BQ37">
            <v>26.329154993538843</v>
          </cell>
          <cell r="BR37">
            <v>32.188017151280526</v>
          </cell>
          <cell r="BT37">
            <v>32.793671907986955</v>
          </cell>
          <cell r="BU37">
            <v>40.091042575684064</v>
          </cell>
        </row>
        <row r="38">
          <cell r="AD38">
            <v>37316</v>
          </cell>
          <cell r="AE38">
            <v>21.223949999999999</v>
          </cell>
          <cell r="AF38">
            <v>22.04952258064516</v>
          </cell>
          <cell r="AG38">
            <v>29.299068570626893</v>
          </cell>
          <cell r="BI38">
            <v>37316</v>
          </cell>
          <cell r="BJ38">
            <v>967084.40711896494</v>
          </cell>
          <cell r="BK38">
            <v>2663266.2393670324</v>
          </cell>
          <cell r="BL38">
            <v>5012361.9084761739</v>
          </cell>
          <cell r="BN38">
            <v>37316</v>
          </cell>
          <cell r="BO38">
            <v>21.223949999999999</v>
          </cell>
          <cell r="BP38">
            <v>22.04952258064516</v>
          </cell>
          <cell r="BQ38">
            <v>25.871345070384372</v>
          </cell>
          <cell r="BR38">
            <v>26.87769276318042</v>
          </cell>
          <cell r="BT38">
            <v>32.329139931355748</v>
          </cell>
          <cell r="BU38">
            <v>33.586683955119838</v>
          </cell>
        </row>
        <row r="39">
          <cell r="AD39">
            <v>37347</v>
          </cell>
          <cell r="AE39">
            <v>20.944816666666664</v>
          </cell>
          <cell r="AF39">
            <v>20.805816666666669</v>
          </cell>
          <cell r="AG39">
            <v>29.299068570626893</v>
          </cell>
          <cell r="BI39">
            <v>37347</v>
          </cell>
          <cell r="BJ39">
            <v>981165.59999447316</v>
          </cell>
          <cell r="BK39">
            <v>2690566.4924404509</v>
          </cell>
          <cell r="BL39">
            <v>5069615.1954428107</v>
          </cell>
          <cell r="BN39">
            <v>37347</v>
          </cell>
          <cell r="BO39">
            <v>20.944816666666664</v>
          </cell>
          <cell r="BP39">
            <v>20.805816666666669</v>
          </cell>
          <cell r="BQ39">
            <v>25.597179873798826</v>
          </cell>
          <cell r="BR39">
            <v>25.427304526638569</v>
          </cell>
          <cell r="BT39">
            <v>32.093350104861479</v>
          </cell>
          <cell r="BU39">
            <v>31.880363009506514</v>
          </cell>
        </row>
        <row r="40">
          <cell r="AD40">
            <v>37377</v>
          </cell>
          <cell r="AE40">
            <v>19.887840322580644</v>
          </cell>
          <cell r="AF40">
            <v>16.891751612903224</v>
          </cell>
          <cell r="AG40">
            <v>29.299068570626893</v>
          </cell>
          <cell r="BI40">
            <v>37377</v>
          </cell>
          <cell r="BJ40">
            <v>996898.41714305431</v>
          </cell>
          <cell r="BK40">
            <v>2718926.1957179159</v>
          </cell>
          <cell r="BL40">
            <v>5126786.1722827591</v>
          </cell>
          <cell r="BN40">
            <v>37377</v>
          </cell>
          <cell r="BO40">
            <v>19.887840322580644</v>
          </cell>
          <cell r="BP40">
            <v>16.891751612903224</v>
          </cell>
          <cell r="BQ40">
            <v>24.365183728224277</v>
          </cell>
          <cell r="BR40">
            <v>20.69458648421562</v>
          </cell>
          <cell r="BT40">
            <v>30.645991538917691</v>
          </cell>
          <cell r="BU40">
            <v>26.029195156940972</v>
          </cell>
        </row>
        <row r="41">
          <cell r="AD41">
            <v>37408</v>
          </cell>
          <cell r="AE41">
            <v>23.819263333333332</v>
          </cell>
          <cell r="AF41">
            <v>18.058746666666664</v>
          </cell>
          <cell r="AG41">
            <v>29.299068570626893</v>
          </cell>
          <cell r="BI41">
            <v>37408</v>
          </cell>
          <cell r="BJ41">
            <v>1020261.4192951387</v>
          </cell>
          <cell r="BK41">
            <v>2756325.7980434047</v>
          </cell>
          <cell r="BL41">
            <v>5195405.1941317664</v>
          </cell>
          <cell r="BN41">
            <v>37408</v>
          </cell>
          <cell r="BO41">
            <v>23.819263333333332</v>
          </cell>
          <cell r="BP41">
            <v>18.058746666666664</v>
          </cell>
          <cell r="BQ41">
            <v>29.254495742551686</v>
          </cell>
          <cell r="BR41">
            <v>22.179507404685456</v>
          </cell>
          <cell r="BT41">
            <v>36.915083653302162</v>
          </cell>
          <cell r="BU41">
            <v>27.987437501514872</v>
          </cell>
        </row>
        <row r="42">
          <cell r="AD42">
            <v>37438</v>
          </cell>
          <cell r="AE42">
            <v>36.993875806451612</v>
          </cell>
          <cell r="AF42">
            <v>31.306464516129033</v>
          </cell>
          <cell r="AG42">
            <v>29.299068570626893</v>
          </cell>
          <cell r="BI42">
            <v>37438</v>
          </cell>
          <cell r="BJ42">
            <v>1037871.7798742894</v>
          </cell>
          <cell r="BK42">
            <v>2785844.5697208242</v>
          </cell>
          <cell r="BL42">
            <v>5252843.2259672964</v>
          </cell>
          <cell r="BN42">
            <v>37438</v>
          </cell>
          <cell r="BO42">
            <v>36.993875806451612</v>
          </cell>
          <cell r="BP42">
            <v>31.306464516129033</v>
          </cell>
          <cell r="BQ42">
            <v>45.546710012011673</v>
          </cell>
          <cell r="BR42">
            <v>38.544392273944673</v>
          </cell>
          <cell r="BT42">
            <v>57.657547831920738</v>
          </cell>
          <cell r="BU42">
            <v>48.793318784193019</v>
          </cell>
        </row>
        <row r="43">
          <cell r="AD43">
            <v>37469</v>
          </cell>
          <cell r="AE43">
            <v>45.301272580645161</v>
          </cell>
          <cell r="AF43">
            <v>44.880848387096776</v>
          </cell>
          <cell r="AG43">
            <v>29.299068570626893</v>
          </cell>
          <cell r="BI43">
            <v>37469</v>
          </cell>
          <cell r="BJ43">
            <v>1024211.670532573</v>
          </cell>
          <cell r="BK43">
            <v>2776539.0496689826</v>
          </cell>
          <cell r="BL43">
            <v>5261167.8585448842</v>
          </cell>
          <cell r="BN43">
            <v>37469</v>
          </cell>
          <cell r="BO43">
            <v>45.301272580645161</v>
          </cell>
          <cell r="BP43">
            <v>44.880848387096776</v>
          </cell>
          <cell r="BQ43">
            <v>55.904722892612838</v>
          </cell>
          <cell r="BR43">
            <v>55.385892036463453</v>
          </cell>
          <cell r="BT43">
            <v>70.98606762277511</v>
          </cell>
          <cell r="BU43">
            <v>70.327272438150942</v>
          </cell>
        </row>
        <row r="44">
          <cell r="AD44">
            <v>37500</v>
          </cell>
          <cell r="AE44">
            <v>38.936608333333332</v>
          </cell>
          <cell r="AF44">
            <v>42.335816666666666</v>
          </cell>
          <cell r="AG44">
            <v>29.299068570626893</v>
          </cell>
          <cell r="BI44">
            <v>37500</v>
          </cell>
          <cell r="BJ44">
            <v>982383.60976884328</v>
          </cell>
          <cell r="BK44">
            <v>2731714.7118533403</v>
          </cell>
          <cell r="BL44">
            <v>5223456.6752387732</v>
          </cell>
          <cell r="BN44">
            <v>37500</v>
          </cell>
          <cell r="BO44">
            <v>38.936608333333332</v>
          </cell>
          <cell r="BP44">
            <v>42.335816666666666</v>
          </cell>
          <cell r="BQ44">
            <v>48.164079941375498</v>
          </cell>
          <cell r="BR44">
            <v>52.36885660046363</v>
          </cell>
          <cell r="BT44">
            <v>61.347937973694748</v>
          </cell>
          <cell r="BU44">
            <v>66.703679804307029</v>
          </cell>
        </row>
        <row r="45">
          <cell r="AD45">
            <v>37530</v>
          </cell>
          <cell r="AE45">
            <v>25.163110483870966</v>
          </cell>
          <cell r="AF45">
            <v>27.544078225806452</v>
          </cell>
          <cell r="AG45">
            <v>29.299068570626893</v>
          </cell>
          <cell r="BI45">
            <v>37530</v>
          </cell>
          <cell r="BJ45">
            <v>950901.16579079535</v>
          </cell>
          <cell r="BK45">
            <v>2698645.5892153997</v>
          </cell>
          <cell r="BL45">
            <v>5199018.5164028183</v>
          </cell>
          <cell r="BN45">
            <v>37530</v>
          </cell>
          <cell r="BO45">
            <v>25.163110483870966</v>
          </cell>
          <cell r="BP45">
            <v>27.544078225806452</v>
          </cell>
          <cell r="BQ45">
            <v>31.196583444892521</v>
          </cell>
          <cell r="BR45">
            <v>34.148446605390838</v>
          </cell>
          <cell r="BT45">
            <v>39.854359951014978</v>
          </cell>
          <cell r="BU45">
            <v>43.625433701204798</v>
          </cell>
        </row>
        <row r="46">
          <cell r="AD46">
            <v>37561</v>
          </cell>
          <cell r="AE46">
            <v>24.397004166666669</v>
          </cell>
          <cell r="AF46">
            <v>31.218462500000001</v>
          </cell>
          <cell r="AG46">
            <v>29.299068570626893</v>
          </cell>
          <cell r="BI46">
            <v>37561</v>
          </cell>
          <cell r="BJ46">
            <v>952710.64737679064</v>
          </cell>
          <cell r="BK46">
            <v>2706304.3067599889</v>
          </cell>
          <cell r="BL46">
            <v>5226243.3669690415</v>
          </cell>
          <cell r="BN46">
            <v>37561</v>
          </cell>
          <cell r="BO46">
            <v>24.397004166666669</v>
          </cell>
          <cell r="BP46">
            <v>31.218462500000001</v>
          </cell>
          <cell r="BQ46">
            <v>30.316081697878506</v>
          </cell>
          <cell r="BR46">
            <v>38.792527687692107</v>
          </cell>
          <cell r="BT46">
            <v>38.84729301433314</v>
          </cell>
          <cell r="BU46">
            <v>49.709085259387727</v>
          </cell>
        </row>
        <row r="47">
          <cell r="AD47">
            <v>37591</v>
          </cell>
          <cell r="AE47">
            <v>25.80324677419355</v>
          </cell>
          <cell r="AF47">
            <v>32.154238709677422</v>
          </cell>
          <cell r="AG47">
            <v>29.299068570626893</v>
          </cell>
          <cell r="BI47">
            <v>37591</v>
          </cell>
          <cell r="BJ47">
            <v>949457.89203235041</v>
          </cell>
          <cell r="BK47">
            <v>2706953.0187819004</v>
          </cell>
          <cell r="BL47">
            <v>5243272.1101432536</v>
          </cell>
          <cell r="BN47">
            <v>37591</v>
          </cell>
          <cell r="BO47">
            <v>25.80324677419355</v>
          </cell>
          <cell r="BP47">
            <v>32.154238709677422</v>
          </cell>
          <cell r="BQ47">
            <v>32.135778442159115</v>
          </cell>
          <cell r="BR47">
            <v>40.045405920929284</v>
          </cell>
          <cell r="BT47">
            <v>41.302795425530142</v>
          </cell>
          <cell r="BU47">
            <v>51.468714581208964</v>
          </cell>
        </row>
        <row r="48">
          <cell r="AD48">
            <v>37622</v>
          </cell>
          <cell r="AE48">
            <v>24.255704838709679</v>
          </cell>
          <cell r="AF48">
            <v>29.883146774193541</v>
          </cell>
          <cell r="AG48">
            <v>29.546761196625923</v>
          </cell>
          <cell r="BI48">
            <v>37622</v>
          </cell>
          <cell r="BJ48">
            <v>943557.3799468847</v>
          </cell>
          <cell r="BK48">
            <v>2703888.7704725321</v>
          </cell>
          <cell r="BL48">
            <v>5255364.6609646864</v>
          </cell>
          <cell r="BN48">
            <v>37622</v>
          </cell>
          <cell r="BO48">
            <v>24.255704838709679</v>
          </cell>
          <cell r="BP48">
            <v>29.883146774193541</v>
          </cell>
          <cell r="BQ48">
            <v>30.269021859485076</v>
          </cell>
          <cell r="BR48">
            <v>37.291582699947767</v>
          </cell>
          <cell r="BT48">
            <v>39.007902853766531</v>
          </cell>
          <cell r="BU48">
            <v>48.057926746877357</v>
          </cell>
        </row>
        <row r="49">
          <cell r="AD49">
            <v>37653</v>
          </cell>
          <cell r="AE49">
            <v>22.511671428571425</v>
          </cell>
          <cell r="AF49">
            <v>27.287349999999996</v>
          </cell>
          <cell r="AG49">
            <v>29.546761196625923</v>
          </cell>
          <cell r="BI49">
            <v>37653</v>
          </cell>
          <cell r="BJ49">
            <v>942954.3949857736</v>
          </cell>
          <cell r="BK49">
            <v>2706733.7680955678</v>
          </cell>
          <cell r="BL49">
            <v>5274207.2983036526</v>
          </cell>
          <cell r="BN49">
            <v>37653</v>
          </cell>
          <cell r="BO49">
            <v>22.511671428571425</v>
          </cell>
          <cell r="BP49">
            <v>27.287349999999996</v>
          </cell>
          <cell r="BQ49">
            <v>28.154076877795532</v>
          </cell>
          <cell r="BR49">
            <v>34.126748523713083</v>
          </cell>
          <cell r="BT49">
            <v>36.38895629644265</v>
          </cell>
          <cell r="BU49">
            <v>44.108594501583241</v>
          </cell>
        </row>
        <row r="50">
          <cell r="AD50">
            <v>37681</v>
          </cell>
          <cell r="AE50">
            <v>22.080949999999998</v>
          </cell>
          <cell r="AF50">
            <v>22.86352258064516</v>
          </cell>
          <cell r="AG50">
            <v>29.546761196625923</v>
          </cell>
          <cell r="BI50">
            <v>37681</v>
          </cell>
          <cell r="BJ50">
            <v>947246.9480807716</v>
          </cell>
          <cell r="BK50">
            <v>2714906.932229354</v>
          </cell>
          <cell r="BL50">
            <v>5297915.8496146286</v>
          </cell>
          <cell r="BN50">
            <v>37681</v>
          </cell>
          <cell r="BO50">
            <v>22.080949999999998</v>
          </cell>
          <cell r="BP50">
            <v>22.86352258064516</v>
          </cell>
          <cell r="BQ50">
            <v>27.67298663281808</v>
          </cell>
          <cell r="BR50">
            <v>28.653746996996411</v>
          </cell>
          <cell r="BT50">
            <v>35.86770694682685</v>
          </cell>
          <cell r="BU50">
            <v>37.138896999211497</v>
          </cell>
        </row>
        <row r="51">
          <cell r="AD51">
            <v>37712</v>
          </cell>
          <cell r="AE51">
            <v>21.801816666666664</v>
          </cell>
          <cell r="AF51">
            <v>21.619816666666665</v>
          </cell>
          <cell r="AG51">
            <v>29.546761196625923</v>
          </cell>
          <cell r="BI51">
            <v>37712</v>
          </cell>
          <cell r="BJ51">
            <v>959101.69320845976</v>
          </cell>
          <cell r="BK51">
            <v>2732400.7844597362</v>
          </cell>
          <cell r="BL51">
            <v>5334554.6455613486</v>
          </cell>
          <cell r="BN51">
            <v>37712</v>
          </cell>
          <cell r="BO51">
            <v>21.801816666666664</v>
          </cell>
          <cell r="BP51">
            <v>21.619816666666665</v>
          </cell>
          <cell r="BQ51">
            <v>27.38117848659536</v>
          </cell>
          <cell r="BR51">
            <v>27.152602374762463</v>
          </cell>
          <cell r="BT51">
            <v>35.591469418335677</v>
          </cell>
          <cell r="BU51">
            <v>35.294354387364841</v>
          </cell>
        </row>
        <row r="52">
          <cell r="AD52">
            <v>37742</v>
          </cell>
          <cell r="AE52">
            <v>20.744840322580643</v>
          </cell>
          <cell r="AF52">
            <v>17.705751612903224</v>
          </cell>
          <cell r="AG52">
            <v>29.546761196625923</v>
          </cell>
          <cell r="BI52">
            <v>37742</v>
          </cell>
          <cell r="BJ52">
            <v>972558.19780713785</v>
          </cell>
          <cell r="BK52">
            <v>2751416.5936892917</v>
          </cell>
          <cell r="BL52">
            <v>5372240.6383051323</v>
          </cell>
          <cell r="BN52">
            <v>37742</v>
          </cell>
          <cell r="BO52">
            <v>20.744840322580643</v>
          </cell>
          <cell r="BP52">
            <v>17.705751612903224</v>
          </cell>
          <cell r="BQ52">
            <v>26.106470470041316</v>
          </cell>
          <cell r="BR52">
            <v>22.281910800200496</v>
          </cell>
          <cell r="BT52">
            <v>34.027896062443084</v>
          </cell>
          <cell r="BU52">
            <v>29.042859150643761</v>
          </cell>
        </row>
        <row r="53">
          <cell r="AD53">
            <v>37773</v>
          </cell>
          <cell r="AE53">
            <v>24.676263333333331</v>
          </cell>
          <cell r="AF53">
            <v>18.872746666666664</v>
          </cell>
          <cell r="AG53">
            <v>29.546761196625923</v>
          </cell>
          <cell r="BI53">
            <v>37773</v>
          </cell>
          <cell r="BJ53">
            <v>993143.33346648701</v>
          </cell>
          <cell r="BK53">
            <v>2779080.3466390129</v>
          </cell>
          <cell r="BL53">
            <v>5421165.7124937531</v>
          </cell>
          <cell r="BN53">
            <v>37773</v>
          </cell>
          <cell r="BO53">
            <v>24.676263333333331</v>
          </cell>
          <cell r="BP53">
            <v>18.872746666666664</v>
          </cell>
          <cell r="BQ53">
            <v>31.118058997936874</v>
          </cell>
          <cell r="BR53">
            <v>23.799520871263049</v>
          </cell>
          <cell r="BT53">
            <v>40.674245519625615</v>
          </cell>
          <cell r="BU53">
            <v>31.108224173988088</v>
          </cell>
        </row>
        <row r="54">
          <cell r="AD54">
            <v>37803</v>
          </cell>
          <cell r="AE54">
            <v>38.591875806451618</v>
          </cell>
          <cell r="AF54">
            <v>32.861464516129026</v>
          </cell>
          <cell r="AG54">
            <v>29.546761196625923</v>
          </cell>
          <cell r="BI54">
            <v>37803</v>
          </cell>
          <cell r="BJ54">
            <v>1008374.8083276413</v>
          </cell>
          <cell r="BK54">
            <v>2799597.7928614486</v>
          </cell>
          <cell r="BL54">
            <v>5459947.7719238773</v>
          </cell>
          <cell r="BN54">
            <v>37803</v>
          </cell>
          <cell r="BO54">
            <v>38.591875806451618</v>
          </cell>
          <cell r="BP54">
            <v>32.861464516129026</v>
          </cell>
          <cell r="BQ54">
            <v>48.765352236843071</v>
          </cell>
          <cell r="BR54">
            <v>41.52430683039389</v>
          </cell>
          <cell r="BT54">
            <v>63.918382107917402</v>
          </cell>
          <cell r="BU54">
            <v>54.427301126849088</v>
          </cell>
        </row>
        <row r="55">
          <cell r="AD55">
            <v>37834</v>
          </cell>
          <cell r="AE55">
            <v>46.89927258064516</v>
          </cell>
          <cell r="AF55">
            <v>46.435848387096769</v>
          </cell>
          <cell r="AG55">
            <v>29.546761196625923</v>
          </cell>
          <cell r="BI55">
            <v>37834</v>
          </cell>
          <cell r="BJ55">
            <v>992532.38881371357</v>
          </cell>
          <cell r="BK55">
            <v>2780507.0528724352</v>
          </cell>
          <cell r="BL55">
            <v>5446736.7514959918</v>
          </cell>
          <cell r="BN55">
            <v>37834</v>
          </cell>
          <cell r="BO55">
            <v>46.89927258064516</v>
          </cell>
          <cell r="BP55">
            <v>46.435848387096769</v>
          </cell>
          <cell r="BQ55">
            <v>59.377758288862474</v>
          </cell>
          <cell r="BR55">
            <v>58.791030857164884</v>
          </cell>
          <cell r="BT55">
            <v>78.035993416592461</v>
          </cell>
          <cell r="BU55">
            <v>77.26489899813113</v>
          </cell>
        </row>
        <row r="56">
          <cell r="AD56">
            <v>37865</v>
          </cell>
          <cell r="AE56">
            <v>40.534608333333338</v>
          </cell>
          <cell r="AF56">
            <v>43.890816666666666</v>
          </cell>
          <cell r="AG56">
            <v>29.546761196625923</v>
          </cell>
          <cell r="BI56">
            <v>37865</v>
          </cell>
          <cell r="BJ56">
            <v>950260.91979265958</v>
          </cell>
          <cell r="BK56">
            <v>2727420.6342208087</v>
          </cell>
          <cell r="BL56">
            <v>5388095.0062018</v>
          </cell>
          <cell r="BN56">
            <v>37865</v>
          </cell>
          <cell r="BO56">
            <v>40.534608333333338</v>
          </cell>
          <cell r="BP56">
            <v>43.890816666666666</v>
          </cell>
          <cell r="BQ56">
            <v>51.421202810530801</v>
          </cell>
          <cell r="BR56">
            <v>55.678805794221326</v>
          </cell>
          <cell r="BT56">
            <v>67.763680383554316</v>
          </cell>
          <cell r="BU56">
            <v>73.374417433987261</v>
          </cell>
        </row>
        <row r="57">
          <cell r="AD57">
            <v>37895</v>
          </cell>
          <cell r="AE57">
            <v>26.020110483870969</v>
          </cell>
          <cell r="AF57">
            <v>28.358078225806452</v>
          </cell>
          <cell r="AG57">
            <v>29.546761196625923</v>
          </cell>
          <cell r="BI57">
            <v>37895</v>
          </cell>
          <cell r="BJ57">
            <v>917819.57414026931</v>
          </cell>
          <cell r="BK57">
            <v>2686194.4083274575</v>
          </cell>
          <cell r="BL57">
            <v>5343834.9342807001</v>
          </cell>
          <cell r="BN57">
            <v>37895</v>
          </cell>
          <cell r="BO57">
            <v>26.020110483870969</v>
          </cell>
          <cell r="BP57">
            <v>28.358078225806452</v>
          </cell>
          <cell r="BQ57">
            <v>33.070840032556568</v>
          </cell>
          <cell r="BR57">
            <v>36.042332303611801</v>
          </cell>
          <cell r="BT57">
            <v>43.695263734059473</v>
          </cell>
          <cell r="BU57">
            <v>47.621385306407099</v>
          </cell>
        </row>
        <row r="58">
          <cell r="AD58">
            <v>37926</v>
          </cell>
          <cell r="AE58">
            <v>25.254004166666668</v>
          </cell>
          <cell r="AF58">
            <v>32.032462499999994</v>
          </cell>
          <cell r="AG58">
            <v>29.546761196625923</v>
          </cell>
          <cell r="BI58">
            <v>37926</v>
          </cell>
          <cell r="BJ58">
            <v>918195.79849384632</v>
          </cell>
          <cell r="BK58">
            <v>2686143.0104091307</v>
          </cell>
          <cell r="BL58">
            <v>5353532.124866019</v>
          </cell>
          <cell r="BN58">
            <v>37926</v>
          </cell>
          <cell r="BO58">
            <v>25.254004166666668</v>
          </cell>
          <cell r="BP58">
            <v>32.032462499999994</v>
          </cell>
          <cell r="BQ58">
            <v>32.158992864107937</v>
          </cell>
          <cell r="BR58">
            <v>40.790827710284418</v>
          </cell>
          <cell r="BT58">
            <v>42.604228752263531</v>
          </cell>
          <cell r="BU58">
            <v>54.039682216003818</v>
          </cell>
        </row>
        <row r="59">
          <cell r="AD59">
            <v>37956</v>
          </cell>
          <cell r="AE59">
            <v>26.660246774193549</v>
          </cell>
          <cell r="AF59">
            <v>32.968238709677422</v>
          </cell>
          <cell r="AG59">
            <v>29.546761196625923</v>
          </cell>
          <cell r="BI59">
            <v>37956</v>
          </cell>
          <cell r="BJ59">
            <v>913870.55630118307</v>
          </cell>
          <cell r="BK59">
            <v>2679748.4151605871</v>
          </cell>
          <cell r="BL59">
            <v>5354001.6298406627</v>
          </cell>
          <cell r="BN59">
            <v>37956</v>
          </cell>
          <cell r="BO59">
            <v>26.660246774193549</v>
          </cell>
          <cell r="BP59">
            <v>32.968238709677422</v>
          </cell>
          <cell r="BQ59">
            <v>34.014298908096201</v>
          </cell>
          <cell r="BR59">
            <v>42.062308554094649</v>
          </cell>
          <cell r="BT59">
            <v>45.181639757255624</v>
          </cell>
          <cell r="BU59">
            <v>55.871916619080629</v>
          </cell>
        </row>
        <row r="60">
          <cell r="AD60">
            <v>37987</v>
          </cell>
          <cell r="AE60">
            <v>25.397704838709679</v>
          </cell>
          <cell r="AF60">
            <v>30.960646774193545</v>
          </cell>
          <cell r="AG60">
            <v>29.781301779637278</v>
          </cell>
          <cell r="BI60">
            <v>37987</v>
          </cell>
          <cell r="BJ60">
            <v>907025.83538364712</v>
          </cell>
          <cell r="BK60">
            <v>2669712.2570528584</v>
          </cell>
          <cell r="BL60">
            <v>5349374.7541762954</v>
          </cell>
          <cell r="BN60">
            <v>37987</v>
          </cell>
          <cell r="BO60">
            <v>25.397704838709679</v>
          </cell>
          <cell r="BP60">
            <v>30.960646774193545</v>
          </cell>
          <cell r="BQ60">
            <v>32.460419744165854</v>
          </cell>
          <cell r="BR60">
            <v>39.570331107613406</v>
          </cell>
          <cell r="BT60">
            <v>43.223602056846694</v>
          </cell>
          <cell r="BU60">
            <v>52.691008265860468</v>
          </cell>
        </row>
        <row r="61">
          <cell r="AD61">
            <v>38018</v>
          </cell>
          <cell r="AE61">
            <v>23.653671428571425</v>
          </cell>
          <cell r="AF61">
            <v>28.364849999999997</v>
          </cell>
          <cell r="AG61">
            <v>29.781301779637278</v>
          </cell>
          <cell r="BI61">
            <v>38018</v>
          </cell>
          <cell r="BJ61">
            <v>904541.2480766587</v>
          </cell>
          <cell r="BK61">
            <v>2664717.291915074</v>
          </cell>
          <cell r="BL61">
            <v>5350734.1383194905</v>
          </cell>
          <cell r="BN61">
            <v>38018</v>
          </cell>
          <cell r="BO61">
            <v>23.653671428571425</v>
          </cell>
          <cell r="BP61">
            <v>28.364849999999997</v>
          </cell>
          <cell r="BQ61">
            <v>30.287475321725907</v>
          </cell>
          <cell r="BR61">
            <v>36.319930162796837</v>
          </cell>
          <cell r="BT61">
            <v>40.435217247516583</v>
          </cell>
          <cell r="BU61">
            <v>48.488830810333553</v>
          </cell>
        </row>
        <row r="62">
          <cell r="AD62">
            <v>38047</v>
          </cell>
          <cell r="AE62">
            <v>23.222949999999997</v>
          </cell>
          <cell r="AF62">
            <v>23.941022580645161</v>
          </cell>
          <cell r="AG62">
            <v>29.781301779637278</v>
          </cell>
          <cell r="BI62">
            <v>38047</v>
          </cell>
          <cell r="BJ62">
            <v>906926.48758726008</v>
          </cell>
          <cell r="BK62">
            <v>2665745.2352872565</v>
          </cell>
          <cell r="BL62">
            <v>5359147.8110159412</v>
          </cell>
          <cell r="BN62">
            <v>38047</v>
          </cell>
          <cell r="BO62">
            <v>23.222949999999997</v>
          </cell>
          <cell r="BP62">
            <v>23.941022580645161</v>
          </cell>
          <cell r="BQ62">
            <v>29.788675192621437</v>
          </cell>
          <cell r="BR62">
            <v>30.70976535858081</v>
          </cell>
          <cell r="BT62">
            <v>39.868668253365875</v>
          </cell>
          <cell r="BU62">
            <v>41.101440037294289</v>
          </cell>
        </row>
        <row r="63">
          <cell r="AD63">
            <v>38078</v>
          </cell>
          <cell r="AE63">
            <v>22.943816666666663</v>
          </cell>
          <cell r="AF63">
            <v>22.697316666666666</v>
          </cell>
          <cell r="AG63">
            <v>29.781301779637278</v>
          </cell>
          <cell r="BI63">
            <v>38078</v>
          </cell>
          <cell r="BJ63">
            <v>916144.82301439717</v>
          </cell>
          <cell r="BK63">
            <v>2675075.2278162455</v>
          </cell>
          <cell r="BL63">
            <v>5378706.4636161476</v>
          </cell>
          <cell r="BN63">
            <v>38078</v>
          </cell>
          <cell r="BO63">
            <v>22.943816666666663</v>
          </cell>
          <cell r="BP63">
            <v>22.697316666666666</v>
          </cell>
          <cell r="BQ63">
            <v>29.483886642566823</v>
          </cell>
          <cell r="BR63">
            <v>29.167122515526376</v>
          </cell>
          <cell r="BT63">
            <v>39.561756790138006</v>
          </cell>
          <cell r="BU63">
            <v>39.13671970104128</v>
          </cell>
        </row>
        <row r="64">
          <cell r="AD64">
            <v>38108</v>
          </cell>
          <cell r="AE64">
            <v>21.886840322580646</v>
          </cell>
          <cell r="AF64">
            <v>18.783251612903221</v>
          </cell>
          <cell r="AG64">
            <v>29.781301779637278</v>
          </cell>
          <cell r="BI64">
            <v>38108</v>
          </cell>
          <cell r="BJ64">
            <v>926934.0202847058</v>
          </cell>
          <cell r="BK64">
            <v>2686226.3410235634</v>
          </cell>
          <cell r="BL64">
            <v>5400099.242353824</v>
          </cell>
          <cell r="BN64">
            <v>38108</v>
          </cell>
          <cell r="BO64">
            <v>21.886840322580646</v>
          </cell>
          <cell r="BP64">
            <v>18.783251612903221</v>
          </cell>
          <cell r="BQ64">
            <v>28.174288585353175</v>
          </cell>
          <cell r="BR64">
            <v>24.179129728801257</v>
          </cell>
          <cell r="BT64">
            <v>37.897377596606468</v>
          </cell>
          <cell r="BU64">
            <v>32.523469279933472</v>
          </cell>
        </row>
        <row r="65">
          <cell r="AD65">
            <v>38139</v>
          </cell>
          <cell r="AE65">
            <v>25.818263333333331</v>
          </cell>
          <cell r="AF65">
            <v>19.950246666666665</v>
          </cell>
          <cell r="AG65">
            <v>29.781301779637278</v>
          </cell>
          <cell r="BI65">
            <v>38139</v>
          </cell>
          <cell r="BJ65">
            <v>944352.4450592082</v>
          </cell>
          <cell r="BK65">
            <v>2705550.0190017801</v>
          </cell>
          <cell r="BL65">
            <v>5432330.8735658545</v>
          </cell>
          <cell r="BN65">
            <v>38139</v>
          </cell>
          <cell r="BO65">
            <v>25.818263333333331</v>
          </cell>
          <cell r="BP65">
            <v>19.950246666666665</v>
          </cell>
          <cell r="BQ65">
            <v>33.293816396466802</v>
          </cell>
          <cell r="BR65">
            <v>25.726743933495548</v>
          </cell>
          <cell r="BT65">
            <v>44.896395407239616</v>
          </cell>
          <cell r="BU65">
            <v>34.692270012686009</v>
          </cell>
        </row>
        <row r="66">
          <cell r="AD66">
            <v>38169</v>
          </cell>
          <cell r="AE66">
            <v>40.303875806451614</v>
          </cell>
          <cell r="AF66">
            <v>34.508964516129033</v>
          </cell>
          <cell r="AG66">
            <v>29.781301779637278</v>
          </cell>
          <cell r="BI66">
            <v>38169</v>
          </cell>
          <cell r="BJ66">
            <v>956822.71246863063</v>
          </cell>
          <cell r="BK66">
            <v>2718360.7782054404</v>
          </cell>
          <cell r="BL66">
            <v>5455270.8179886853</v>
          </cell>
          <cell r="BN66">
            <v>38169</v>
          </cell>
          <cell r="BO66">
            <v>40.303875806451614</v>
          </cell>
          <cell r="BP66">
            <v>34.508964516129033</v>
          </cell>
          <cell r="BQ66">
            <v>52.064407305995303</v>
          </cell>
          <cell r="BR66">
            <v>44.57856095289668</v>
          </cell>
          <cell r="BT66">
            <v>70.383589945075798</v>
          </cell>
          <cell r="BU66">
            <v>60.263802409385107</v>
          </cell>
        </row>
        <row r="67">
          <cell r="AD67">
            <v>38200</v>
          </cell>
          <cell r="AE67">
            <v>48.611272580645164</v>
          </cell>
          <cell r="AF67">
            <v>48.08334838709677</v>
          </cell>
          <cell r="AG67">
            <v>29.781301779637278</v>
          </cell>
          <cell r="BI67">
            <v>38200</v>
          </cell>
          <cell r="BJ67">
            <v>938908.2002147967</v>
          </cell>
          <cell r="BK67">
            <v>2691537.6423213324</v>
          </cell>
          <cell r="BL67">
            <v>5424431.0265183048</v>
          </cell>
          <cell r="BN67">
            <v>38200</v>
          </cell>
          <cell r="BO67">
            <v>48.611272580645164</v>
          </cell>
          <cell r="BP67">
            <v>48.08334838709677</v>
          </cell>
          <cell r="BQ67">
            <v>62.900743241324292</v>
          </cell>
          <cell r="BR67">
            <v>62.217633699310532</v>
          </cell>
          <cell r="BT67">
            <v>85.236474147229046</v>
          </cell>
          <cell r="BU67">
            <v>84.310795914871861</v>
          </cell>
        </row>
        <row r="68">
          <cell r="AD68">
            <v>38231</v>
          </cell>
          <cell r="AE68">
            <v>42.246608333333327</v>
          </cell>
          <cell r="AF68">
            <v>45.538316666666667</v>
          </cell>
          <cell r="AG68">
            <v>29.781301779637278</v>
          </cell>
          <cell r="BI68">
            <v>38231</v>
          </cell>
          <cell r="BJ68">
            <v>896233.20451892447</v>
          </cell>
          <cell r="BK68">
            <v>2632273.2432927014</v>
          </cell>
          <cell r="BL68">
            <v>5348984.0892049735</v>
          </cell>
          <cell r="BN68">
            <v>38231</v>
          </cell>
          <cell r="BO68">
            <v>42.246608333333327</v>
          </cell>
          <cell r="BP68">
            <v>45.538316666666667</v>
          </cell>
          <cell r="BQ68">
            <v>54.758423015715735</v>
          </cell>
          <cell r="BR68">
            <v>59.025008298463845</v>
          </cell>
          <cell r="BT68">
            <v>74.385101184650338</v>
          </cell>
          <cell r="BU68">
            <v>80.180928757680931</v>
          </cell>
        </row>
        <row r="69">
          <cell r="AD69">
            <v>38261</v>
          </cell>
          <cell r="AE69">
            <v>27.162110483870968</v>
          </cell>
          <cell r="AF69">
            <v>29.435578225806449</v>
          </cell>
          <cell r="AG69">
            <v>29.781301779637278</v>
          </cell>
          <cell r="BI69">
            <v>38261</v>
          </cell>
          <cell r="BJ69">
            <v>862886.40522916615</v>
          </cell>
          <cell r="BK69">
            <v>2584772.8351061763</v>
          </cell>
          <cell r="BL69">
            <v>5288588.9920168612</v>
          </cell>
          <cell r="BN69">
            <v>38261</v>
          </cell>
          <cell r="BO69">
            <v>27.162110483870968</v>
          </cell>
          <cell r="BP69">
            <v>29.435578225806449</v>
          </cell>
          <cell r="BQ69">
            <v>35.263949574834825</v>
          </cell>
          <cell r="BR69">
            <v>38.215540978574708</v>
          </cell>
          <cell r="BT69">
            <v>48.016320615732049</v>
          </cell>
          <cell r="BU69">
            <v>52.035285050440478</v>
          </cell>
        </row>
        <row r="70">
          <cell r="AD70">
            <v>38292</v>
          </cell>
          <cell r="AE70">
            <v>26.396004166666668</v>
          </cell>
          <cell r="AF70">
            <v>33.109962499999995</v>
          </cell>
          <cell r="AG70">
            <v>29.781301779637278</v>
          </cell>
          <cell r="BI70">
            <v>38292</v>
          </cell>
          <cell r="BJ70">
            <v>861410.54639591649</v>
          </cell>
          <cell r="BK70">
            <v>2578101.3087677965</v>
          </cell>
          <cell r="BL70">
            <v>5283250.0302498909</v>
          </cell>
          <cell r="BN70">
            <v>38292</v>
          </cell>
          <cell r="BO70">
            <v>26.396004166666668</v>
          </cell>
          <cell r="BP70">
            <v>33.109962499999995</v>
          </cell>
          <cell r="BQ70">
            <v>34.326495027980414</v>
          </cell>
          <cell r="BR70">
            <v>43.057614173592285</v>
          </cell>
          <cell r="BT70">
            <v>46.852875373270862</v>
          </cell>
          <cell r="BU70">
            <v>58.770143269835373</v>
          </cell>
        </row>
        <row r="71">
          <cell r="AD71">
            <v>38322</v>
          </cell>
          <cell r="AE71">
            <v>27.802246774193549</v>
          </cell>
          <cell r="AF71">
            <v>34.045738709677416</v>
          </cell>
          <cell r="AG71">
            <v>29.781301779637278</v>
          </cell>
          <cell r="BI71">
            <v>38322</v>
          </cell>
          <cell r="BJ71">
            <v>855595.0727381194</v>
          </cell>
          <cell r="BK71">
            <v>2565667.3034673026</v>
          </cell>
          <cell r="BL71">
            <v>5269496.1081614038</v>
          </cell>
          <cell r="BN71">
            <v>38322</v>
          </cell>
          <cell r="BO71">
            <v>27.802246774193549</v>
          </cell>
          <cell r="BP71">
            <v>34.045738709677416</v>
          </cell>
          <cell r="BQ71">
            <v>36.214869065091428</v>
          </cell>
          <cell r="BR71">
            <v>44.347565849956261</v>
          </cell>
          <cell r="BT71">
            <v>49.548953720623999</v>
          </cell>
          <cell r="BU71">
            <v>60.676057780916359</v>
          </cell>
        </row>
        <row r="72">
          <cell r="AD72">
            <v>38353</v>
          </cell>
          <cell r="AE72">
            <v>26.439704838709677</v>
          </cell>
          <cell r="AF72">
            <v>31.959646774193544</v>
          </cell>
          <cell r="AG72">
            <v>30.006446879748143</v>
          </cell>
          <cell r="BI72">
            <v>38353</v>
          </cell>
          <cell r="BJ72">
            <v>847367.71731318161</v>
          </cell>
          <cell r="BK72">
            <v>2549635.5507475641</v>
          </cell>
          <cell r="BL72">
            <v>5250454.7467109077</v>
          </cell>
          <cell r="BN72">
            <v>38353</v>
          </cell>
          <cell r="BO72">
            <v>26.439704838709677</v>
          </cell>
          <cell r="BP72">
            <v>31.959646774193544</v>
          </cell>
          <cell r="BQ72">
            <v>34.49080433698245</v>
          </cell>
          <cell r="BR72">
            <v>41.691612304003982</v>
          </cell>
          <cell r="BT72">
            <v>47.291616608329264</v>
          </cell>
          <cell r="BU72">
            <v>57.16491055414329</v>
          </cell>
        </row>
        <row r="73">
          <cell r="AD73">
            <v>38384</v>
          </cell>
          <cell r="AE73">
            <v>24.695671428571423</v>
          </cell>
          <cell r="AF73">
            <v>29.363849999999999</v>
          </cell>
          <cell r="AG73">
            <v>30.006446879748143</v>
          </cell>
          <cell r="BI73">
            <v>38384</v>
          </cell>
          <cell r="BJ73">
            <v>843395.74266709387</v>
          </cell>
          <cell r="BK73">
            <v>2538728.5919760745</v>
          </cell>
          <cell r="BL73">
            <v>5237797.2097998643</v>
          </cell>
          <cell r="BN73">
            <v>38384</v>
          </cell>
          <cell r="BO73">
            <v>24.695671428571423</v>
          </cell>
          <cell r="BP73">
            <v>29.363849999999999</v>
          </cell>
          <cell r="BQ73">
            <v>32.26773152609821</v>
          </cell>
          <cell r="BR73">
            <v>38.367243065779213</v>
          </cell>
          <cell r="BT73">
            <v>44.348116347736564</v>
          </cell>
          <cell r="BU73">
            <v>52.731161409561025</v>
          </cell>
        </row>
        <row r="74">
          <cell r="AD74">
            <v>38412</v>
          </cell>
          <cell r="AE74">
            <v>24.264949999999995</v>
          </cell>
          <cell r="AF74">
            <v>24.940022580645156</v>
          </cell>
          <cell r="AG74">
            <v>30.006446879748143</v>
          </cell>
          <cell r="BI74">
            <v>38412</v>
          </cell>
          <cell r="BJ74">
            <v>844080.39248230401</v>
          </cell>
          <cell r="BK74">
            <v>2534230.7872996088</v>
          </cell>
          <cell r="BL74">
            <v>5233347.0620949753</v>
          </cell>
          <cell r="BN74">
            <v>38412</v>
          </cell>
          <cell r="BO74">
            <v>24.264949999999995</v>
          </cell>
          <cell r="BP74">
            <v>24.940022580645156</v>
          </cell>
          <cell r="BQ74">
            <v>31.75397223755883</v>
          </cell>
          <cell r="BR74">
            <v>32.637396105489472</v>
          </cell>
          <cell r="BT74">
            <v>43.741171623905842</v>
          </cell>
          <cell r="BU74">
            <v>44.958090084837885</v>
          </cell>
        </row>
        <row r="75">
          <cell r="AD75">
            <v>38443</v>
          </cell>
          <cell r="AE75">
            <v>23.985816666666665</v>
          </cell>
          <cell r="AF75">
            <v>23.696316666666661</v>
          </cell>
          <cell r="AG75">
            <v>30.006446879748143</v>
          </cell>
          <cell r="BI75">
            <v>38443</v>
          </cell>
          <cell r="BJ75">
            <v>851102.63304428104</v>
          </cell>
          <cell r="BK75">
            <v>2537214.1837110212</v>
          </cell>
          <cell r="BL75">
            <v>5239010.4683510568</v>
          </cell>
          <cell r="BN75">
            <v>38443</v>
          </cell>
          <cell r="BO75">
            <v>23.985816666666665</v>
          </cell>
          <cell r="BP75">
            <v>23.696316666666661</v>
          </cell>
          <cell r="BQ75">
            <v>31.438319127818659</v>
          </cell>
          <cell r="BR75">
            <v>31.058870159539335</v>
          </cell>
          <cell r="BT75">
            <v>43.40730731693931</v>
          </cell>
          <cell r="BU75">
            <v>42.883397056017579</v>
          </cell>
        </row>
        <row r="76">
          <cell r="AD76">
            <v>38473</v>
          </cell>
          <cell r="AE76">
            <v>22.928840322580644</v>
          </cell>
          <cell r="AF76">
            <v>19.782251612903224</v>
          </cell>
          <cell r="AG76">
            <v>30.006446879748143</v>
          </cell>
          <cell r="BI76">
            <v>38473</v>
          </cell>
          <cell r="BJ76">
            <v>859660.29564956482</v>
          </cell>
          <cell r="BK76">
            <v>2542209.3944602711</v>
          </cell>
          <cell r="BL76">
            <v>5247079.2256819354</v>
          </cell>
          <cell r="BN76">
            <v>38473</v>
          </cell>
          <cell r="BO76">
            <v>22.928840322580644</v>
          </cell>
          <cell r="BP76">
            <v>19.782251612903224</v>
          </cell>
          <cell r="BQ76">
            <v>30.098441745241583</v>
          </cell>
          <cell r="BR76">
            <v>25.967948635165207</v>
          </cell>
          <cell r="BT76">
            <v>41.650402025746587</v>
          </cell>
          <cell r="BU76">
            <v>35.934601186108246</v>
          </cell>
        </row>
        <row r="77">
          <cell r="AD77">
            <v>38504</v>
          </cell>
          <cell r="AE77">
            <v>26.860263333333332</v>
          </cell>
          <cell r="AF77">
            <v>20.949246666666664</v>
          </cell>
          <cell r="AG77">
            <v>30.006446879748143</v>
          </cell>
          <cell r="BI77">
            <v>38504</v>
          </cell>
          <cell r="BJ77">
            <v>874394.77665869333</v>
          </cell>
          <cell r="BK77">
            <v>2554910.3797545936</v>
          </cell>
          <cell r="BL77">
            <v>5265539.8569069961</v>
          </cell>
          <cell r="BN77">
            <v>38504</v>
          </cell>
          <cell r="BO77">
            <v>26.860263333333332</v>
          </cell>
          <cell r="BP77">
            <v>20.949246666666664</v>
          </cell>
          <cell r="BQ77">
            <v>35.31378142213925</v>
          </cell>
          <cell r="BR77">
            <v>27.542437263713072</v>
          </cell>
          <cell r="BT77">
            <v>48.979740034395419</v>
          </cell>
          <cell r="BU77">
            <v>38.200990173331313</v>
          </cell>
        </row>
        <row r="78">
          <cell r="AD78">
            <v>38534</v>
          </cell>
          <cell r="AE78">
            <v>41.801875806451612</v>
          </cell>
          <cell r="AF78">
            <v>35.963964516129032</v>
          </cell>
          <cell r="AG78">
            <v>30.006446879748143</v>
          </cell>
          <cell r="BI78">
            <v>38534</v>
          </cell>
          <cell r="BJ78">
            <v>884546.09221683908</v>
          </cell>
          <cell r="BK78">
            <v>2561637.6559386896</v>
          </cell>
          <cell r="BL78">
            <v>5275430.8646423323</v>
          </cell>
          <cell r="BN78">
            <v>38534</v>
          </cell>
          <cell r="BO78">
            <v>41.801875806451612</v>
          </cell>
          <cell r="BP78">
            <v>35.963964516129032</v>
          </cell>
          <cell r="BQ78">
            <v>55.042077404673421</v>
          </cell>
          <cell r="BR78">
            <v>47.355083485755578</v>
          </cell>
          <cell r="BT78">
            <v>76.516867868291925</v>
          </cell>
          <cell r="BU78">
            <v>65.830775959481471</v>
          </cell>
        </row>
        <row r="79">
          <cell r="AD79">
            <v>38565</v>
          </cell>
          <cell r="AE79">
            <v>50.109272580645154</v>
          </cell>
          <cell r="AF79">
            <v>49.538348387096775</v>
          </cell>
          <cell r="AG79">
            <v>30.006446879748143</v>
          </cell>
          <cell r="BI79">
            <v>38565</v>
          </cell>
          <cell r="BJ79">
            <v>865246.29996737558</v>
          </cell>
          <cell r="BK79">
            <v>2529166.5025549633</v>
          </cell>
          <cell r="BL79">
            <v>5230519.0340354787</v>
          </cell>
          <cell r="BN79">
            <v>38565</v>
          </cell>
          <cell r="BO79">
            <v>50.109272580645154</v>
          </cell>
          <cell r="BP79">
            <v>49.538348387096775</v>
          </cell>
          <cell r="BQ79">
            <v>66.077605438369389</v>
          </cell>
          <cell r="BR79">
            <v>65.324744707138564</v>
          </cell>
          <cell r="BT79">
            <v>92.059446634357172</v>
          </cell>
          <cell r="BU79">
            <v>91.010559619610689</v>
          </cell>
        </row>
        <row r="80">
          <cell r="AD80">
            <v>38596</v>
          </cell>
          <cell r="AE80">
            <v>43.744608333333332</v>
          </cell>
          <cell r="AF80">
            <v>46.993316666666658</v>
          </cell>
          <cell r="AG80">
            <v>30.006446879748143</v>
          </cell>
          <cell r="BI80">
            <v>38596</v>
          </cell>
          <cell r="BJ80">
            <v>822737.21144890971</v>
          </cell>
          <cell r="BK80">
            <v>2465780.0027782004</v>
          </cell>
          <cell r="BL80">
            <v>5141967.2215664275</v>
          </cell>
          <cell r="BN80">
            <v>38596</v>
          </cell>
          <cell r="BO80">
            <v>43.744608333333332</v>
          </cell>
          <cell r="BP80">
            <v>46.993316666666658</v>
          </cell>
          <cell r="BQ80">
            <v>57.771355615292769</v>
          </cell>
          <cell r="BR80">
            <v>62.06176514382777</v>
          </cell>
          <cell r="BT80">
            <v>80.668406657140437</v>
          </cell>
          <cell r="BU80">
            <v>86.659273530306109</v>
          </cell>
        </row>
        <row r="81">
          <cell r="AD81">
            <v>38626</v>
          </cell>
          <cell r="AE81">
            <v>28.204110483870966</v>
          </cell>
          <cell r="AF81">
            <v>30.434578225806455</v>
          </cell>
          <cell r="AG81">
            <v>30.006446879748143</v>
          </cell>
          <cell r="BI81">
            <v>38626</v>
          </cell>
          <cell r="BJ81">
            <v>789073.60941912513</v>
          </cell>
          <cell r="BK81">
            <v>2413953.1079441225</v>
          </cell>
          <cell r="BL81">
            <v>5068880.0888318988</v>
          </cell>
          <cell r="BN81">
            <v>38626</v>
          </cell>
          <cell r="BO81">
            <v>28.204110483870966</v>
          </cell>
          <cell r="BP81">
            <v>30.434578225806455</v>
          </cell>
          <cell r="BQ81">
            <v>37.301389390908653</v>
          </cell>
          <cell r="BR81">
            <v>40.251297909150196</v>
          </cell>
          <cell r="BT81">
            <v>52.198142470590113</v>
          </cell>
          <cell r="BU81">
            <v>56.326132007299123</v>
          </cell>
        </row>
        <row r="82">
          <cell r="AD82">
            <v>38657</v>
          </cell>
          <cell r="AE82">
            <v>27.438004166666669</v>
          </cell>
          <cell r="AF82">
            <v>34.108962499999997</v>
          </cell>
          <cell r="AG82">
            <v>30.006446879748143</v>
          </cell>
          <cell r="BI82">
            <v>38657</v>
          </cell>
          <cell r="BJ82">
            <v>786124.66424817219</v>
          </cell>
          <cell r="BK82">
            <v>2402187.030132357</v>
          </cell>
          <cell r="BL82">
            <v>5051232.4882626161</v>
          </cell>
          <cell r="BN82">
            <v>38657</v>
          </cell>
          <cell r="BO82">
            <v>27.438004166666669</v>
          </cell>
          <cell r="BP82">
            <v>34.108962499999997</v>
          </cell>
          <cell r="BQ82">
            <v>36.34161357326294</v>
          </cell>
          <cell r="BR82">
            <v>45.177292307063141</v>
          </cell>
          <cell r="BT82">
            <v>50.968090353330425</v>
          </cell>
          <cell r="BU82">
            <v>63.359881134151692</v>
          </cell>
        </row>
        <row r="83">
          <cell r="AD83">
            <v>38687</v>
          </cell>
          <cell r="AE83">
            <v>28.84424677419355</v>
          </cell>
          <cell r="AF83">
            <v>35.044738709677418</v>
          </cell>
          <cell r="AG83">
            <v>30.006446879748143</v>
          </cell>
          <cell r="BI83">
            <v>38687</v>
          </cell>
          <cell r="BJ83">
            <v>779165.3070617076</v>
          </cell>
          <cell r="BK83">
            <v>2385161.1971126739</v>
          </cell>
          <cell r="BL83">
            <v>5025876.1709102094</v>
          </cell>
          <cell r="BN83">
            <v>38687</v>
          </cell>
          <cell r="BO83">
            <v>28.84424677419355</v>
          </cell>
          <cell r="BP83">
            <v>35.044738709677418</v>
          </cell>
          <cell r="BQ83">
            <v>38.259887732064023</v>
          </cell>
          <cell r="BR83">
            <v>46.48440914849521</v>
          </cell>
          <cell r="BT83">
            <v>53.776889224809246</v>
          </cell>
          <cell r="BU83">
            <v>65.337016641697275</v>
          </cell>
        </row>
        <row r="84">
          <cell r="AD84">
            <v>38718</v>
          </cell>
          <cell r="AE84">
            <v>27.196704838709675</v>
          </cell>
          <cell r="AF84">
            <v>32.673646774193543</v>
          </cell>
          <cell r="AG84">
            <v>30.226092568311621</v>
          </cell>
          <cell r="BI84">
            <v>38718</v>
          </cell>
          <cell r="BJ84">
            <v>769903.07665061951</v>
          </cell>
          <cell r="BK84">
            <v>2364600.5622966373</v>
          </cell>
          <cell r="BL84">
            <v>4995092.9231656697</v>
          </cell>
          <cell r="BN84">
            <v>38718</v>
          </cell>
          <cell r="BO84">
            <v>27.196704838709675</v>
          </cell>
          <cell r="BP84">
            <v>32.673646774193543</v>
          </cell>
          <cell r="BQ84">
            <v>36.121604735586686</v>
          </cell>
          <cell r="BR84">
            <v>43.395865824441948</v>
          </cell>
          <cell r="BT84">
            <v>50.872005012383411</v>
          </cell>
          <cell r="BU84">
            <v>61.116739411158733</v>
          </cell>
        </row>
        <row r="85">
          <cell r="AD85">
            <v>38749</v>
          </cell>
          <cell r="AE85">
            <v>25.452671428571424</v>
          </cell>
          <cell r="AF85">
            <v>30.077850000000002</v>
          </cell>
          <cell r="AG85">
            <v>30.226092568311621</v>
          </cell>
          <cell r="BI85">
            <v>38749</v>
          </cell>
          <cell r="BJ85">
            <v>765176.91178210266</v>
          </cell>
          <cell r="BK85">
            <v>2349714.0127287023</v>
          </cell>
          <cell r="BL85">
            <v>4971720.6487447433</v>
          </cell>
          <cell r="BN85">
            <v>38749</v>
          </cell>
          <cell r="BO85">
            <v>25.452671428571424</v>
          </cell>
          <cell r="BP85">
            <v>30.077850000000002</v>
          </cell>
          <cell r="BQ85">
            <v>33.85363339243542</v>
          </cell>
          <cell r="BR85">
            <v>40.005408076326802</v>
          </cell>
          <cell r="BT85">
            <v>47.781887571201786</v>
          </cell>
          <cell r="BU85">
            <v>56.464660344854643</v>
          </cell>
        </row>
        <row r="86">
          <cell r="AD86">
            <v>38777</v>
          </cell>
          <cell r="AE86">
            <v>25.021949999999997</v>
          </cell>
          <cell r="AF86">
            <v>25.654022580645158</v>
          </cell>
          <cell r="AG86">
            <v>30.226092568311621</v>
          </cell>
          <cell r="BI86">
            <v>38777</v>
          </cell>
          <cell r="BJ86">
            <v>764918.4372736644</v>
          </cell>
          <cell r="BK86">
            <v>2341434.7277012672</v>
          </cell>
          <cell r="BL86">
            <v>4957581.1663485579</v>
          </cell>
          <cell r="BN86">
            <v>38777</v>
          </cell>
          <cell r="BO86">
            <v>25.021949999999997</v>
          </cell>
          <cell r="BP86">
            <v>25.654022580645158</v>
          </cell>
          <cell r="BQ86">
            <v>33.326410248694621</v>
          </cell>
          <cell r="BR86">
            <v>34.168259510224267</v>
          </cell>
          <cell r="BT86">
            <v>47.13641666035754</v>
          </cell>
          <cell r="BU86">
            <v>48.327116686569639</v>
          </cell>
        </row>
        <row r="87">
          <cell r="AD87">
            <v>38808</v>
          </cell>
          <cell r="AE87">
            <v>24.742816666666663</v>
          </cell>
          <cell r="AF87">
            <v>24.410316666666667</v>
          </cell>
          <cell r="AG87">
            <v>30.226092568311621</v>
          </cell>
          <cell r="BI87">
            <v>38808</v>
          </cell>
          <cell r="BJ87">
            <v>770509.18733433727</v>
          </cell>
          <cell r="BK87">
            <v>2339923.9470977513</v>
          </cell>
          <cell r="BL87">
            <v>4952430.0164520117</v>
          </cell>
          <cell r="BN87">
            <v>38808</v>
          </cell>
          <cell r="BO87">
            <v>24.742816666666663</v>
          </cell>
          <cell r="BP87">
            <v>24.410316666666667</v>
          </cell>
          <cell r="BQ87">
            <v>33.000923755844944</v>
          </cell>
          <cell r="BR87">
            <v>32.557449300343649</v>
          </cell>
          <cell r="BT87">
            <v>46.776608321883337</v>
          </cell>
          <cell r="BU87">
            <v>46.148012860155681</v>
          </cell>
        </row>
        <row r="88">
          <cell r="AD88">
            <v>38838</v>
          </cell>
          <cell r="AE88">
            <v>23.685840322580646</v>
          </cell>
          <cell r="AF88">
            <v>20.496251612903222</v>
          </cell>
          <cell r="AG88">
            <v>30.226092568311621</v>
          </cell>
          <cell r="BI88">
            <v>38838</v>
          </cell>
          <cell r="BJ88">
            <v>777575.78316943906</v>
          </cell>
          <cell r="BK88">
            <v>2340527.3391109537</v>
          </cell>
          <cell r="BL88">
            <v>4950099.0509590134</v>
          </cell>
          <cell r="BN88">
            <v>38838</v>
          </cell>
          <cell r="BO88">
            <v>23.685840322580646</v>
          </cell>
          <cell r="BP88">
            <v>20.496251612903222</v>
          </cell>
          <cell r="BQ88">
            <v>31.633715993281523</v>
          </cell>
          <cell r="BR88">
            <v>27.373848409815537</v>
          </cell>
          <cell r="BT88">
            <v>44.931595645004926</v>
          </cell>
          <cell r="BU88">
            <v>38.881005578311253</v>
          </cell>
        </row>
        <row r="89">
          <cell r="AD89">
            <v>38869</v>
          </cell>
          <cell r="AE89">
            <v>27.61726333333333</v>
          </cell>
          <cell r="AF89">
            <v>21.663246666666666</v>
          </cell>
          <cell r="AG89">
            <v>30.226092568311621</v>
          </cell>
          <cell r="BI89">
            <v>38869</v>
          </cell>
          <cell r="BJ89">
            <v>790404.19518299773</v>
          </cell>
          <cell r="BK89">
            <v>2348393.3578922004</v>
          </cell>
          <cell r="BL89">
            <v>4957714.5820766268</v>
          </cell>
          <cell r="BN89">
            <v>38869</v>
          </cell>
          <cell r="BO89">
            <v>27.61726333333333</v>
          </cell>
          <cell r="BP89">
            <v>21.663246666666666</v>
          </cell>
          <cell r="BQ89">
            <v>36.935199901782859</v>
          </cell>
          <cell r="BR89">
            <v>28.972325624647262</v>
          </cell>
          <cell r="BT89">
            <v>52.573333152661029</v>
          </cell>
          <cell r="BU89">
            <v>41.239027575925888</v>
          </cell>
        </row>
        <row r="90">
          <cell r="AD90">
            <v>38899</v>
          </cell>
          <cell r="AE90">
            <v>43.12887580645161</v>
          </cell>
          <cell r="AF90">
            <v>37.247964516129031</v>
          </cell>
          <cell r="AG90">
            <v>30.226092568311621</v>
          </cell>
          <cell r="BI90">
            <v>38899</v>
          </cell>
          <cell r="BJ90">
            <v>798973.79553046729</v>
          </cell>
          <cell r="BK90">
            <v>2350749.590241448</v>
          </cell>
          <cell r="BL90">
            <v>4957386.0548893502</v>
          </cell>
          <cell r="BN90">
            <v>38899</v>
          </cell>
          <cell r="BO90">
            <v>43.12887580645161</v>
          </cell>
          <cell r="BP90">
            <v>37.247964516129031</v>
          </cell>
          <cell r="BQ90">
            <v>57.759153719369998</v>
          </cell>
          <cell r="BR90">
            <v>49.883305975225724</v>
          </cell>
          <cell r="BT90">
            <v>82.387965614773492</v>
          </cell>
          <cell r="BU90">
            <v>71.15381429246726</v>
          </cell>
        </row>
        <row r="91">
          <cell r="AD91">
            <v>38930</v>
          </cell>
          <cell r="AE91">
            <v>51.436272580645159</v>
          </cell>
          <cell r="AF91">
            <v>50.822348387096774</v>
          </cell>
          <cell r="AG91">
            <v>30.226092568311621</v>
          </cell>
          <cell r="BI91">
            <v>38930</v>
          </cell>
          <cell r="BJ91">
            <v>778856.38308935892</v>
          </cell>
          <cell r="BK91">
            <v>2314239.5771816559</v>
          </cell>
          <cell r="BL91">
            <v>4901211.2586369114</v>
          </cell>
          <cell r="BN91">
            <v>38930</v>
          </cell>
          <cell r="BO91">
            <v>51.436272580645159</v>
          </cell>
          <cell r="BP91">
            <v>50.822348387096774</v>
          </cell>
          <cell r="BQ91">
            <v>68.974847175160562</v>
          </cell>
          <cell r="BR91">
            <v>68.151589086994434</v>
          </cell>
          <cell r="BT91">
            <v>98.586357988477417</v>
          </cell>
          <cell r="BU91">
            <v>97.409667935207054</v>
          </cell>
        </row>
        <row r="92">
          <cell r="AD92">
            <v>38961</v>
          </cell>
          <cell r="AE92">
            <v>45.07160833333333</v>
          </cell>
          <cell r="AF92">
            <v>48.277316666666664</v>
          </cell>
          <cell r="AG92">
            <v>30.226092568311621</v>
          </cell>
          <cell r="BI92">
            <v>38961</v>
          </cell>
          <cell r="BJ92">
            <v>736999.61005634069</v>
          </cell>
          <cell r="BK92">
            <v>2248334.9036438046</v>
          </cell>
          <cell r="BL92">
            <v>4802513.1582589792</v>
          </cell>
          <cell r="BN92">
            <v>38961</v>
          </cell>
          <cell r="BO92">
            <v>45.07160833333333</v>
          </cell>
          <cell r="BP92">
            <v>48.277316666666664</v>
          </cell>
          <cell r="BQ92">
            <v>60.521068855047439</v>
          </cell>
          <cell r="BR92">
            <v>64.825616705570468</v>
          </cell>
          <cell r="BT92">
            <v>86.684204983689668</v>
          </cell>
          <cell r="BU92">
            <v>92.849600197223154</v>
          </cell>
        </row>
        <row r="93">
          <cell r="AD93">
            <v>38991</v>
          </cell>
          <cell r="AE93">
            <v>28.961110483870968</v>
          </cell>
          <cell r="AF93">
            <v>31.14857822580645</v>
          </cell>
          <cell r="AG93">
            <v>30.226092568311621</v>
          </cell>
          <cell r="BI93">
            <v>38991</v>
          </cell>
          <cell r="BJ93">
            <v>703508.89363993704</v>
          </cell>
          <cell r="BK93">
            <v>2193693.5485373419</v>
          </cell>
          <cell r="BL93">
            <v>4719477.0172131024</v>
          </cell>
          <cell r="BN93">
            <v>38991</v>
          </cell>
          <cell r="BO93">
            <v>28.961110483870968</v>
          </cell>
          <cell r="BP93">
            <v>31.14857822580645</v>
          </cell>
          <cell r="BQ93">
            <v>38.938322863079897</v>
          </cell>
          <cell r="BR93">
            <v>41.879381536762061</v>
          </cell>
          <cell r="BT93">
            <v>55.88350852594521</v>
          </cell>
          <cell r="BU93">
            <v>60.104457590545522</v>
          </cell>
        </row>
        <row r="94">
          <cell r="AD94">
            <v>39022</v>
          </cell>
          <cell r="AE94">
            <v>28.195004166666671</v>
          </cell>
          <cell r="AF94">
            <v>34.822962499999996</v>
          </cell>
          <cell r="AG94">
            <v>30.226092568311621</v>
          </cell>
          <cell r="BI94">
            <v>39022</v>
          </cell>
          <cell r="BJ94">
            <v>699790.60808963235</v>
          </cell>
          <cell r="BK94">
            <v>2178510.4652858432</v>
          </cell>
          <cell r="BL94">
            <v>4692377.2451763013</v>
          </cell>
          <cell r="BN94">
            <v>39022</v>
          </cell>
          <cell r="BO94">
            <v>28.195004166666671</v>
          </cell>
          <cell r="BP94">
            <v>34.822962499999996</v>
          </cell>
          <cell r="BQ94">
            <v>37.958254610919809</v>
          </cell>
          <cell r="BR94">
            <v>46.881315181510871</v>
          </cell>
          <cell r="BT94">
            <v>54.589576640898272</v>
          </cell>
          <cell r="BU94">
            <v>67.422255695364797</v>
          </cell>
        </row>
        <row r="95">
          <cell r="AD95">
            <v>39052</v>
          </cell>
          <cell r="AE95">
            <v>29.601246774193548</v>
          </cell>
          <cell r="AF95">
            <v>35.758738709677417</v>
          </cell>
          <cell r="AG95">
            <v>30.226092568311621</v>
          </cell>
          <cell r="BI95">
            <v>39052</v>
          </cell>
          <cell r="BJ95">
            <v>692350.01804210106</v>
          </cell>
          <cell r="BK95">
            <v>2158494.8889618726</v>
          </cell>
          <cell r="BL95">
            <v>4658175.2011100668</v>
          </cell>
          <cell r="BN95">
            <v>39052</v>
          </cell>
          <cell r="BO95">
            <v>29.601246774193548</v>
          </cell>
          <cell r="BP95">
            <v>35.758738709677417</v>
          </cell>
          <cell r="BQ95">
            <v>39.903504975281123</v>
          </cell>
          <cell r="BR95">
            <v>48.204017178606314</v>
          </cell>
          <cell r="BT95">
            <v>57.505122630354023</v>
          </cell>
          <cell r="BU95">
            <v>69.467028544199181</v>
          </cell>
        </row>
        <row r="96">
          <cell r="AD96">
            <v>39083</v>
          </cell>
          <cell r="AE96">
            <v>27.910704838709677</v>
          </cell>
          <cell r="AF96">
            <v>33.387646774193549</v>
          </cell>
          <cell r="AG96">
            <v>30.444263012451042</v>
          </cell>
          <cell r="BI96">
            <v>39083</v>
          </cell>
          <cell r="BJ96">
            <v>682725.90913970815</v>
          </cell>
          <cell r="BK96">
            <v>2135037.0442183185</v>
          </cell>
          <cell r="BL96">
            <v>4618472.7930952348</v>
          </cell>
          <cell r="BN96">
            <v>39083</v>
          </cell>
          <cell r="BO96">
            <v>27.910704838709677</v>
          </cell>
          <cell r="BP96">
            <v>33.387646774193549</v>
          </cell>
          <cell r="BQ96">
            <v>37.668615508813758</v>
          </cell>
          <cell r="BR96">
            <v>45.060360759392601</v>
          </cell>
          <cell r="BT96">
            <v>54.384674798564483</v>
          </cell>
          <cell r="BU96">
            <v>65.056626932098666</v>
          </cell>
        </row>
        <row r="97">
          <cell r="AD97">
            <v>39114</v>
          </cell>
          <cell r="AE97">
            <v>26.166671428571426</v>
          </cell>
          <cell r="AF97">
            <v>30.791849999999997</v>
          </cell>
          <cell r="AG97">
            <v>30.444263012451042</v>
          </cell>
          <cell r="BI97">
            <v>39114</v>
          </cell>
          <cell r="BJ97">
            <v>677381.12200490991</v>
          </cell>
          <cell r="BK97">
            <v>2117059.6275614607</v>
          </cell>
          <cell r="BL97">
            <v>4586151.235586293</v>
          </cell>
          <cell r="BN97">
            <v>39114</v>
          </cell>
          <cell r="BO97">
            <v>26.166671428571426</v>
          </cell>
          <cell r="BP97">
            <v>30.791849999999997</v>
          </cell>
          <cell r="BQ97">
            <v>35.36021414606293</v>
          </cell>
          <cell r="BR97">
            <v>41.610428476759886</v>
          </cell>
          <cell r="BT97">
            <v>51.15573681106612</v>
          </cell>
          <cell r="BU97">
            <v>60.197942211552565</v>
          </cell>
        </row>
        <row r="98">
          <cell r="AD98">
            <v>39142</v>
          </cell>
          <cell r="AE98">
            <v>25.735949999999999</v>
          </cell>
          <cell r="AF98">
            <v>26.36802258064516</v>
          </cell>
          <cell r="AG98">
            <v>30.444263012451042</v>
          </cell>
          <cell r="BI98">
            <v>39142</v>
          </cell>
          <cell r="BJ98">
            <v>676316.17015286023</v>
          </cell>
          <cell r="BK98">
            <v>2105783.0472815046</v>
          </cell>
          <cell r="BL98">
            <v>4563853.6213658061</v>
          </cell>
          <cell r="BN98">
            <v>39142</v>
          </cell>
          <cell r="BO98">
            <v>25.735949999999999</v>
          </cell>
          <cell r="BP98">
            <v>26.36802258064516</v>
          </cell>
          <cell r="BQ98">
            <v>34.821026950722036</v>
          </cell>
          <cell r="BR98">
            <v>35.676228191222485</v>
          </cell>
          <cell r="BT98">
            <v>50.474327687999583</v>
          </cell>
          <cell r="BU98">
            <v>51.713972564449975</v>
          </cell>
        </row>
        <row r="99">
          <cell r="AD99">
            <v>39173</v>
          </cell>
          <cell r="AE99">
            <v>25.456816666666661</v>
          </cell>
          <cell r="AF99">
            <v>25.124316666666665</v>
          </cell>
          <cell r="AG99">
            <v>30.444263012451042</v>
          </cell>
          <cell r="BI99">
            <v>39173</v>
          </cell>
          <cell r="BJ99">
            <v>680648.8294238667</v>
          </cell>
          <cell r="BK99">
            <v>2100628.5673266891</v>
          </cell>
          <cell r="BL99">
            <v>4549507.6729242373</v>
          </cell>
          <cell r="BN99">
            <v>39173</v>
          </cell>
          <cell r="BO99">
            <v>25.456816666666661</v>
          </cell>
          <cell r="BP99">
            <v>25.124316666666665</v>
          </cell>
          <cell r="BQ99">
            <v>34.486854680614769</v>
          </cell>
          <cell r="BR99">
            <v>34.036410332782424</v>
          </cell>
          <cell r="BT99">
            <v>50.090538946503933</v>
          </cell>
          <cell r="BU99">
            <v>49.436289657686899</v>
          </cell>
        </row>
        <row r="100">
          <cell r="AD100">
            <v>39203</v>
          </cell>
          <cell r="AE100">
            <v>24.399840322580644</v>
          </cell>
          <cell r="AF100">
            <v>21.210251612903221</v>
          </cell>
          <cell r="AG100">
            <v>30.444263012451042</v>
          </cell>
          <cell r="BI100">
            <v>39203</v>
          </cell>
          <cell r="BJ100">
            <v>686398.50545100449</v>
          </cell>
          <cell r="BK100">
            <v>2097646.9301638743</v>
          </cell>
          <cell r="BL100">
            <v>4538301.0120786065</v>
          </cell>
          <cell r="BN100">
            <v>39203</v>
          </cell>
          <cell r="BO100">
            <v>24.399840322580644</v>
          </cell>
          <cell r="BP100">
            <v>21.210251612903221</v>
          </cell>
          <cell r="BQ100">
            <v>33.095005771428482</v>
          </cell>
          <cell r="BR100">
            <v>28.768770215797886</v>
          </cell>
          <cell r="BT100">
            <v>48.162065885482725</v>
          </cell>
          <cell r="BU100">
            <v>41.866238554149248</v>
          </cell>
        </row>
        <row r="101">
          <cell r="AD101">
            <v>39234</v>
          </cell>
          <cell r="AE101">
            <v>28.331263333333332</v>
          </cell>
          <cell r="AF101">
            <v>22.377246666666665</v>
          </cell>
          <cell r="AG101">
            <v>30.444263012451042</v>
          </cell>
          <cell r="BI101">
            <v>39234</v>
          </cell>
          <cell r="BJ101">
            <v>697523.0915004639</v>
          </cell>
          <cell r="BK101">
            <v>2101498.3069531349</v>
          </cell>
          <cell r="BL101">
            <v>4536580.6913051913</v>
          </cell>
          <cell r="BN101">
            <v>39234</v>
          </cell>
          <cell r="BO101">
            <v>28.331263333333332</v>
          </cell>
          <cell r="BP101">
            <v>22.377246666666665</v>
          </cell>
          <cell r="BQ101">
            <v>38.475157331279362</v>
          </cell>
          <cell r="BR101">
            <v>30.389329131252293</v>
          </cell>
          <cell r="BT101">
            <v>56.103126772288483</v>
          </cell>
          <cell r="BU101">
            <v>44.312655308867967</v>
          </cell>
        </row>
        <row r="102">
          <cell r="AD102">
            <v>39264</v>
          </cell>
          <cell r="AE102">
            <v>44.355875806451621</v>
          </cell>
          <cell r="AF102">
            <v>38.474964516129027</v>
          </cell>
          <cell r="AG102">
            <v>30.444263012451042</v>
          </cell>
          <cell r="BI102">
            <v>39264</v>
          </cell>
          <cell r="BJ102">
            <v>704690.04711900419</v>
          </cell>
          <cell r="BK102">
            <v>2100261.3192176768</v>
          </cell>
          <cell r="BL102">
            <v>4527491.4509541802</v>
          </cell>
          <cell r="BN102">
            <v>39264</v>
          </cell>
          <cell r="BO102">
            <v>44.355875806451621</v>
          </cell>
          <cell r="BP102">
            <v>38.474964516129027</v>
          </cell>
          <cell r="BQ102">
            <v>60.311492464510756</v>
          </cell>
          <cell r="BR102">
            <v>52.315110237307437</v>
          </cell>
          <cell r="BT102">
            <v>88.11832222408627</v>
          </cell>
          <cell r="BU102">
            <v>76.435179311675597</v>
          </cell>
        </row>
        <row r="103">
          <cell r="AD103">
            <v>39295</v>
          </cell>
          <cell r="AE103">
            <v>52.663272580645156</v>
          </cell>
          <cell r="AF103">
            <v>52.049348387096771</v>
          </cell>
          <cell r="AG103">
            <v>30.444263012451042</v>
          </cell>
          <cell r="BI103">
            <v>39295</v>
          </cell>
          <cell r="BJ103">
            <v>684061.17582847085</v>
          </cell>
          <cell r="BK103">
            <v>2060760.5165827279</v>
          </cell>
          <cell r="BL103">
            <v>4462005.2864829395</v>
          </cell>
          <cell r="BN103">
            <v>39295</v>
          </cell>
          <cell r="BO103">
            <v>52.663272580645156</v>
          </cell>
          <cell r="BP103">
            <v>52.049348387096771</v>
          </cell>
          <cell r="BQ103">
            <v>71.691839362420794</v>
          </cell>
          <cell r="BR103">
            <v>70.856088895201438</v>
          </cell>
          <cell r="BT103">
            <v>104.94539193897654</v>
          </cell>
          <cell r="BU103">
            <v>103.72198686072028</v>
          </cell>
        </row>
        <row r="104">
          <cell r="AD104">
            <v>39326</v>
          </cell>
          <cell r="AE104">
            <v>46.298608333333334</v>
          </cell>
          <cell r="AF104">
            <v>49.504316666666668</v>
          </cell>
          <cell r="AG104">
            <v>30.444263012451042</v>
          </cell>
          <cell r="BI104">
            <v>39326</v>
          </cell>
          <cell r="BJ104">
            <v>643076.68201527139</v>
          </cell>
          <cell r="BK104">
            <v>1993358.7133526425</v>
          </cell>
          <cell r="BL104">
            <v>4355216.4049774725</v>
          </cell>
          <cell r="BN104">
            <v>39326</v>
          </cell>
          <cell r="BO104">
            <v>46.298608333333334</v>
          </cell>
          <cell r="BP104">
            <v>49.504316666666668</v>
          </cell>
          <cell r="BQ104">
            <v>63.103805970646967</v>
          </cell>
          <cell r="BR104">
            <v>67.473103535893856</v>
          </cell>
          <cell r="BT104">
            <v>92.555018132518001</v>
          </cell>
          <cell r="BU104">
            <v>98.963512979340734</v>
          </cell>
        </row>
        <row r="105">
          <cell r="AD105">
            <v>39356</v>
          </cell>
          <cell r="AE105">
            <v>29.675110483870967</v>
          </cell>
          <cell r="AF105">
            <v>31.862578225806452</v>
          </cell>
          <cell r="AG105">
            <v>30.444263012451042</v>
          </cell>
          <cell r="BI105">
            <v>39356</v>
          </cell>
          <cell r="BJ105">
            <v>609998.89348429115</v>
          </cell>
          <cell r="BK105">
            <v>1936879.4784371401</v>
          </cell>
          <cell r="BL105">
            <v>4264151.6300767604</v>
          </cell>
          <cell r="BN105">
            <v>39356</v>
          </cell>
          <cell r="BO105">
            <v>29.675110483870967</v>
          </cell>
          <cell r="BP105">
            <v>31.862578225806452</v>
          </cell>
          <cell r="BQ105">
            <v>40.49343475341022</v>
          </cell>
          <cell r="BR105">
            <v>43.478363228449872</v>
          </cell>
          <cell r="BT105">
            <v>59.504283765628223</v>
          </cell>
          <cell r="BU105">
            <v>63.890575817178757</v>
          </cell>
        </row>
        <row r="106">
          <cell r="AD106">
            <v>39387</v>
          </cell>
          <cell r="AE106">
            <v>28.909004166666666</v>
          </cell>
          <cell r="AF106">
            <v>35.536962500000001</v>
          </cell>
          <cell r="AG106">
            <v>30.444263012451042</v>
          </cell>
          <cell r="BI106">
            <v>39387</v>
          </cell>
          <cell r="BJ106">
            <v>605643.69338835124</v>
          </cell>
          <cell r="BK106">
            <v>1919017.9204458864</v>
          </cell>
          <cell r="BL106">
            <v>4229077.9817465143</v>
          </cell>
          <cell r="BN106">
            <v>39387</v>
          </cell>
          <cell r="BO106">
            <v>28.909004166666666</v>
          </cell>
          <cell r="BP106">
            <v>35.536962500000001</v>
          </cell>
          <cell r="BQ106">
            <v>39.495051462053965</v>
          </cell>
          <cell r="BR106">
            <v>48.550069544108261</v>
          </cell>
          <cell r="BT106">
            <v>58.149851417963681</v>
          </cell>
          <cell r="BU106">
            <v>71.481849644737181</v>
          </cell>
        </row>
        <row r="107">
          <cell r="AD107">
            <v>39417</v>
          </cell>
          <cell r="AE107">
            <v>30.315246774193547</v>
          </cell>
          <cell r="AF107">
            <v>36.472738709677415</v>
          </cell>
          <cell r="AG107">
            <v>30.444263012451042</v>
          </cell>
          <cell r="BI107">
            <v>39417</v>
          </cell>
          <cell r="BJ107">
            <v>597835.00717440993</v>
          </cell>
          <cell r="BK107">
            <v>1896713.0643407153</v>
          </cell>
          <cell r="BL107">
            <v>4187461.4039030941</v>
          </cell>
          <cell r="BN107">
            <v>39417</v>
          </cell>
          <cell r="BO107">
            <v>30.315246774193547</v>
          </cell>
          <cell r="BP107">
            <v>36.472738709677415</v>
          </cell>
          <cell r="BQ107">
            <v>41.465197555091102</v>
          </cell>
          <cell r="BR107">
            <v>49.887415637315868</v>
          </cell>
          <cell r="BT107">
            <v>61.168491696307463</v>
          </cell>
          <cell r="BU107">
            <v>73.592751248974253</v>
          </cell>
        </row>
        <row r="108">
          <cell r="AD108">
            <v>39448</v>
          </cell>
          <cell r="AE108">
            <v>28.624704838709675</v>
          </cell>
          <cell r="AF108">
            <v>34.10164677419354</v>
          </cell>
          <cell r="AG108">
            <v>30.665104185885173</v>
          </cell>
          <cell r="BI108">
            <v>39448</v>
          </cell>
          <cell r="BJ108">
            <v>587958.44012683863</v>
          </cell>
          <cell r="BK108">
            <v>1871068.6120448783</v>
          </cell>
          <cell r="BL108">
            <v>4140307.9807522176</v>
          </cell>
          <cell r="BN108">
            <v>39448</v>
          </cell>
          <cell r="BO108">
            <v>28.624704838709675</v>
          </cell>
          <cell r="BP108">
            <v>34.10164677419354</v>
          </cell>
          <cell r="BQ108">
            <v>39.195830968179791</v>
          </cell>
          <cell r="BR108">
            <v>46.695411890860775</v>
          </cell>
          <cell r="BT108">
            <v>57.924753745678601</v>
          </cell>
          <cell r="BU108">
            <v>69.007855376940128</v>
          </cell>
        </row>
        <row r="109">
          <cell r="AD109">
            <v>39479</v>
          </cell>
          <cell r="AE109">
            <v>26.880671428571425</v>
          </cell>
          <cell r="AF109">
            <v>31.505849999999995</v>
          </cell>
          <cell r="AG109">
            <v>30.665104185885173</v>
          </cell>
          <cell r="BI109">
            <v>39479</v>
          </cell>
          <cell r="BJ109">
            <v>582099.29600480339</v>
          </cell>
          <cell r="BK109">
            <v>1850672.3201656584</v>
          </cell>
          <cell r="BL109">
            <v>4100416.7726933416</v>
          </cell>
          <cell r="BN109">
            <v>39479</v>
          </cell>
          <cell r="BO109">
            <v>26.880671428571425</v>
          </cell>
          <cell r="BP109">
            <v>31.505849999999995</v>
          </cell>
          <cell r="BQ109">
            <v>36.850560056296189</v>
          </cell>
          <cell r="BR109">
            <v>43.191191136528879</v>
          </cell>
          <cell r="BT109">
            <v>54.563040471807362</v>
          </cell>
          <cell r="BU109">
            <v>63.951340397751771</v>
          </cell>
        </row>
        <row r="110">
          <cell r="AD110">
            <v>39508</v>
          </cell>
          <cell r="AE110">
            <v>26.449950000000001</v>
          </cell>
          <cell r="AF110">
            <v>27.082022580645162</v>
          </cell>
          <cell r="AG110">
            <v>30.665104185885173</v>
          </cell>
          <cell r="BI110">
            <v>39508</v>
          </cell>
          <cell r="BJ110">
            <v>580272.34383206163</v>
          </cell>
          <cell r="BK110">
            <v>1836505.904384817</v>
          </cell>
          <cell r="BL110">
            <v>4070112.0776620461</v>
          </cell>
          <cell r="BN110">
            <v>39508</v>
          </cell>
          <cell r="BO110">
            <v>26.449950000000001</v>
          </cell>
          <cell r="BP110">
            <v>27.082022580645162</v>
          </cell>
          <cell r="BQ110">
            <v>36.300602336417185</v>
          </cell>
          <cell r="BR110">
            <v>37.168075257831134</v>
          </cell>
          <cell r="BT110">
            <v>53.847784731078512</v>
          </cell>
          <cell r="BU110">
            <v>55.134581426610936</v>
          </cell>
        </row>
        <row r="111">
          <cell r="AD111">
            <v>39539</v>
          </cell>
          <cell r="AE111">
            <v>26.170816666666664</v>
          </cell>
          <cell r="AF111">
            <v>25.838316666666664</v>
          </cell>
          <cell r="AG111">
            <v>30.665104185885173</v>
          </cell>
          <cell r="BI111">
            <v>39539</v>
          </cell>
          <cell r="BJ111">
            <v>583484.39218289126</v>
          </cell>
          <cell r="BK111">
            <v>1828358.9320418295</v>
          </cell>
          <cell r="BL111">
            <v>4047841.7166536665</v>
          </cell>
          <cell r="BN111">
            <v>39539</v>
          </cell>
          <cell r="BO111">
            <v>26.170816666666664</v>
          </cell>
          <cell r="BP111">
            <v>25.838316666666664</v>
          </cell>
          <cell r="BQ111">
            <v>35.958660919433463</v>
          </cell>
          <cell r="BR111">
            <v>35.501806442632208</v>
          </cell>
          <cell r="BT111">
            <v>53.441643888531971</v>
          </cell>
          <cell r="BU111">
            <v>52.762668263916886</v>
          </cell>
        </row>
        <row r="112">
          <cell r="AD112">
            <v>39569</v>
          </cell>
          <cell r="AE112">
            <v>25.113840322580643</v>
          </cell>
          <cell r="AF112">
            <v>21.924251612903223</v>
          </cell>
          <cell r="AG112">
            <v>30.665104185885173</v>
          </cell>
          <cell r="BI112">
            <v>39569</v>
          </cell>
          <cell r="BJ112">
            <v>588054.53100473853</v>
          </cell>
          <cell r="BK112">
            <v>1822412.8846774641</v>
          </cell>
          <cell r="BL112">
            <v>4028961.9170495672</v>
          </cell>
          <cell r="BN112">
            <v>39569</v>
          </cell>
          <cell r="BO112">
            <v>25.113840322580643</v>
          </cell>
          <cell r="BP112">
            <v>21.924251612903223</v>
          </cell>
          <cell r="BQ112">
            <v>34.544336746977478</v>
          </cell>
          <cell r="BR112">
            <v>30.15702580384044</v>
          </cell>
          <cell r="BT112">
            <v>51.433395423195819</v>
          </cell>
          <cell r="BU112">
            <v>44.90108593826627</v>
          </cell>
        </row>
        <row r="113">
          <cell r="AD113">
            <v>39600</v>
          </cell>
          <cell r="AE113">
            <v>29.045263333333331</v>
          </cell>
          <cell r="AF113">
            <v>23.091246666666663</v>
          </cell>
          <cell r="AG113">
            <v>30.665104185885173</v>
          </cell>
          <cell r="BI113">
            <v>39600</v>
          </cell>
          <cell r="BJ113">
            <v>597633.25016119145</v>
          </cell>
          <cell r="BK113">
            <v>1822881.974228357</v>
          </cell>
          <cell r="BL113">
            <v>4019099.4173785038</v>
          </cell>
          <cell r="BN113">
            <v>39600</v>
          </cell>
          <cell r="BO113">
            <v>29.045263333333331</v>
          </cell>
          <cell r="BP113">
            <v>23.091246666666663</v>
          </cell>
          <cell r="BQ113">
            <v>39.997114838732749</v>
          </cell>
          <cell r="BR113">
            <v>31.798067522983544</v>
          </cell>
          <cell r="BT113">
            <v>59.663901288491083</v>
          </cell>
          <cell r="BU113">
            <v>47.433340367311708</v>
          </cell>
        </row>
        <row r="114">
          <cell r="AD114">
            <v>39630</v>
          </cell>
          <cell r="AE114">
            <v>45.18387580645161</v>
          </cell>
          <cell r="AF114">
            <v>39.302964516129023</v>
          </cell>
          <cell r="AG114">
            <v>30.665104185885173</v>
          </cell>
          <cell r="BI114">
            <v>39630</v>
          </cell>
          <cell r="BJ114">
            <v>603538.20559928007</v>
          </cell>
          <cell r="BK114">
            <v>1818653.7181035522</v>
          </cell>
          <cell r="BL114">
            <v>4002409.4379903786</v>
          </cell>
          <cell r="BN114">
            <v>39630</v>
          </cell>
          <cell r="BO114">
            <v>45.18387580645161</v>
          </cell>
          <cell r="BP114">
            <v>39.302964516129023</v>
          </cell>
          <cell r="BQ114">
            <v>62.290618260198372</v>
          </cell>
          <cell r="BR114">
            <v>54.183177416107064</v>
          </cell>
          <cell r="BT114">
            <v>93.092880018167278</v>
          </cell>
          <cell r="BU114">
            <v>80.976368112623419</v>
          </cell>
        </row>
        <row r="115">
          <cell r="AD115">
            <v>39661</v>
          </cell>
          <cell r="AE115">
            <v>53.491272580645159</v>
          </cell>
          <cell r="AF115">
            <v>52.877348387096774</v>
          </cell>
          <cell r="AG115">
            <v>30.665104185885173</v>
          </cell>
          <cell r="BI115">
            <v>39661</v>
          </cell>
          <cell r="BJ115">
            <v>583218.46250950731</v>
          </cell>
          <cell r="BK115">
            <v>1777788.084307462</v>
          </cell>
          <cell r="BL115">
            <v>3930400.2887074659</v>
          </cell>
          <cell r="BN115">
            <v>39661</v>
          </cell>
          <cell r="BO115">
            <v>53.491272580645159</v>
          </cell>
          <cell r="BP115">
            <v>52.877348387096774</v>
          </cell>
          <cell r="BQ115">
            <v>73.8224850887364</v>
          </cell>
          <cell r="BR115">
            <v>72.975217722728019</v>
          </cell>
          <cell r="BT115">
            <v>110.52578299970561</v>
          </cell>
          <cell r="BU115">
            <v>109.25726855013632</v>
          </cell>
        </row>
        <row r="116">
          <cell r="AD116">
            <v>39692</v>
          </cell>
          <cell r="AE116">
            <v>47.12660833333333</v>
          </cell>
          <cell r="AF116">
            <v>50.332316666666671</v>
          </cell>
          <cell r="AG116">
            <v>30.665104185885173</v>
          </cell>
          <cell r="BI116">
            <v>39692</v>
          </cell>
          <cell r="BJ116">
            <v>543854.87051141635</v>
          </cell>
          <cell r="BK116">
            <v>1710493.2146060085</v>
          </cell>
          <cell r="BL116">
            <v>3818407.7078955276</v>
          </cell>
          <cell r="BN116">
            <v>39692</v>
          </cell>
          <cell r="BO116">
            <v>47.12660833333333</v>
          </cell>
          <cell r="BP116">
            <v>50.332316666666671</v>
          </cell>
          <cell r="BQ116">
            <v>65.110405241150175</v>
          </cell>
          <cell r="BR116">
            <v>69.539431136498379</v>
          </cell>
          <cell r="BT116">
            <v>97.662727582458771</v>
          </cell>
          <cell r="BU116">
            <v>104.30607049932443</v>
          </cell>
        </row>
        <row r="117">
          <cell r="AD117">
            <v>39722</v>
          </cell>
          <cell r="AE117">
            <v>30.389110483870969</v>
          </cell>
          <cell r="AF117">
            <v>32.57657822580645</v>
          </cell>
          <cell r="AG117">
            <v>30.665104185885173</v>
          </cell>
          <cell r="BI117">
            <v>39722</v>
          </cell>
          <cell r="BJ117">
            <v>511931.31824013544</v>
          </cell>
          <cell r="BK117">
            <v>1653714.8834862853</v>
          </cell>
          <cell r="BL117">
            <v>3722047.3419839931</v>
          </cell>
          <cell r="BN117">
            <v>39722</v>
          </cell>
          <cell r="BO117">
            <v>30.389110483870969</v>
          </cell>
          <cell r="BP117">
            <v>32.57657822580645</v>
          </cell>
          <cell r="BQ117">
            <v>42.030230642613184</v>
          </cell>
          <cell r="BR117">
            <v>45.055649032717817</v>
          </cell>
          <cell r="BT117">
            <v>63.155959866187359</v>
          </cell>
          <cell r="BU117">
            <v>67.702049656856971</v>
          </cell>
        </row>
        <row r="118">
          <cell r="AD118">
            <v>39753</v>
          </cell>
          <cell r="AE118">
            <v>29.623004166666668</v>
          </cell>
          <cell r="AF118">
            <v>36.2509625</v>
          </cell>
          <cell r="AG118">
            <v>30.665104185885173</v>
          </cell>
          <cell r="BI118">
            <v>39753</v>
          </cell>
          <cell r="BJ118">
            <v>507043.72119742492</v>
          </cell>
          <cell r="BK118">
            <v>1633753.7125261053</v>
          </cell>
          <cell r="BL118">
            <v>3680201.4281982267</v>
          </cell>
          <cell r="BN118">
            <v>39753</v>
          </cell>
          <cell r="BO118">
            <v>29.623004166666668</v>
          </cell>
          <cell r="BP118">
            <v>36.2509625</v>
          </cell>
          <cell r="BQ118">
            <v>41.015143173991206</v>
          </cell>
          <cell r="BR118">
            <v>50.192019984440115</v>
          </cell>
          <cell r="BT118">
            <v>61.743774449669509</v>
          </cell>
          <cell r="BU118">
            <v>75.558550361412898</v>
          </cell>
        </row>
        <row r="119">
          <cell r="AD119">
            <v>39783</v>
          </cell>
          <cell r="AE119">
            <v>31.029246774193549</v>
          </cell>
          <cell r="AF119">
            <v>37.186738709677421</v>
          </cell>
          <cell r="AG119">
            <v>30.665104185885173</v>
          </cell>
          <cell r="BI119">
            <v>39783</v>
          </cell>
          <cell r="BJ119">
            <v>498955.58840805013</v>
          </cell>
          <cell r="BK119">
            <v>1609708.6537806038</v>
          </cell>
          <cell r="BL119">
            <v>3632335.9157223534</v>
          </cell>
          <cell r="BN119">
            <v>39783</v>
          </cell>
          <cell r="BO119">
            <v>31.029246774193549</v>
          </cell>
          <cell r="BP119">
            <v>37.186738709677421</v>
          </cell>
          <cell r="BQ119">
            <v>43.008486388542067</v>
          </cell>
          <cell r="BR119">
            <v>51.543157243493823</v>
          </cell>
          <cell r="BT119">
            <v>64.862834478014861</v>
          </cell>
          <cell r="BU119">
            <v>77.734316119753231</v>
          </cell>
        </row>
        <row r="120">
          <cell r="AD120">
            <v>39814</v>
          </cell>
          <cell r="AE120">
            <v>29.317204838709678</v>
          </cell>
          <cell r="AF120">
            <v>34.79414677419355</v>
          </cell>
          <cell r="AG120">
            <v>30.892883021021351</v>
          </cell>
          <cell r="BI120">
            <v>39814</v>
          </cell>
          <cell r="BJ120">
            <v>488911.55538776657</v>
          </cell>
          <cell r="BK120">
            <v>1582434.2944432232</v>
          </cell>
          <cell r="BL120">
            <v>3578927.8876558789</v>
          </cell>
          <cell r="BN120">
            <v>39814</v>
          </cell>
          <cell r="BO120">
            <v>29.317204838709678</v>
          </cell>
          <cell r="BP120">
            <v>34.79414677419355</v>
          </cell>
          <cell r="BQ120">
            <v>40.67475949775482</v>
          </cell>
          <cell r="BR120">
            <v>48.273481723648274</v>
          </cell>
          <cell r="BT120">
            <v>61.444050852634206</v>
          </cell>
          <cell r="BU120">
            <v>72.922822469922096</v>
          </cell>
        </row>
        <row r="121">
          <cell r="AD121">
            <v>39845</v>
          </cell>
          <cell r="AE121">
            <v>27.573171428571428</v>
          </cell>
          <cell r="AF121">
            <v>32.198349999999998</v>
          </cell>
          <cell r="AG121">
            <v>30.892883021021351</v>
          </cell>
          <cell r="BI121">
            <v>39845</v>
          </cell>
          <cell r="BJ121">
            <v>482675.48473864002</v>
          </cell>
          <cell r="BK121">
            <v>1560222.2390101864</v>
          </cell>
          <cell r="BL121">
            <v>3532703.663581626</v>
          </cell>
          <cell r="BN121">
            <v>39845</v>
          </cell>
          <cell r="BO121">
            <v>27.573171428571428</v>
          </cell>
          <cell r="BP121">
            <v>32.198349999999998</v>
          </cell>
          <cell r="BQ121">
            <v>38.295726362184119</v>
          </cell>
          <cell r="BR121">
            <v>44.719527607046686</v>
          </cell>
          <cell r="BT121">
            <v>57.955057949129092</v>
          </cell>
          <cell r="BU121">
            <v>67.676554543258845</v>
          </cell>
        </row>
        <row r="122">
          <cell r="AD122">
            <v>39873</v>
          </cell>
          <cell r="AE122">
            <v>27.142449999999997</v>
          </cell>
          <cell r="AF122">
            <v>27.774522580645161</v>
          </cell>
          <cell r="AG122">
            <v>30.892883021021351</v>
          </cell>
          <cell r="BI122">
            <v>39873</v>
          </cell>
          <cell r="BJ122">
            <v>480347.70406269003</v>
          </cell>
          <cell r="BK122">
            <v>1544687.2472865074</v>
          </cell>
          <cell r="BL122">
            <v>3497584.4759304402</v>
          </cell>
          <cell r="BN122">
            <v>39873</v>
          </cell>
          <cell r="BO122">
            <v>27.142449999999997</v>
          </cell>
          <cell r="BP122">
            <v>27.774522580645161</v>
          </cell>
          <cell r="BQ122">
            <v>37.73598251593036</v>
          </cell>
          <cell r="BR122">
            <v>38.614749165662602</v>
          </cell>
          <cell r="BT122">
            <v>57.207670604112494</v>
          </cell>
          <cell r="BU122">
            <v>58.539879007975813</v>
          </cell>
        </row>
        <row r="123">
          <cell r="AD123">
            <v>39904</v>
          </cell>
          <cell r="AE123">
            <v>26.86331666666667</v>
          </cell>
          <cell r="AF123">
            <v>26.530816666666666</v>
          </cell>
          <cell r="AG123">
            <v>30.892883021021351</v>
          </cell>
          <cell r="BI123">
            <v>39904</v>
          </cell>
          <cell r="BJ123">
            <v>482606.64616740076</v>
          </cell>
          <cell r="BK123">
            <v>1534146.927721201</v>
          </cell>
          <cell r="BL123">
            <v>3468573.9017100488</v>
          </cell>
          <cell r="BN123">
            <v>39904</v>
          </cell>
          <cell r="BO123">
            <v>26.86331666666667</v>
          </cell>
          <cell r="BP123">
            <v>26.530816666666666</v>
          </cell>
          <cell r="BQ123">
            <v>37.387008574230286</v>
          </cell>
          <cell r="BR123">
            <v>36.924251852668917</v>
          </cell>
          <cell r="BT123">
            <v>56.78044858555787</v>
          </cell>
          <cell r="BU123">
            <v>56.077650067081379</v>
          </cell>
        </row>
        <row r="124">
          <cell r="AD124">
            <v>39934</v>
          </cell>
          <cell r="AE124">
            <v>25.806340322580645</v>
          </cell>
          <cell r="AF124">
            <v>22.616751612903222</v>
          </cell>
          <cell r="AG124">
            <v>30.892883021021351</v>
          </cell>
          <cell r="BI124">
            <v>39934</v>
          </cell>
          <cell r="BJ124">
            <v>486164.10077807633</v>
          </cell>
          <cell r="BK124">
            <v>1525810.0836889567</v>
          </cell>
          <cell r="BL124">
            <v>3443145.6729410808</v>
          </cell>
          <cell r="BN124">
            <v>39934</v>
          </cell>
          <cell r="BO124">
            <v>25.806340322580645</v>
          </cell>
          <cell r="BP124">
            <v>22.616751612903222</v>
          </cell>
          <cell r="BQ124">
            <v>35.952089945351062</v>
          </cell>
          <cell r="BR124">
            <v>31.508516050502429</v>
          </cell>
          <cell r="BT124">
            <v>54.695729959872374</v>
          </cell>
          <cell r="BU124">
            <v>47.935496599897512</v>
          </cell>
        </row>
        <row r="125">
          <cell r="AD125">
            <v>39965</v>
          </cell>
          <cell r="AE125">
            <v>29.737763333333334</v>
          </cell>
          <cell r="AF125">
            <v>23.783746666666666</v>
          </cell>
          <cell r="AG125">
            <v>30.892883021021351</v>
          </cell>
          <cell r="BI125">
            <v>39965</v>
          </cell>
          <cell r="BJ125">
            <v>494387.03522970062</v>
          </cell>
          <cell r="BK125">
            <v>1523487.5647711167</v>
          </cell>
          <cell r="BL125">
            <v>3426265.7141329059</v>
          </cell>
          <cell r="BN125">
            <v>39965</v>
          </cell>
          <cell r="BO125">
            <v>29.737763333333334</v>
          </cell>
          <cell r="BP125">
            <v>23.783746666666666</v>
          </cell>
          <cell r="BQ125">
            <v>41.471903831064289</v>
          </cell>
          <cell r="BR125">
            <v>33.168508453249366</v>
          </cell>
          <cell r="BT125">
            <v>63.205698239156888</v>
          </cell>
          <cell r="BU125">
            <v>50.550819776175281</v>
          </cell>
        </row>
        <row r="126">
          <cell r="AD126">
            <v>39995</v>
          </cell>
          <cell r="AE126">
            <v>45.99037580645161</v>
          </cell>
          <cell r="AF126">
            <v>40.10946451612903</v>
          </cell>
          <cell r="AG126">
            <v>30.892883021021351</v>
          </cell>
          <cell r="BI126">
            <v>39995</v>
          </cell>
          <cell r="BJ126">
            <v>499201.45772389416</v>
          </cell>
          <cell r="BK126">
            <v>1516826.612044917</v>
          </cell>
          <cell r="BL126">
            <v>3403059.4788964959</v>
          </cell>
          <cell r="BN126">
            <v>39995</v>
          </cell>
          <cell r="BO126">
            <v>45.99037580645161</v>
          </cell>
          <cell r="BP126">
            <v>40.10946451612903</v>
          </cell>
          <cell r="BQ126">
            <v>64.203296842877293</v>
          </cell>
          <cell r="BR126">
            <v>55.993451051048766</v>
          </cell>
          <cell r="BT126">
            <v>98.023299855544948</v>
          </cell>
          <cell r="BU126">
            <v>85.48880061028585</v>
          </cell>
        </row>
        <row r="127">
          <cell r="AD127">
            <v>40026</v>
          </cell>
          <cell r="AE127">
            <v>54.297772580645159</v>
          </cell>
          <cell r="AF127">
            <v>53.683848387096774</v>
          </cell>
          <cell r="AG127">
            <v>30.892883021021351</v>
          </cell>
          <cell r="BI127">
            <v>40026</v>
          </cell>
          <cell r="BJ127">
            <v>479284.21800693823</v>
          </cell>
          <cell r="BK127">
            <v>1475143.785925922</v>
          </cell>
          <cell r="BL127">
            <v>3325749.8606815394</v>
          </cell>
          <cell r="BN127">
            <v>40026</v>
          </cell>
          <cell r="BO127">
            <v>54.297772580645159</v>
          </cell>
          <cell r="BP127">
            <v>53.683848387096774</v>
          </cell>
          <cell r="BQ127">
            <v>75.875170918190577</v>
          </cell>
          <cell r="BR127">
            <v>75.017279315968565</v>
          </cell>
          <cell r="BT127">
            <v>116.04154759516824</v>
          </cell>
          <cell r="BU127">
            <v>114.72951010008204</v>
          </cell>
        </row>
        <row r="128">
          <cell r="AD128">
            <v>40057</v>
          </cell>
          <cell r="AE128">
            <v>47.93310833333333</v>
          </cell>
          <cell r="AF128">
            <v>51.138816666666671</v>
          </cell>
          <cell r="AG128">
            <v>30.892883021021351</v>
          </cell>
          <cell r="BI128">
            <v>40057</v>
          </cell>
          <cell r="BJ128">
            <v>441548.27848195308</v>
          </cell>
          <cell r="BK128">
            <v>1408445.5469638302</v>
          </cell>
          <cell r="BL128">
            <v>3209803.3837620458</v>
          </cell>
          <cell r="BN128">
            <v>40057</v>
          </cell>
          <cell r="BO128">
            <v>47.93310833333333</v>
          </cell>
          <cell r="BP128">
            <v>51.138816666666671</v>
          </cell>
          <cell r="BQ128">
            <v>67.048903608719982</v>
          </cell>
          <cell r="BR128">
            <v>71.533053218726934</v>
          </cell>
          <cell r="BT128">
            <v>102.72329910786857</v>
          </cell>
          <cell r="BU128">
            <v>109.59330915786542</v>
          </cell>
        </row>
        <row r="129">
          <cell r="AD129">
            <v>40087</v>
          </cell>
          <cell r="AE129">
            <v>31.081610483870968</v>
          </cell>
          <cell r="AF129">
            <v>33.269078225806453</v>
          </cell>
          <cell r="AG129">
            <v>30.892883021021351</v>
          </cell>
          <cell r="BI129">
            <v>40087</v>
          </cell>
          <cell r="BJ129">
            <v>410805.25668034982</v>
          </cell>
          <cell r="BK129">
            <v>1351833.6844355064</v>
          </cell>
          <cell r="BL129">
            <v>3109296.8019527248</v>
          </cell>
          <cell r="BN129">
            <v>40087</v>
          </cell>
          <cell r="BO129">
            <v>31.081610483870968</v>
          </cell>
          <cell r="BP129">
            <v>33.269078225806453</v>
          </cell>
          <cell r="BQ129">
            <v>43.519199186837149</v>
          </cell>
          <cell r="BR129">
            <v>46.582002011210463</v>
          </cell>
          <cell r="BT129">
            <v>66.787319162936896</v>
          </cell>
          <cell r="BU129">
            <v>71.487690345925841</v>
          </cell>
        </row>
        <row r="130">
          <cell r="AD130">
            <v>40118</v>
          </cell>
          <cell r="AE130">
            <v>30.31550416666667</v>
          </cell>
          <cell r="AF130">
            <v>36.943462500000003</v>
          </cell>
          <cell r="AG130">
            <v>30.892883021021351</v>
          </cell>
          <cell r="BI130">
            <v>40118</v>
          </cell>
          <cell r="BJ130">
            <v>405512.16901973728</v>
          </cell>
          <cell r="BK130">
            <v>1330280.4880451076</v>
          </cell>
          <cell r="BL130">
            <v>3061735.6620365344</v>
          </cell>
          <cell r="BN130">
            <v>40118</v>
          </cell>
          <cell r="BO130">
            <v>30.31550416666667</v>
          </cell>
          <cell r="BP130">
            <v>36.943462500000003</v>
          </cell>
          <cell r="BQ130">
            <v>42.488800244372918</v>
          </cell>
          <cell r="BR130">
            <v>51.778238285870991</v>
          </cell>
          <cell r="BT130">
            <v>65.319808727989312</v>
          </cell>
          <cell r="BU130">
            <v>79.600850145286614</v>
          </cell>
        </row>
        <row r="131">
          <cell r="AD131">
            <v>40148</v>
          </cell>
          <cell r="AE131">
            <v>31.721746774193555</v>
          </cell>
          <cell r="AF131">
            <v>37.879238709677423</v>
          </cell>
          <cell r="AG131">
            <v>30.892883021021351</v>
          </cell>
          <cell r="BI131">
            <v>40148</v>
          </cell>
          <cell r="BJ131">
            <v>397249.37423113827</v>
          </cell>
          <cell r="BK131">
            <v>1304964.5886098095</v>
          </cell>
          <cell r="BL131">
            <v>3008625.6300333235</v>
          </cell>
          <cell r="BN131">
            <v>40148</v>
          </cell>
          <cell r="BO131">
            <v>31.721746774193555</v>
          </cell>
          <cell r="BP131">
            <v>37.879238709677423</v>
          </cell>
          <cell r="BQ131">
            <v>44.503687733673928</v>
          </cell>
          <cell r="BR131">
            <v>53.142275648458018</v>
          </cell>
          <cell r="BT131">
            <v>68.536306739737498</v>
          </cell>
          <cell r="BU131">
            <v>81.83985395741783</v>
          </cell>
        </row>
        <row r="132">
          <cell r="AD132">
            <v>40179</v>
          </cell>
          <cell r="AE132">
            <v>29.952704838709678</v>
          </cell>
          <cell r="AF132">
            <v>35.429646774193543</v>
          </cell>
          <cell r="AG132">
            <v>31.131992297814335</v>
          </cell>
          <cell r="BI132">
            <v>40179</v>
          </cell>
          <cell r="BJ132">
            <v>387135.16332239378</v>
          </cell>
          <cell r="BK132">
            <v>1276526.3460188569</v>
          </cell>
          <cell r="BL132">
            <v>2949975.438614036</v>
          </cell>
          <cell r="BN132">
            <v>40179</v>
          </cell>
          <cell r="BO132">
            <v>29.952704838709678</v>
          </cell>
          <cell r="BP132">
            <v>35.429646774193543</v>
          </cell>
          <cell r="BQ132">
            <v>42.0591071040187</v>
          </cell>
          <cell r="BR132">
            <v>49.749741011955628</v>
          </cell>
          <cell r="BT132">
            <v>64.872915601306659</v>
          </cell>
          <cell r="BU132">
            <v>76.735122832578796</v>
          </cell>
        </row>
        <row r="133">
          <cell r="AD133">
            <v>40210</v>
          </cell>
          <cell r="AE133">
            <v>28.208671428571424</v>
          </cell>
          <cell r="AF133">
            <v>32.833849999999998</v>
          </cell>
          <cell r="AG133">
            <v>31.131992297814335</v>
          </cell>
          <cell r="BI133">
            <v>40210</v>
          </cell>
          <cell r="BJ133">
            <v>380689.2224639398</v>
          </cell>
          <cell r="BK133">
            <v>1253038.0362150129</v>
          </cell>
          <cell r="BL133">
            <v>2898514.278209399</v>
          </cell>
          <cell r="BN133">
            <v>40210</v>
          </cell>
          <cell r="BO133">
            <v>28.208671428571424</v>
          </cell>
          <cell r="BP133">
            <v>32.833849999999998</v>
          </cell>
          <cell r="BQ133">
            <v>39.648809061115792</v>
          </cell>
          <cell r="BR133">
            <v>46.149746991372041</v>
          </cell>
          <cell r="BT133">
            <v>61.260714397753503</v>
          </cell>
          <cell r="BU133">
            <v>71.305205299083582</v>
          </cell>
        </row>
        <row r="134">
          <cell r="AD134">
            <v>40238</v>
          </cell>
          <cell r="AE134">
            <v>27.777949999999997</v>
          </cell>
          <cell r="AF134">
            <v>28.410022580645162</v>
          </cell>
          <cell r="AG134">
            <v>31.131992297814335</v>
          </cell>
          <cell r="BI134">
            <v>40238</v>
          </cell>
          <cell r="BJ134">
            <v>377964.41096472205</v>
          </cell>
          <cell r="BK134">
            <v>1236132.4308040489</v>
          </cell>
          <cell r="BL134">
            <v>2858492.0948450509</v>
          </cell>
          <cell r="BN134">
            <v>40238</v>
          </cell>
          <cell r="BO134">
            <v>27.777949999999997</v>
          </cell>
          <cell r="BP134">
            <v>28.410022580645162</v>
          </cell>
          <cell r="BQ134">
            <v>39.080017093518606</v>
          </cell>
          <cell r="BR134">
            <v>39.969262241413162</v>
          </cell>
          <cell r="BT134">
            <v>60.48229161708057</v>
          </cell>
          <cell r="BU134">
            <v>61.858534217623145</v>
          </cell>
        </row>
        <row r="135">
          <cell r="AD135">
            <v>40269</v>
          </cell>
          <cell r="AE135">
            <v>27.498816666666663</v>
          </cell>
          <cell r="AF135">
            <v>27.166316666666663</v>
          </cell>
          <cell r="AG135">
            <v>31.131992297814335</v>
          </cell>
          <cell r="BI135">
            <v>40269</v>
          </cell>
          <cell r="BJ135">
            <v>379479.98188525485</v>
          </cell>
          <cell r="BK135">
            <v>1223745.9711784574</v>
          </cell>
          <cell r="BL135">
            <v>2823774.4979763608</v>
          </cell>
          <cell r="BN135">
            <v>40269</v>
          </cell>
          <cell r="BO135">
            <v>27.498816666666663</v>
          </cell>
          <cell r="BP135">
            <v>27.166316666666663</v>
          </cell>
          <cell r="BQ135">
            <v>38.724542230603369</v>
          </cell>
          <cell r="BR135">
            <v>38.256307162609211</v>
          </cell>
          <cell r="BT135">
            <v>60.034728108942723</v>
          </cell>
          <cell r="BU135">
            <v>59.308822433138857</v>
          </cell>
        </row>
        <row r="136">
          <cell r="AD136">
            <v>40299</v>
          </cell>
          <cell r="AE136">
            <v>26.441840322580646</v>
          </cell>
          <cell r="AF136">
            <v>23.252251612903223</v>
          </cell>
          <cell r="AG136">
            <v>31.131992297814335</v>
          </cell>
          <cell r="BI136">
            <v>40299</v>
          </cell>
          <cell r="BJ136">
            <v>382234.78756152606</v>
          </cell>
          <cell r="BK136">
            <v>1213544.6121546598</v>
          </cell>
          <cell r="BL136">
            <v>2792778.0417599678</v>
          </cell>
          <cell r="BN136">
            <v>40299</v>
          </cell>
          <cell r="BO136">
            <v>26.441840322580646</v>
          </cell>
          <cell r="BP136">
            <v>23.252251612903223</v>
          </cell>
          <cell r="BQ136">
            <v>37.270522011643109</v>
          </cell>
          <cell r="BR136">
            <v>32.774706487388457</v>
          </cell>
          <cell r="BT136">
            <v>57.875903703862946</v>
          </cell>
          <cell r="BU136">
            <v>50.894531501165879</v>
          </cell>
        </row>
        <row r="137">
          <cell r="AD137">
            <v>40330</v>
          </cell>
          <cell r="AE137">
            <v>30.373263333333334</v>
          </cell>
          <cell r="AF137">
            <v>24.419246666666663</v>
          </cell>
          <cell r="AG137">
            <v>31.131992297814335</v>
          </cell>
          <cell r="BI137">
            <v>40330</v>
          </cell>
          <cell r="BJ137">
            <v>389344.83621003153</v>
          </cell>
          <cell r="BK137">
            <v>1208986.7938125883</v>
          </cell>
          <cell r="BL137">
            <v>2769879.302327245</v>
          </cell>
          <cell r="BN137">
            <v>40330</v>
          </cell>
          <cell r="BO137">
            <v>30.373263333333334</v>
          </cell>
          <cell r="BP137">
            <v>24.419246666666663</v>
          </cell>
          <cell r="BQ137">
            <v>42.852616006260114</v>
          </cell>
          <cell r="BR137">
            <v>34.452294081301559</v>
          </cell>
          <cell r="BT137">
            <v>66.657153615109507</v>
          </cell>
          <cell r="BU137">
            <v>53.590470617587584</v>
          </cell>
        </row>
        <row r="138">
          <cell r="AD138">
            <v>40360</v>
          </cell>
          <cell r="AE138">
            <v>46.625875806451617</v>
          </cell>
          <cell r="AF138">
            <v>40.744964516129031</v>
          </cell>
          <cell r="AG138">
            <v>31.131992297814335</v>
          </cell>
          <cell r="BI138">
            <v>40360</v>
          </cell>
          <cell r="BJ138">
            <v>391738.00468794256</v>
          </cell>
          <cell r="BK138">
            <v>1202089.0821057628</v>
          </cell>
          <cell r="BL138">
            <v>2748942.4674069555</v>
          </cell>
          <cell r="BN138">
            <v>40360</v>
          </cell>
          <cell r="BO138">
            <v>46.625875806451617</v>
          </cell>
          <cell r="BP138">
            <v>40.744964516129031</v>
          </cell>
          <cell r="BQ138">
            <v>65.84490143924468</v>
          </cell>
          <cell r="BR138">
            <v>57.539898743066878</v>
          </cell>
          <cell r="BT138">
            <v>102.59492341473771</v>
          </cell>
          <cell r="BU138">
            <v>89.65464866378008</v>
          </cell>
        </row>
        <row r="139">
          <cell r="AD139">
            <v>40391</v>
          </cell>
          <cell r="AE139">
            <v>54.933272580645159</v>
          </cell>
          <cell r="AF139">
            <v>54.319348387096767</v>
          </cell>
          <cell r="AG139">
            <v>31.131992297814335</v>
          </cell>
          <cell r="BI139">
            <v>40391</v>
          </cell>
          <cell r="BJ139">
            <v>376287.31456056889</v>
          </cell>
          <cell r="BK139">
            <v>1169621.0343899741</v>
          </cell>
          <cell r="BL139">
            <v>2687682.0348701612</v>
          </cell>
          <cell r="BN139">
            <v>40391</v>
          </cell>
          <cell r="BO139">
            <v>54.933272580645159</v>
          </cell>
          <cell r="BP139">
            <v>54.319348387096767</v>
          </cell>
          <cell r="BQ139">
            <v>77.646883546483124</v>
          </cell>
          <cell r="BR139">
            <v>76.779116196689074</v>
          </cell>
          <cell r="BT139">
            <v>121.18132617470354</v>
          </cell>
          <cell r="BU139">
            <v>119.82702586725851</v>
          </cell>
        </row>
        <row r="140">
          <cell r="AD140">
            <v>40422</v>
          </cell>
          <cell r="AE140">
            <v>48.56860833333333</v>
          </cell>
          <cell r="AF140">
            <v>51.774316666666671</v>
          </cell>
          <cell r="AG140">
            <v>31.131992297814335</v>
          </cell>
          <cell r="BI140">
            <v>40422</v>
          </cell>
          <cell r="BJ140">
            <v>348579.10880196397</v>
          </cell>
          <cell r="BK140">
            <v>1119754.8682487658</v>
          </cell>
          <cell r="BL140">
            <v>2598999.6349822977</v>
          </cell>
          <cell r="BN140">
            <v>40422</v>
          </cell>
          <cell r="BO140">
            <v>48.56860833333333</v>
          </cell>
          <cell r="BP140">
            <v>51.774316666666671</v>
          </cell>
          <cell r="BQ140">
            <v>68.714442060080145</v>
          </cell>
          <cell r="BR140">
            <v>73.249850157848712</v>
          </cell>
          <cell r="BT140">
            <v>107.42083718578832</v>
          </cell>
          <cell r="BU140">
            <v>114.51101095763563</v>
          </cell>
        </row>
        <row r="141">
          <cell r="AD141">
            <v>40452</v>
          </cell>
          <cell r="AE141">
            <v>31.717110483870968</v>
          </cell>
          <cell r="AF141">
            <v>33.904578225806453</v>
          </cell>
          <cell r="AG141">
            <v>31.131992297814335</v>
          </cell>
          <cell r="BI141">
            <v>40452</v>
          </cell>
          <cell r="BJ141">
            <v>326331.91189349908</v>
          </cell>
          <cell r="BK141">
            <v>1077868.6029002066</v>
          </cell>
          <cell r="BL141">
            <v>2522817.4404213498</v>
          </cell>
          <cell r="BN141">
            <v>40452</v>
          </cell>
          <cell r="BO141">
            <v>31.717110483870968</v>
          </cell>
          <cell r="BP141">
            <v>33.904578225806453</v>
          </cell>
          <cell r="BQ141">
            <v>44.91321712944184</v>
          </cell>
          <cell r="BR141">
            <v>48.010794814116466</v>
          </cell>
          <cell r="BT141">
            <v>70.32624051171841</v>
          </cell>
          <cell r="BU141">
            <v>75.176505248451306</v>
          </cell>
        </row>
        <row r="142">
          <cell r="AD142">
            <v>40483</v>
          </cell>
          <cell r="AE142">
            <v>30.951004166666671</v>
          </cell>
          <cell r="AF142">
            <v>37.578962499999996</v>
          </cell>
          <cell r="AG142">
            <v>31.131992297814335</v>
          </cell>
          <cell r="BI142">
            <v>40483</v>
          </cell>
          <cell r="BJ142">
            <v>322310.27038998436</v>
          </cell>
          <cell r="BK142">
            <v>1061369.2328088251</v>
          </cell>
          <cell r="BL142">
            <v>2485752.8802511115</v>
          </cell>
          <cell r="BN142">
            <v>40483</v>
          </cell>
          <cell r="BO142">
            <v>30.951004166666671</v>
          </cell>
          <cell r="BP142">
            <v>37.578962499999996</v>
          </cell>
          <cell r="BQ142">
            <v>43.868598849736372</v>
          </cell>
          <cell r="BR142">
            <v>53.262776943347504</v>
          </cell>
          <cell r="BT142">
            <v>68.805079222154191</v>
          </cell>
          <cell r="BU142">
            <v>83.539244089647411</v>
          </cell>
        </row>
        <row r="143">
          <cell r="AD143">
            <v>40513</v>
          </cell>
          <cell r="AE143">
            <v>32.357246774193548</v>
          </cell>
          <cell r="AF143">
            <v>38.514738709677417</v>
          </cell>
          <cell r="AG143">
            <v>31.131992297814335</v>
          </cell>
          <cell r="BI143">
            <v>40513</v>
          </cell>
          <cell r="BJ143">
            <v>316618.9218059401</v>
          </cell>
          <cell r="BK143">
            <v>1042820.8325230735</v>
          </cell>
          <cell r="BL143">
            <v>2445678.0490376442</v>
          </cell>
          <cell r="BN143">
            <v>40513</v>
          </cell>
          <cell r="BO143">
            <v>32.357246774193548</v>
          </cell>
          <cell r="BP143">
            <v>38.514738709677417</v>
          </cell>
          <cell r="BQ143">
            <v>45.903561545812146</v>
          </cell>
          <cell r="BR143">
            <v>54.638878614066336</v>
          </cell>
          <cell r="BT143">
            <v>72.116385127778656</v>
          </cell>
          <cell r="BU143">
            <v>85.839927892075337</v>
          </cell>
        </row>
        <row r="144">
          <cell r="AD144">
            <v>40544</v>
          </cell>
          <cell r="AE144">
            <v>30.588204838709679</v>
          </cell>
          <cell r="AF144">
            <v>36.065146774193543</v>
          </cell>
          <cell r="AG144">
            <v>31.386961566223764</v>
          </cell>
          <cell r="BI144">
            <v>40544</v>
          </cell>
          <cell r="BJ144">
            <v>309550.83973989356</v>
          </cell>
          <cell r="BK144">
            <v>1021932.903119378</v>
          </cell>
          <cell r="BL144">
            <v>2401386.4810027173</v>
          </cell>
          <cell r="BN144">
            <v>40544</v>
          </cell>
          <cell r="BO144">
            <v>30.588204838709679</v>
          </cell>
          <cell r="BP144">
            <v>36.065146774193543</v>
          </cell>
          <cell r="BQ144">
            <v>43.429421167785087</v>
          </cell>
          <cell r="BR144">
            <v>51.205634884211428</v>
          </cell>
          <cell r="BT144">
            <v>68.331414634360868</v>
          </cell>
          <cell r="BU144">
            <v>80.566431115231737</v>
          </cell>
        </row>
        <row r="145">
          <cell r="AD145">
            <v>40575</v>
          </cell>
          <cell r="AE145">
            <v>28.844171428571428</v>
          </cell>
          <cell r="AF145">
            <v>33.469349999999999</v>
          </cell>
          <cell r="AG145">
            <v>31.386961566223764</v>
          </cell>
          <cell r="BI145">
            <v>40575</v>
          </cell>
          <cell r="BJ145">
            <v>305068.09301536391</v>
          </cell>
          <cell r="BK145">
            <v>1004571.7847864525</v>
          </cell>
          <cell r="BL145">
            <v>2362317.2730265544</v>
          </cell>
          <cell r="BN145">
            <v>40575</v>
          </cell>
          <cell r="BO145">
            <v>28.844171428571428</v>
          </cell>
          <cell r="BP145">
            <v>33.469349999999999</v>
          </cell>
          <cell r="BQ145">
            <v>40.990094892610372</v>
          </cell>
          <cell r="BR145">
            <v>47.562878895354558</v>
          </cell>
          <cell r="BT145">
            <v>64.599793211423787</v>
          </cell>
          <cell r="BU145">
            <v>74.958405176412796</v>
          </cell>
        </row>
        <row r="146">
          <cell r="AD146">
            <v>40603</v>
          </cell>
          <cell r="AE146">
            <v>28.413449999999997</v>
          </cell>
          <cell r="AF146">
            <v>29.045522580645162</v>
          </cell>
          <cell r="AG146">
            <v>31.386961566223764</v>
          </cell>
          <cell r="BI146">
            <v>40603</v>
          </cell>
          <cell r="BJ146">
            <v>303168.54584062379</v>
          </cell>
          <cell r="BK146">
            <v>991922.90144767682</v>
          </cell>
          <cell r="BL146">
            <v>2331672.5493230373</v>
          </cell>
          <cell r="BN146">
            <v>40603</v>
          </cell>
          <cell r="BO146">
            <v>28.413449999999997</v>
          </cell>
          <cell r="BP146">
            <v>29.045522580645162</v>
          </cell>
          <cell r="BQ146">
            <v>40.412950792828703</v>
          </cell>
          <cell r="BR146">
            <v>41.311958766133927</v>
          </cell>
          <cell r="BT146">
            <v>63.791534178358226</v>
          </cell>
          <cell r="BU146">
            <v>65.210611398175928</v>
          </cell>
        </row>
        <row r="147">
          <cell r="AD147">
            <v>40634</v>
          </cell>
          <cell r="AE147">
            <v>28.134316666666667</v>
          </cell>
          <cell r="AF147">
            <v>27.801816666666667</v>
          </cell>
          <cell r="AG147">
            <v>31.386961566223764</v>
          </cell>
          <cell r="BI147">
            <v>40634</v>
          </cell>
          <cell r="BJ147">
            <v>303910.15683821822</v>
          </cell>
          <cell r="BK147">
            <v>981940.6770170154</v>
          </cell>
          <cell r="BL147">
            <v>2303953.5661430126</v>
          </cell>
          <cell r="BN147">
            <v>40634</v>
          </cell>
          <cell r="BO147">
            <v>28.134316666666667</v>
          </cell>
          <cell r="BP147">
            <v>27.801816666666667</v>
          </cell>
          <cell r="BQ147">
            <v>40.051492933104413</v>
          </cell>
          <cell r="BR147">
            <v>39.578152081857247</v>
          </cell>
          <cell r="BT147">
            <v>63.324529014633072</v>
          </cell>
          <cell r="BU147">
            <v>62.576140271205311</v>
          </cell>
        </row>
        <row r="148">
          <cell r="AD148">
            <v>40664</v>
          </cell>
          <cell r="AE148">
            <v>27.077340322580646</v>
          </cell>
          <cell r="AF148">
            <v>23.887751612903223</v>
          </cell>
          <cell r="AG148">
            <v>31.386961566223764</v>
          </cell>
          <cell r="BI148">
            <v>40664</v>
          </cell>
          <cell r="BJ148">
            <v>305459.96167377243</v>
          </cell>
          <cell r="BK148">
            <v>973452.20823798981</v>
          </cell>
          <cell r="BL148">
            <v>2278866.5993712633</v>
          </cell>
          <cell r="BN148">
            <v>40664</v>
          </cell>
          <cell r="BO148">
            <v>27.077340322580646</v>
          </cell>
          <cell r="BP148">
            <v>23.887751612903223</v>
          </cell>
          <cell r="BQ148">
            <v>38.579734430225564</v>
          </cell>
          <cell r="BR148">
            <v>34.035215511638029</v>
          </cell>
          <cell r="BT148">
            <v>61.093911225275527</v>
          </cell>
          <cell r="BU148">
            <v>53.89732370402367</v>
          </cell>
        </row>
        <row r="149">
          <cell r="AD149">
            <v>40695</v>
          </cell>
          <cell r="AE149">
            <v>31.008763333333334</v>
          </cell>
          <cell r="AF149">
            <v>25.054746666666666</v>
          </cell>
          <cell r="AG149">
            <v>31.386961566223764</v>
          </cell>
          <cell r="BI149">
            <v>40695</v>
          </cell>
          <cell r="BJ149">
            <v>309837.61918805796</v>
          </cell>
          <cell r="BK149">
            <v>968624.81295202719</v>
          </cell>
          <cell r="BL149">
            <v>2259077.5439261361</v>
          </cell>
          <cell r="BN149">
            <v>40695</v>
          </cell>
          <cell r="BO149">
            <v>31.008763333333334</v>
          </cell>
          <cell r="BP149">
            <v>25.054746666666666</v>
          </cell>
          <cell r="BQ149">
            <v>44.219972556359927</v>
          </cell>
          <cell r="BR149">
            <v>35.729261373528395</v>
          </cell>
          <cell r="BT149">
            <v>70.139551624828314</v>
          </cell>
          <cell r="BU149">
            <v>56.672001988050738</v>
          </cell>
        </row>
        <row r="150">
          <cell r="AD150">
            <v>40725</v>
          </cell>
          <cell r="AE150">
            <v>47.261375806451618</v>
          </cell>
          <cell r="AF150">
            <v>41.380464516129031</v>
          </cell>
          <cell r="AG150">
            <v>31.386961566223764</v>
          </cell>
          <cell r="BI150">
            <v>40725</v>
          </cell>
          <cell r="BJ150">
            <v>311682.00362085039</v>
          </cell>
          <cell r="BK150">
            <v>960538.50391457416</v>
          </cell>
          <cell r="BL150">
            <v>2234420.7138134637</v>
          </cell>
          <cell r="BN150">
            <v>40725</v>
          </cell>
          <cell r="BO150">
            <v>47.261375806451618</v>
          </cell>
          <cell r="BP150">
            <v>41.380464516129031</v>
          </cell>
          <cell r="BQ150">
            <v>67.455706681908111</v>
          </cell>
          <cell r="BR150">
            <v>59.061938615423493</v>
          </cell>
          <cell r="BT150">
            <v>107.16835288400523</v>
          </cell>
          <cell r="BU150">
            <v>93.832990430278542</v>
          </cell>
        </row>
        <row r="151">
          <cell r="AD151">
            <v>40756</v>
          </cell>
          <cell r="AE151">
            <v>55.56877258064516</v>
          </cell>
          <cell r="AF151">
            <v>54.954848387096774</v>
          </cell>
          <cell r="AG151">
            <v>31.386961566223764</v>
          </cell>
          <cell r="BI151">
            <v>40756</v>
          </cell>
          <cell r="BJ151">
            <v>296806.4297907541</v>
          </cell>
          <cell r="BK151">
            <v>928214.66371263261</v>
          </cell>
          <cell r="BL151">
            <v>2170735.8738907063</v>
          </cell>
          <cell r="BN151">
            <v>40756</v>
          </cell>
          <cell r="BO151">
            <v>55.56877258064516</v>
          </cell>
          <cell r="BP151">
            <v>54.954848387096774</v>
          </cell>
          <cell r="BQ151">
            <v>79.379236233338332</v>
          </cell>
          <cell r="BR151">
            <v>78.502253868498173</v>
          </cell>
          <cell r="BT151">
            <v>126.30865045916464</v>
          </cell>
          <cell r="BU151">
            <v>124.91319159314793</v>
          </cell>
        </row>
        <row r="152">
          <cell r="AD152">
            <v>40787</v>
          </cell>
          <cell r="AE152">
            <v>49.204108333333323</v>
          </cell>
          <cell r="AF152">
            <v>52.409816666666664</v>
          </cell>
          <cell r="AG152">
            <v>31.386961566223764</v>
          </cell>
          <cell r="BI152">
            <v>40787</v>
          </cell>
          <cell r="BJ152">
            <v>270456.21244734991</v>
          </cell>
          <cell r="BK152">
            <v>879445.39968488156</v>
          </cell>
          <cell r="BL152">
            <v>2080637.860705079</v>
          </cell>
          <cell r="BN152">
            <v>40787</v>
          </cell>
          <cell r="BO152">
            <v>49.204108333333323</v>
          </cell>
          <cell r="BP152">
            <v>52.409816666666664</v>
          </cell>
          <cell r="BQ152">
            <v>70.347876304108851</v>
          </cell>
          <cell r="BR152">
            <v>74.931127193905169</v>
          </cell>
          <cell r="BT152">
            <v>112.11809565438696</v>
          </cell>
          <cell r="BU152">
            <v>119.42272784326551</v>
          </cell>
        </row>
        <row r="153">
          <cell r="AD153">
            <v>40817</v>
          </cell>
          <cell r="AE153">
            <v>32.352610483870968</v>
          </cell>
          <cell r="AF153">
            <v>34.540078225806454</v>
          </cell>
          <cell r="AG153">
            <v>31.386961566223764</v>
          </cell>
          <cell r="BI153">
            <v>40817</v>
          </cell>
          <cell r="BJ153">
            <v>249235.47100641811</v>
          </cell>
          <cell r="BK153">
            <v>838297.60952717881</v>
          </cell>
          <cell r="BL153">
            <v>2002792.8068427113</v>
          </cell>
          <cell r="BN153">
            <v>40817</v>
          </cell>
          <cell r="BO153">
            <v>32.352610483870968</v>
          </cell>
          <cell r="BP153">
            <v>34.540078225806454</v>
          </cell>
          <cell r="BQ153">
            <v>46.293299026020392</v>
          </cell>
          <cell r="BR153">
            <v>49.423343148354121</v>
          </cell>
          <cell r="BT153">
            <v>73.895258658291979</v>
          </cell>
          <cell r="BU153">
            <v>78.891563196918881</v>
          </cell>
        </row>
        <row r="154">
          <cell r="AD154">
            <v>40848</v>
          </cell>
          <cell r="AE154">
            <v>31.586504166666668</v>
          </cell>
          <cell r="AF154">
            <v>38.214462499999996</v>
          </cell>
          <cell r="AG154">
            <v>31.386961566223764</v>
          </cell>
          <cell r="BI154">
            <v>40848</v>
          </cell>
          <cell r="BJ154">
            <v>245069.11295271199</v>
          </cell>
          <cell r="BK154">
            <v>821136.33775473689</v>
          </cell>
          <cell r="BL154">
            <v>1962574.5451058932</v>
          </cell>
          <cell r="BN154">
            <v>40848</v>
          </cell>
          <cell r="BO154">
            <v>31.586504166666668</v>
          </cell>
          <cell r="BP154">
            <v>38.214462499999996</v>
          </cell>
          <cell r="BQ154">
            <v>45.23547708617744</v>
          </cell>
          <cell r="BR154">
            <v>54.727469480576005</v>
          </cell>
          <cell r="BT154">
            <v>72.322171254729483</v>
          </cell>
          <cell r="BU154">
            <v>87.49790374868499</v>
          </cell>
        </row>
        <row r="155">
          <cell r="AD155">
            <v>40878</v>
          </cell>
          <cell r="AE155">
            <v>32.992746774193549</v>
          </cell>
          <cell r="AF155">
            <v>39.150238709677417</v>
          </cell>
          <cell r="AG155">
            <v>31.386961566223764</v>
          </cell>
          <cell r="BI155">
            <v>40878</v>
          </cell>
          <cell r="BJ155">
            <v>239354.71018596995</v>
          </cell>
          <cell r="BK155">
            <v>802100.96132027428</v>
          </cell>
          <cell r="BL155">
            <v>1919630.2491608963</v>
          </cell>
          <cell r="BN155">
            <v>40878</v>
          </cell>
          <cell r="BO155">
            <v>32.992746774193549</v>
          </cell>
          <cell r="BP155">
            <v>39.150238709677417</v>
          </cell>
          <cell r="BQ155">
            <v>47.289262519913294</v>
          </cell>
          <cell r="BR155">
            <v>56.114937283952798</v>
          </cell>
          <cell r="BT155">
            <v>75.726224826839413</v>
          </cell>
          <cell r="BU155">
            <v>89.859137793049982</v>
          </cell>
        </row>
        <row r="156">
          <cell r="AD156">
            <v>40909</v>
          </cell>
          <cell r="AE156">
            <v>31.223704838709676</v>
          </cell>
          <cell r="AF156">
            <v>36.700646774193544</v>
          </cell>
          <cell r="AG156">
            <v>31.662474422862672</v>
          </cell>
          <cell r="BI156">
            <v>40909</v>
          </cell>
          <cell r="BJ156">
            <v>232340.86479605967</v>
          </cell>
          <cell r="BK156">
            <v>780817.66443309002</v>
          </cell>
          <cell r="BL156">
            <v>1872510.7338340073</v>
          </cell>
          <cell r="BN156">
            <v>40909</v>
          </cell>
          <cell r="BO156">
            <v>31.223704838709676</v>
          </cell>
          <cell r="BP156">
            <v>36.700646774193544</v>
          </cell>
          <cell r="BQ156">
            <v>44.788776944327829</v>
          </cell>
          <cell r="BR156">
            <v>52.645164645677852</v>
          </cell>
          <cell r="BT156">
            <v>71.828654413335087</v>
          </cell>
          <cell r="BU156">
            <v>84.428099980667412</v>
          </cell>
        </row>
        <row r="157">
          <cell r="AD157">
            <v>40940</v>
          </cell>
          <cell r="AE157">
            <v>29.479671428571422</v>
          </cell>
          <cell r="AF157">
            <v>34.104849999999999</v>
          </cell>
          <cell r="AG157">
            <v>31.662474422862672</v>
          </cell>
          <cell r="BI157">
            <v>40940</v>
          </cell>
          <cell r="BJ157">
            <v>227769.05906991567</v>
          </cell>
          <cell r="BK157">
            <v>762901.89109709044</v>
          </cell>
          <cell r="BL157">
            <v>1830472.3436549797</v>
          </cell>
          <cell r="BN157">
            <v>40940</v>
          </cell>
          <cell r="BO157">
            <v>29.479671428571422</v>
          </cell>
          <cell r="BP157">
            <v>34.104849999999999</v>
          </cell>
          <cell r="BQ157">
            <v>42.322311092255447</v>
          </cell>
          <cell r="BR157">
            <v>48.962420593866668</v>
          </cell>
          <cell r="BT157">
            <v>67.980585013242433</v>
          </cell>
          <cell r="BU157">
            <v>78.646319393568405</v>
          </cell>
        </row>
        <row r="158">
          <cell r="AD158">
            <v>40969</v>
          </cell>
          <cell r="AE158">
            <v>29.048950000000001</v>
          </cell>
          <cell r="AF158">
            <v>29.681022580645166</v>
          </cell>
          <cell r="AG158">
            <v>31.662474422862672</v>
          </cell>
          <cell r="BI158">
            <v>40969</v>
          </cell>
          <cell r="BJ158">
            <v>225578.35109238187</v>
          </cell>
          <cell r="BK158">
            <v>749123.69819692476</v>
          </cell>
          <cell r="BL158">
            <v>1795806.0014335285</v>
          </cell>
          <cell r="BN158">
            <v>40969</v>
          </cell>
          <cell r="BO158">
            <v>29.048950000000001</v>
          </cell>
          <cell r="BP158">
            <v>29.681022580645166</v>
          </cell>
          <cell r="BQ158">
            <v>41.737390140621322</v>
          </cell>
          <cell r="BR158">
            <v>42.645548951716961</v>
          </cell>
          <cell r="BT158">
            <v>67.14342158839203</v>
          </cell>
          <cell r="BU158">
            <v>68.604387157086293</v>
          </cell>
        </row>
        <row r="159">
          <cell r="AD159">
            <v>41000</v>
          </cell>
          <cell r="AE159">
            <v>28.769816666666667</v>
          </cell>
          <cell r="AF159">
            <v>28.437316666666668</v>
          </cell>
          <cell r="AG159">
            <v>31.662474422862672</v>
          </cell>
          <cell r="BI159">
            <v>41000</v>
          </cell>
          <cell r="BJ159">
            <v>225901.43519641575</v>
          </cell>
          <cell r="BK159">
            <v>738212.04714562232</v>
          </cell>
          <cell r="BL159">
            <v>1764762.3503622459</v>
          </cell>
          <cell r="BN159">
            <v>41000</v>
          </cell>
          <cell r="BO159">
            <v>28.769816666666667</v>
          </cell>
          <cell r="BP159">
            <v>28.437316666666668</v>
          </cell>
          <cell r="BQ159">
            <v>41.370372816105117</v>
          </cell>
          <cell r="BR159">
            <v>40.892245022635628</v>
          </cell>
          <cell r="BT159">
            <v>66.657670742381598</v>
          </cell>
          <cell r="BU159">
            <v>65.887291293022045</v>
          </cell>
        </row>
        <row r="160">
          <cell r="AD160">
            <v>41030</v>
          </cell>
          <cell r="AE160">
            <v>27.712840322580643</v>
          </cell>
          <cell r="AF160">
            <v>24.523251612903223</v>
          </cell>
          <cell r="AG160">
            <v>31.662474422862672</v>
          </cell>
          <cell r="BI160">
            <v>41030</v>
          </cell>
          <cell r="BJ160">
            <v>226994.88363350672</v>
          </cell>
          <cell r="BK160">
            <v>728772.43032875168</v>
          </cell>
          <cell r="BL160">
            <v>1736421.992554371</v>
          </cell>
          <cell r="BN160">
            <v>41030</v>
          </cell>
          <cell r="BO160">
            <v>27.712840322580643</v>
          </cell>
          <cell r="BP160">
            <v>24.523251612903223</v>
          </cell>
          <cell r="BQ160">
            <v>39.882025226116838</v>
          </cell>
          <cell r="BR160">
            <v>35.291833246529571</v>
          </cell>
          <cell r="BT160">
            <v>64.357071128950935</v>
          </cell>
          <cell r="BU160">
            <v>56.949941976131804</v>
          </cell>
        </row>
        <row r="161">
          <cell r="AD161">
            <v>41061</v>
          </cell>
          <cell r="AE161">
            <v>31.644263333333335</v>
          </cell>
          <cell r="AF161">
            <v>25.690246666666667</v>
          </cell>
          <cell r="AG161">
            <v>31.662474422862672</v>
          </cell>
          <cell r="BI161">
            <v>41061</v>
          </cell>
          <cell r="BJ161">
            <v>230724.9489897422</v>
          </cell>
          <cell r="BK161">
            <v>722758.58024554374</v>
          </cell>
          <cell r="BL161">
            <v>1713072.9123253804</v>
          </cell>
          <cell r="BN161">
            <v>41061</v>
          </cell>
          <cell r="BO161">
            <v>31.644263333333335</v>
          </cell>
          <cell r="BP161">
            <v>25.690246666666667</v>
          </cell>
          <cell r="BQ161">
            <v>45.576844678089081</v>
          </cell>
          <cell r="BR161">
            <v>37.001347439650587</v>
          </cell>
          <cell r="BT161">
            <v>73.661651676802407</v>
          </cell>
          <cell r="BU161">
            <v>59.801866187156222</v>
          </cell>
        </row>
        <row r="162">
          <cell r="AD162">
            <v>41091</v>
          </cell>
          <cell r="AE162">
            <v>47.896875806451618</v>
          </cell>
          <cell r="AF162">
            <v>42.015964516129031</v>
          </cell>
          <cell r="AG162">
            <v>31.662474422862672</v>
          </cell>
          <cell r="BI162">
            <v>41091</v>
          </cell>
          <cell r="BJ162">
            <v>232097.91235607862</v>
          </cell>
          <cell r="BK162">
            <v>713722.51616774034</v>
          </cell>
          <cell r="BL162">
            <v>1685198.9983061012</v>
          </cell>
          <cell r="BN162">
            <v>41091</v>
          </cell>
          <cell r="BO162">
            <v>47.896875806451618</v>
          </cell>
          <cell r="BP162">
            <v>42.015964516129031</v>
          </cell>
          <cell r="BQ162">
            <v>69.041044702932169</v>
          </cell>
          <cell r="BR162">
            <v>60.563993695892393</v>
          </cell>
          <cell r="BT162">
            <v>111.75847912074599</v>
          </cell>
          <cell r="BU162">
            <v>98.036463006243025</v>
          </cell>
        </row>
        <row r="163">
          <cell r="AD163">
            <v>41122</v>
          </cell>
          <cell r="AE163">
            <v>56.20427258064516</v>
          </cell>
          <cell r="AF163">
            <v>55.590348387096768</v>
          </cell>
          <cell r="AG163">
            <v>31.662474422862672</v>
          </cell>
          <cell r="BI163">
            <v>41122</v>
          </cell>
          <cell r="BJ163">
            <v>217814.07924872171</v>
          </cell>
          <cell r="BK163">
            <v>681745.15121498983</v>
          </cell>
          <cell r="BL163">
            <v>1619632.9032395547</v>
          </cell>
          <cell r="BN163">
            <v>41122</v>
          </cell>
          <cell r="BO163">
            <v>56.20427258064516</v>
          </cell>
          <cell r="BP163">
            <v>55.590348387096768</v>
          </cell>
          <cell r="BQ163">
            <v>81.07874340677543</v>
          </cell>
          <cell r="BR163">
            <v>80.193113189099378</v>
          </cell>
          <cell r="BT163">
            <v>131.44140472723936</v>
          </cell>
          <cell r="BU163">
            <v>130.00565874760318</v>
          </cell>
        </row>
        <row r="164">
          <cell r="AD164">
            <v>41153</v>
          </cell>
          <cell r="AE164">
            <v>49.839608333333331</v>
          </cell>
          <cell r="AF164">
            <v>53.045316666666665</v>
          </cell>
          <cell r="AG164">
            <v>31.662474422862672</v>
          </cell>
          <cell r="BI164">
            <v>41153</v>
          </cell>
          <cell r="BJ164">
            <v>192794.92463268596</v>
          </cell>
          <cell r="BK164">
            <v>634242.51229868107</v>
          </cell>
          <cell r="BL164">
            <v>1528674.2968127383</v>
          </cell>
          <cell r="BN164">
            <v>41153</v>
          </cell>
          <cell r="BO164">
            <v>49.839608333333331</v>
          </cell>
          <cell r="BP164">
            <v>53.045316666666665</v>
          </cell>
          <cell r="BQ164">
            <v>71.954661891961663</v>
          </cell>
          <cell r="BR164">
            <v>76.582821441421288</v>
          </cell>
          <cell r="BT164">
            <v>116.8303792659153</v>
          </cell>
          <cell r="BU164">
            <v>124.34496721962424</v>
          </cell>
        </row>
        <row r="165">
          <cell r="AD165">
            <v>41183</v>
          </cell>
          <cell r="AE165">
            <v>32.988110483870969</v>
          </cell>
          <cell r="AF165">
            <v>35.175578225806454</v>
          </cell>
          <cell r="AG165">
            <v>31.662474422862672</v>
          </cell>
          <cell r="BI165">
            <v>41183</v>
          </cell>
          <cell r="BJ165">
            <v>172590.19734023919</v>
          </cell>
          <cell r="BK165">
            <v>594004.44284573302</v>
          </cell>
          <cell r="BL165">
            <v>1449689.0532848742</v>
          </cell>
          <cell r="BN165">
            <v>41183</v>
          </cell>
          <cell r="BO165">
            <v>32.988110483870969</v>
          </cell>
          <cell r="BP165">
            <v>35.175578225806454</v>
          </cell>
          <cell r="BQ165">
            <v>47.662320043631212</v>
          </cell>
          <cell r="BR165">
            <v>50.822846247525938</v>
          </cell>
          <cell r="BT165">
            <v>77.503264256571285</v>
          </cell>
          <cell r="BU165">
            <v>82.642567113545866</v>
          </cell>
        </row>
        <row r="166">
          <cell r="AD166">
            <v>41214</v>
          </cell>
          <cell r="AE166">
            <v>32.222004166666665</v>
          </cell>
          <cell r="AF166">
            <v>38.849962499999997</v>
          </cell>
          <cell r="AG166">
            <v>31.662474422862672</v>
          </cell>
          <cell r="BI166">
            <v>41214</v>
          </cell>
          <cell r="BJ166">
            <v>168334.75760423264</v>
          </cell>
          <cell r="BK166">
            <v>576400.35982770927</v>
          </cell>
          <cell r="BL166">
            <v>1406822.9375377316</v>
          </cell>
          <cell r="BN166">
            <v>41214</v>
          </cell>
          <cell r="BO166">
            <v>32.222004166666665</v>
          </cell>
          <cell r="BP166">
            <v>38.849962499999997</v>
          </cell>
          <cell r="BQ166">
            <v>46.592148902550974</v>
          </cell>
          <cell r="BR166">
            <v>56.175997876974236</v>
          </cell>
          <cell r="BT166">
            <v>75.879601183126255</v>
          </cell>
          <cell r="BU166">
            <v>91.487780996844478</v>
          </cell>
        </row>
        <row r="167">
          <cell r="AD167">
            <v>41244</v>
          </cell>
          <cell r="AE167">
            <v>33.628246774193549</v>
          </cell>
          <cell r="AF167">
            <v>39.785738709677418</v>
          </cell>
          <cell r="AG167">
            <v>31.662474422862672</v>
          </cell>
          <cell r="BI167">
            <v>41244</v>
          </cell>
          <cell r="BJ167">
            <v>162644.42004274786</v>
          </cell>
          <cell r="BK167">
            <v>557082.93514715903</v>
          </cell>
          <cell r="BL167">
            <v>1361496.0440549401</v>
          </cell>
          <cell r="BN167">
            <v>41244</v>
          </cell>
          <cell r="BO167">
            <v>33.628246774193549</v>
          </cell>
          <cell r="BP167">
            <v>39.785738709677418</v>
          </cell>
          <cell r="BQ167">
            <v>48.663660580721135</v>
          </cell>
          <cell r="BR167">
            <v>57.574208299398641</v>
          </cell>
          <cell r="BT167">
            <v>79.374766077381182</v>
          </cell>
          <cell r="BU167">
            <v>93.908663288384801</v>
          </cell>
        </row>
        <row r="168">
          <cell r="AD168">
            <v>41275</v>
          </cell>
          <cell r="AE168">
            <v>31.837704838709676</v>
          </cell>
          <cell r="AF168">
            <v>37.314646774193548</v>
          </cell>
          <cell r="AG168">
            <v>31.963392510308168</v>
          </cell>
          <cell r="BI168">
            <v>41275</v>
          </cell>
          <cell r="BJ168">
            <v>155728.93047292496</v>
          </cell>
          <cell r="BK168">
            <v>535610.28839573788</v>
          </cell>
          <cell r="BL168">
            <v>1312047.8796400409</v>
          </cell>
          <cell r="BN168">
            <v>41275</v>
          </cell>
          <cell r="BO168">
            <v>31.837704838709676</v>
          </cell>
          <cell r="BP168">
            <v>37.314646774193548</v>
          </cell>
          <cell r="BQ168">
            <v>46.104990185758922</v>
          </cell>
          <cell r="BR168">
            <v>54.036289111441448</v>
          </cell>
          <cell r="BT168">
            <v>75.305175601058238</v>
          </cell>
          <cell r="BU168">
            <v>88.25969214984373</v>
          </cell>
        </row>
        <row r="169">
          <cell r="AD169">
            <v>41306</v>
          </cell>
          <cell r="AE169">
            <v>30.093671428571426</v>
          </cell>
          <cell r="AF169">
            <v>34.718849999999996</v>
          </cell>
          <cell r="AG169">
            <v>31.963392510308168</v>
          </cell>
          <cell r="BI169">
            <v>41306</v>
          </cell>
          <cell r="BJ169">
            <v>151142.74880546972</v>
          </cell>
          <cell r="BK169">
            <v>517380.51915580279</v>
          </cell>
          <cell r="BL169">
            <v>1267581.268503699</v>
          </cell>
          <cell r="BN169">
            <v>41306</v>
          </cell>
          <cell r="BO169">
            <v>30.093671428571426</v>
          </cell>
          <cell r="BP169">
            <v>34.718849999999996</v>
          </cell>
          <cell r="BQ169">
            <v>43.613182297528219</v>
          </cell>
          <cell r="BR169">
            <v>50.316211426862708</v>
          </cell>
          <cell r="BT169">
            <v>71.343780256594272</v>
          </cell>
          <cell r="BU169">
            <v>82.308800740410092</v>
          </cell>
        </row>
        <row r="170">
          <cell r="AD170">
            <v>41334</v>
          </cell>
          <cell r="AE170">
            <v>29.662949999999999</v>
          </cell>
          <cell r="AF170">
            <v>30.295022580645163</v>
          </cell>
          <cell r="AG170">
            <v>31.963392510308168</v>
          </cell>
          <cell r="BI170">
            <v>41334</v>
          </cell>
          <cell r="BJ170">
            <v>148886.54925314314</v>
          </cell>
          <cell r="BK170">
            <v>503645.77060004952</v>
          </cell>
          <cell r="BL170">
            <v>1231775.614298512</v>
          </cell>
          <cell r="BN170">
            <v>41334</v>
          </cell>
          <cell r="BO170">
            <v>29.662949999999999</v>
          </cell>
          <cell r="BP170">
            <v>30.295022580645163</v>
          </cell>
          <cell r="BQ170">
            <v>43.021006447343453</v>
          </cell>
          <cell r="BR170">
            <v>43.937718998425687</v>
          </cell>
          <cell r="BT170">
            <v>70.478568669703705</v>
          </cell>
          <cell r="BU170">
            <v>71.980360324924675</v>
          </cell>
        </row>
        <row r="171">
          <cell r="AD171">
            <v>41365</v>
          </cell>
          <cell r="AE171">
            <v>29.383816666666664</v>
          </cell>
          <cell r="AF171">
            <v>29.051316666666665</v>
          </cell>
          <cell r="AG171">
            <v>31.963392510308168</v>
          </cell>
          <cell r="BI171">
            <v>41365</v>
          </cell>
          <cell r="BJ171">
            <v>148883.48084620968</v>
          </cell>
          <cell r="BK171">
            <v>492054.01396758039</v>
          </cell>
          <cell r="BL171">
            <v>1197941.3145983468</v>
          </cell>
          <cell r="BN171">
            <v>41365</v>
          </cell>
          <cell r="BO171">
            <v>29.383816666666664</v>
          </cell>
          <cell r="BP171">
            <v>29.051316666666665</v>
          </cell>
          <cell r="BQ171">
            <v>42.648803789972654</v>
          </cell>
          <cell r="BR171">
            <v>42.166200477372605</v>
          </cell>
          <cell r="BT171">
            <v>69.974662954161261</v>
          </cell>
          <cell r="BU171">
            <v>69.182846979531504</v>
          </cell>
        </row>
        <row r="172">
          <cell r="AD172">
            <v>41395</v>
          </cell>
          <cell r="AE172">
            <v>28.326840322580647</v>
          </cell>
          <cell r="AF172">
            <v>25.137251612903221</v>
          </cell>
          <cell r="AG172">
            <v>31.963392510308168</v>
          </cell>
          <cell r="BI172">
            <v>41395</v>
          </cell>
          <cell r="BJ172">
            <v>149612.74525396538</v>
          </cell>
          <cell r="BK172">
            <v>481904.55798121763</v>
          </cell>
          <cell r="BL172">
            <v>1166859.288967534</v>
          </cell>
          <cell r="BN172">
            <v>41395</v>
          </cell>
          <cell r="BO172">
            <v>28.326840322580647</v>
          </cell>
          <cell r="BP172">
            <v>25.137251612903221</v>
          </cell>
          <cell r="BQ172">
            <v>41.14495335531862</v>
          </cell>
          <cell r="BR172">
            <v>36.512051231825701</v>
          </cell>
          <cell r="BT172">
            <v>67.605942227290612</v>
          </cell>
          <cell r="BU172">
            <v>59.993545377530502</v>
          </cell>
        </row>
        <row r="173">
          <cell r="AD173">
            <v>41426</v>
          </cell>
          <cell r="AE173">
            <v>32.258263333333332</v>
          </cell>
          <cell r="AF173">
            <v>26.304246666666664</v>
          </cell>
          <cell r="AG173">
            <v>31.963392510308168</v>
          </cell>
          <cell r="BI173">
            <v>41426</v>
          </cell>
          <cell r="BJ173">
            <v>152800.82244047732</v>
          </cell>
          <cell r="BK173">
            <v>474959.54978572461</v>
          </cell>
          <cell r="BL173">
            <v>1140472.8480241024</v>
          </cell>
          <cell r="BN173">
            <v>41426</v>
          </cell>
          <cell r="BO173">
            <v>32.258263333333332</v>
          </cell>
          <cell r="BP173">
            <v>26.304246666666664</v>
          </cell>
          <cell r="BQ173">
            <v>46.890829899597236</v>
          </cell>
          <cell r="BR173">
            <v>38.236030977190886</v>
          </cell>
          <cell r="BT173">
            <v>77.163113008696442</v>
          </cell>
          <cell r="BU173">
            <v>62.920856500395189</v>
          </cell>
        </row>
        <row r="174">
          <cell r="AD174">
            <v>41456</v>
          </cell>
          <cell r="AE174">
            <v>48.510875806451615</v>
          </cell>
          <cell r="AF174">
            <v>42.629964516129036</v>
          </cell>
          <cell r="AG174">
            <v>31.963392510308168</v>
          </cell>
          <cell r="BI174">
            <v>41456</v>
          </cell>
          <cell r="BJ174">
            <v>153794.79454175872</v>
          </cell>
          <cell r="BK174">
            <v>465211.29156485037</v>
          </cell>
          <cell r="BL174">
            <v>1109884.9152033974</v>
          </cell>
          <cell r="BN174">
            <v>41456</v>
          </cell>
          <cell r="BO174">
            <v>48.510875806451615</v>
          </cell>
          <cell r="BP174">
            <v>42.629964516129036</v>
          </cell>
          <cell r="BQ174">
            <v>70.568775187532012</v>
          </cell>
          <cell r="BR174">
            <v>62.013813030171832</v>
          </cell>
          <cell r="BT174">
            <v>116.3016718100239</v>
          </cell>
          <cell r="BU174">
            <v>102.2025692178584</v>
          </cell>
        </row>
        <row r="175">
          <cell r="AD175">
            <v>41487</v>
          </cell>
          <cell r="AE175">
            <v>56.818272580645171</v>
          </cell>
          <cell r="AF175">
            <v>56.204348387096772</v>
          </cell>
          <cell r="AG175">
            <v>31.963392510308168</v>
          </cell>
          <cell r="BI175">
            <v>41487</v>
          </cell>
          <cell r="BJ175">
            <v>140132.25242294965</v>
          </cell>
          <cell r="BK175">
            <v>433771.99545885168</v>
          </cell>
          <cell r="BL175">
            <v>1042961.2045436435</v>
          </cell>
          <cell r="BN175">
            <v>41487</v>
          </cell>
          <cell r="BO175">
            <v>56.818272580645171</v>
          </cell>
          <cell r="BP175">
            <v>56.204348387096772</v>
          </cell>
          <cell r="BQ175">
            <v>82.713353237153044</v>
          </cell>
          <cell r="BR175">
            <v>81.819631440001814</v>
          </cell>
          <cell r="BT175">
            <v>136.51415556013049</v>
          </cell>
          <cell r="BU175">
            <v>135.03911348205185</v>
          </cell>
        </row>
        <row r="176">
          <cell r="AD176">
            <v>41518</v>
          </cell>
          <cell r="AE176">
            <v>50.453608333333335</v>
          </cell>
          <cell r="AF176">
            <v>53.659316666666669</v>
          </cell>
          <cell r="AG176">
            <v>31.963392510308168</v>
          </cell>
          <cell r="BI176">
            <v>41518</v>
          </cell>
          <cell r="BJ176">
            <v>116428.32842802478</v>
          </cell>
          <cell r="BK176">
            <v>387688.87913855584</v>
          </cell>
          <cell r="BL176">
            <v>951664.47931502701</v>
          </cell>
          <cell r="BN176">
            <v>41518</v>
          </cell>
          <cell r="BO176">
            <v>50.453608333333335</v>
          </cell>
          <cell r="BP176">
            <v>53.659316666666669</v>
          </cell>
          <cell r="BQ176">
            <v>73.502572535527847</v>
          </cell>
          <cell r="BR176">
            <v>78.172760002435069</v>
          </cell>
          <cell r="BT176">
            <v>121.49330142775251</v>
          </cell>
          <cell r="BU176">
            <v>129.21271143026391</v>
          </cell>
        </row>
        <row r="177">
          <cell r="AD177">
            <v>41548</v>
          </cell>
          <cell r="AE177">
            <v>33.602110483870973</v>
          </cell>
          <cell r="AF177">
            <v>35.789578225806451</v>
          </cell>
          <cell r="AG177">
            <v>31.963392510308168</v>
          </cell>
          <cell r="BI177">
            <v>41548</v>
          </cell>
          <cell r="BJ177">
            <v>97240.474075366743</v>
          </cell>
          <cell r="BK177">
            <v>348518.37987932493</v>
          </cell>
          <cell r="BL177">
            <v>872036.2035002138</v>
          </cell>
          <cell r="BN177">
            <v>41548</v>
          </cell>
          <cell r="BO177">
            <v>33.602110483870973</v>
          </cell>
          <cell r="BP177">
            <v>35.789578225806451</v>
          </cell>
          <cell r="BQ177">
            <v>48.987732127394004</v>
          </cell>
          <cell r="BR177">
            <v>52.176790262021804</v>
          </cell>
          <cell r="BT177">
            <v>81.089037186772728</v>
          </cell>
          <cell r="BU177">
            <v>86.367861954515035</v>
          </cell>
        </row>
        <row r="178">
          <cell r="AD178">
            <v>41579</v>
          </cell>
          <cell r="AE178">
            <v>32.836004166666669</v>
          </cell>
          <cell r="AF178">
            <v>39.463962499999994</v>
          </cell>
          <cell r="AG178">
            <v>31.963392510308168</v>
          </cell>
          <cell r="BI178">
            <v>41579</v>
          </cell>
          <cell r="BJ178">
            <v>92965.867491039622</v>
          </cell>
          <cell r="BK178">
            <v>330687.20660904469</v>
          </cell>
          <cell r="BL178">
            <v>827023.76956423535</v>
          </cell>
          <cell r="BN178">
            <v>41579</v>
          </cell>
          <cell r="BO178">
            <v>32.836004166666669</v>
          </cell>
          <cell r="BP178">
            <v>39.463962499999994</v>
          </cell>
          <cell r="BQ178">
            <v>47.906013404256527</v>
          </cell>
          <cell r="BR178">
            <v>57.57585810118978</v>
          </cell>
          <cell r="BT178">
            <v>79.416148437282402</v>
          </cell>
          <cell r="BU178">
            <v>95.446324343109012</v>
          </cell>
        </row>
        <row r="179">
          <cell r="AD179">
            <v>41609</v>
          </cell>
          <cell r="AE179">
            <v>34.242246774193546</v>
          </cell>
          <cell r="AF179">
            <v>40.399738709677415</v>
          </cell>
          <cell r="AG179">
            <v>31.963392510308168</v>
          </cell>
          <cell r="BI179">
            <v>41609</v>
          </cell>
          <cell r="BJ179">
            <v>87360.19147670659</v>
          </cell>
          <cell r="BK179">
            <v>311288.74378937576</v>
          </cell>
          <cell r="BL179">
            <v>779795.55533293239</v>
          </cell>
          <cell r="BN179">
            <v>41609</v>
          </cell>
          <cell r="BO179">
            <v>34.242246774193546</v>
          </cell>
          <cell r="BP179">
            <v>40.399738709677415</v>
          </cell>
          <cell r="BQ179">
            <v>49.994133930524065</v>
          </cell>
          <cell r="BR179">
            <v>58.984153730588787</v>
          </cell>
          <cell r="BT179">
            <v>83.000351980381126</v>
          </cell>
          <cell r="BU179">
            <v>97.92559918544147</v>
          </cell>
        </row>
        <row r="180">
          <cell r="AD180">
            <v>41640</v>
          </cell>
          <cell r="AE180">
            <v>32.451704838709681</v>
          </cell>
          <cell r="AF180">
            <v>37.928646774193545</v>
          </cell>
          <cell r="AG180">
            <v>32.29478668144673</v>
          </cell>
          <cell r="BI180">
            <v>41640</v>
          </cell>
          <cell r="BJ180">
            <v>80600.848032031616</v>
          </cell>
          <cell r="BK180">
            <v>289828.39775200735</v>
          </cell>
          <cell r="BL180">
            <v>728511.5530543864</v>
          </cell>
          <cell r="BN180">
            <v>41640</v>
          </cell>
          <cell r="BO180">
            <v>32.451704838709681</v>
          </cell>
          <cell r="BP180">
            <v>37.928646774193545</v>
          </cell>
          <cell r="BQ180">
            <v>47.410997363703515</v>
          </cell>
          <cell r="BR180">
            <v>55.412650310905271</v>
          </cell>
          <cell r="BT180">
            <v>78.816714719520363</v>
          </cell>
          <cell r="BU180">
            <v>92.118776112285488</v>
          </cell>
        </row>
        <row r="181">
          <cell r="AD181">
            <v>41671</v>
          </cell>
          <cell r="AE181">
            <v>30.70767142857143</v>
          </cell>
          <cell r="AF181">
            <v>35.332849999999993</v>
          </cell>
          <cell r="AG181">
            <v>32.29478668144673</v>
          </cell>
          <cell r="BI181">
            <v>41671</v>
          </cell>
          <cell r="BJ181">
            <v>76047.14572644711</v>
          </cell>
          <cell r="BK181">
            <v>271462.39651899028</v>
          </cell>
          <cell r="BL181">
            <v>682057.29514485714</v>
          </cell>
          <cell r="BN181">
            <v>41671</v>
          </cell>
          <cell r="BO181">
            <v>30.70767142857143</v>
          </cell>
          <cell r="BP181">
            <v>35.332849999999993</v>
          </cell>
          <cell r="BQ181">
            <v>44.895414585259026</v>
          </cell>
          <cell r="BR181">
            <v>51.657545995260293</v>
          </cell>
          <cell r="BT181">
            <v>74.74459264484733</v>
          </cell>
          <cell r="BU181">
            <v>86.002596659747908</v>
          </cell>
        </row>
        <row r="182">
          <cell r="AD182">
            <v>41699</v>
          </cell>
          <cell r="AE182">
            <v>30.276949999999999</v>
          </cell>
          <cell r="AF182">
            <v>30.909022580645164</v>
          </cell>
          <cell r="AG182">
            <v>32.29478668144673</v>
          </cell>
          <cell r="BI182">
            <v>41699</v>
          </cell>
          <cell r="BJ182">
            <v>73699.845432457281</v>
          </cell>
          <cell r="BK182">
            <v>257459.94832938199</v>
          </cell>
          <cell r="BL182">
            <v>644305.62459326966</v>
          </cell>
          <cell r="BN182">
            <v>41699</v>
          </cell>
          <cell r="BO182">
            <v>30.276949999999999</v>
          </cell>
          <cell r="BP182">
            <v>30.909022580645164</v>
          </cell>
          <cell r="BQ182">
            <v>44.296446642207911</v>
          </cell>
          <cell r="BR182">
            <v>45.221195315457734</v>
          </cell>
          <cell r="BT182">
            <v>73.852107139101889</v>
          </cell>
          <cell r="BU182">
            <v>75.393870491932844</v>
          </cell>
        </row>
        <row r="183">
          <cell r="AD183">
            <v>41730</v>
          </cell>
          <cell r="AE183">
            <v>29.997816666666665</v>
          </cell>
          <cell r="AF183">
            <v>29.665316666666666</v>
          </cell>
          <cell r="AG183">
            <v>32.29478668144673</v>
          </cell>
          <cell r="BI183">
            <v>41730</v>
          </cell>
          <cell r="BJ183">
            <v>73436.006267368153</v>
          </cell>
          <cell r="BK183">
            <v>245377.17067307071</v>
          </cell>
          <cell r="BL183">
            <v>608107.95781244966</v>
          </cell>
          <cell r="BN183">
            <v>41730</v>
          </cell>
          <cell r="BO183">
            <v>29.997816666666665</v>
          </cell>
          <cell r="BP183">
            <v>29.665316666666666</v>
          </cell>
          <cell r="BQ183">
            <v>43.919394159518838</v>
          </cell>
          <cell r="BR183">
            <v>43.432585445394423</v>
          </cell>
          <cell r="BT183">
            <v>73.330610265135945</v>
          </cell>
          <cell r="BU183">
            <v>72.517803513761564</v>
          </cell>
        </row>
        <row r="184">
          <cell r="AD184">
            <v>41760</v>
          </cell>
          <cell r="AE184">
            <v>28.940840322580645</v>
          </cell>
          <cell r="AF184">
            <v>25.751251612903221</v>
          </cell>
          <cell r="AG184">
            <v>32.29478668144673</v>
          </cell>
          <cell r="BI184">
            <v>41760</v>
          </cell>
          <cell r="BJ184">
            <v>73866.966981214704</v>
          </cell>
          <cell r="BK184">
            <v>234701.33104031743</v>
          </cell>
          <cell r="BL184">
            <v>574693.85273243929</v>
          </cell>
          <cell r="BN184">
            <v>41760</v>
          </cell>
          <cell r="BO184">
            <v>28.940840322580645</v>
          </cell>
          <cell r="BP184">
            <v>25.751251612903221</v>
          </cell>
          <cell r="BQ184">
            <v>42.400994423317371</v>
          </cell>
          <cell r="BR184">
            <v>37.727953434034546</v>
          </cell>
          <cell r="BT184">
            <v>70.895350797064609</v>
          </cell>
          <cell r="BU184">
            <v>63.081928382563895</v>
          </cell>
        </row>
        <row r="185">
          <cell r="AD185">
            <v>41791</v>
          </cell>
          <cell r="AE185">
            <v>32.872263333333336</v>
          </cell>
          <cell r="AF185">
            <v>26.918246666666665</v>
          </cell>
          <cell r="AG185">
            <v>32.29478668144673</v>
          </cell>
          <cell r="BI185">
            <v>41791</v>
          </cell>
          <cell r="BJ185">
            <v>76590.601286577061</v>
          </cell>
          <cell r="BK185">
            <v>227020.88052505173</v>
          </cell>
          <cell r="BL185">
            <v>545689.10516969278</v>
          </cell>
          <cell r="BN185">
            <v>41791</v>
          </cell>
          <cell r="BO185">
            <v>32.872263333333336</v>
          </cell>
          <cell r="BP185">
            <v>26.918246666666665</v>
          </cell>
          <cell r="BQ185">
            <v>48.194879836758197</v>
          </cell>
          <cell r="BR185">
            <v>39.465541218170351</v>
          </cell>
          <cell r="BT185">
            <v>80.700092721371362</v>
          </cell>
          <cell r="BU185">
            <v>66.083219760957903</v>
          </cell>
        </row>
        <row r="186">
          <cell r="AD186">
            <v>41821</v>
          </cell>
          <cell r="AE186">
            <v>49.124875806451612</v>
          </cell>
          <cell r="AF186">
            <v>43.243964516129033</v>
          </cell>
          <cell r="AG186">
            <v>32.29478668144673</v>
          </cell>
          <cell r="BI186">
            <v>41821</v>
          </cell>
          <cell r="BJ186">
            <v>77271.878138635948</v>
          </cell>
          <cell r="BK186">
            <v>216741.11068620527</v>
          </cell>
          <cell r="BL186">
            <v>512789.72132782469</v>
          </cell>
          <cell r="BN186">
            <v>41821</v>
          </cell>
          <cell r="BO186">
            <v>49.124875806451612</v>
          </cell>
          <cell r="BP186">
            <v>43.243964516129033</v>
          </cell>
          <cell r="BQ186">
            <v>72.073792227583084</v>
          </cell>
          <cell r="BR186">
            <v>63.445585611498544</v>
          </cell>
          <cell r="BT186">
            <v>120.85932038203849</v>
          </cell>
          <cell r="BU186">
            <v>106.39082697401854</v>
          </cell>
        </row>
        <row r="187">
          <cell r="AD187">
            <v>41852</v>
          </cell>
          <cell r="AE187">
            <v>57.432272580645154</v>
          </cell>
          <cell r="AF187">
            <v>56.818348387096776</v>
          </cell>
          <cell r="AG187">
            <v>32.29478668144673</v>
          </cell>
          <cell r="BI187">
            <v>41852</v>
          </cell>
          <cell r="BJ187">
            <v>64239.52808310432</v>
          </cell>
          <cell r="BK187">
            <v>185975.3325871691</v>
          </cell>
          <cell r="BL187">
            <v>444922.37936605932</v>
          </cell>
          <cell r="BN187">
            <v>41852</v>
          </cell>
          <cell r="BO187">
            <v>57.432272580645154</v>
          </cell>
          <cell r="BP187">
            <v>56.818348387096776</v>
          </cell>
          <cell r="BQ187">
            <v>84.318917049182019</v>
          </cell>
          <cell r="BR187">
            <v>83.417587172715713</v>
          </cell>
          <cell r="BT187">
            <v>141.59093476115041</v>
          </cell>
          <cell r="BU187">
            <v>140.07739374090016</v>
          </cell>
        </row>
        <row r="188">
          <cell r="AD188">
            <v>41883</v>
          </cell>
          <cell r="AE188">
            <v>51.067608333333339</v>
          </cell>
          <cell r="AF188">
            <v>54.273316666666666</v>
          </cell>
          <cell r="AG188">
            <v>32.29478668144673</v>
          </cell>
          <cell r="BI188">
            <v>41883</v>
          </cell>
          <cell r="BJ188">
            <v>41818.759329671389</v>
          </cell>
          <cell r="BK188">
            <v>141410.63391264429</v>
          </cell>
          <cell r="BL188">
            <v>353696.98150614911</v>
          </cell>
          <cell r="BN188">
            <v>41883</v>
          </cell>
          <cell r="BO188">
            <v>51.067608333333339</v>
          </cell>
          <cell r="BP188">
            <v>54.273316666666666</v>
          </cell>
          <cell r="BQ188">
            <v>75.026674960169117</v>
          </cell>
          <cell r="BR188">
            <v>79.736385185331841</v>
          </cell>
          <cell r="BT188">
            <v>126.16890093587955</v>
          </cell>
          <cell r="BU188">
            <v>134.08900352806717</v>
          </cell>
        </row>
        <row r="189">
          <cell r="AD189">
            <v>41913</v>
          </cell>
          <cell r="AE189">
            <v>34.21611048387097</v>
          </cell>
          <cell r="AF189">
            <v>36.403578225806449</v>
          </cell>
          <cell r="AG189">
            <v>32.29478668144673</v>
          </cell>
          <cell r="BI189">
            <v>41913</v>
          </cell>
          <cell r="BJ189">
            <v>23631.473326905601</v>
          </cell>
          <cell r="BK189">
            <v>103413.40828894914</v>
          </cell>
          <cell r="BL189">
            <v>273816.19304468716</v>
          </cell>
          <cell r="BN189">
            <v>41913</v>
          </cell>
          <cell r="BO189">
            <v>34.21611048387097</v>
          </cell>
          <cell r="BP189">
            <v>36.403578225806449</v>
          </cell>
          <cell r="BQ189">
            <v>50.302621474062313</v>
          </cell>
          <cell r="BR189">
            <v>53.518514813580595</v>
          </cell>
          <cell r="BT189">
            <v>84.709395140768976</v>
          </cell>
          <cell r="BU189">
            <v>90.124945496694011</v>
          </cell>
        </row>
        <row r="190">
          <cell r="AD190">
            <v>41944</v>
          </cell>
          <cell r="AE190">
            <v>33.450004166666666</v>
          </cell>
          <cell r="AF190">
            <v>40.077962499999998</v>
          </cell>
          <cell r="AG190">
            <v>32.29478668144673</v>
          </cell>
          <cell r="BI190">
            <v>41944</v>
          </cell>
          <cell r="BJ190">
            <v>19383.413684329964</v>
          </cell>
          <cell r="BK190">
            <v>85515.179242921047</v>
          </cell>
          <cell r="BL190">
            <v>227056.39737601799</v>
          </cell>
          <cell r="BN190">
            <v>41944</v>
          </cell>
          <cell r="BO190">
            <v>33.450004166666666</v>
          </cell>
          <cell r="BP190">
            <v>40.077962499999998</v>
          </cell>
          <cell r="BQ190">
            <v>49.210063167462565</v>
          </cell>
          <cell r="BR190">
            <v>58.960801811007123</v>
          </cell>
          <cell r="BT190">
            <v>82.988455307646092</v>
          </cell>
          <cell r="BU190">
            <v>99.432220790787625</v>
          </cell>
        </row>
        <row r="191">
          <cell r="AD191">
            <v>41974</v>
          </cell>
          <cell r="AE191">
            <v>34.856246774193551</v>
          </cell>
          <cell r="AF191">
            <v>41.013738709677419</v>
          </cell>
          <cell r="AG191">
            <v>32.29478668144673</v>
          </cell>
          <cell r="BI191">
            <v>41974</v>
          </cell>
          <cell r="BJ191">
            <v>13900.337048608242</v>
          </cell>
          <cell r="BK191">
            <v>66183.544934088481</v>
          </cell>
          <cell r="BL191">
            <v>178309.03679883588</v>
          </cell>
          <cell r="BN191">
            <v>41974</v>
          </cell>
          <cell r="BO191">
            <v>34.856246774193551</v>
          </cell>
          <cell r="BP191">
            <v>41.013738709677419</v>
          </cell>
          <cell r="BQ191">
            <v>51.313829997948737</v>
          </cell>
          <cell r="BR191">
            <v>60.378618196117266</v>
          </cell>
          <cell r="BT191">
            <v>86.660119085164808</v>
          </cell>
          <cell r="BU191">
            <v>101.96896710462629</v>
          </cell>
        </row>
        <row r="192">
          <cell r="AD192">
            <v>42005</v>
          </cell>
          <cell r="AE192">
            <v>33.065704838709678</v>
          </cell>
          <cell r="AF192">
            <v>38.542646774193543</v>
          </cell>
          <cell r="AG192">
            <v>32.662000094398834</v>
          </cell>
          <cell r="BI192">
            <v>42005</v>
          </cell>
          <cell r="BJ192">
            <v>7332.0653701154806</v>
          </cell>
          <cell r="BK192">
            <v>44882.919049192918</v>
          </cell>
          <cell r="BL192">
            <v>125580.01071861325</v>
          </cell>
          <cell r="BN192">
            <v>42005</v>
          </cell>
          <cell r="BO192">
            <v>33.065704838709678</v>
          </cell>
          <cell r="BP192">
            <v>38.542646774193543</v>
          </cell>
          <cell r="BQ192">
            <v>48.707692165322619</v>
          </cell>
          <cell r="BR192">
            <v>56.775543829219117</v>
          </cell>
          <cell r="BT192">
            <v>82.364854589249219</v>
          </cell>
          <cell r="BU192">
            <v>96.007616124511657</v>
          </cell>
        </row>
        <row r="193">
          <cell r="AD193">
            <v>42036</v>
          </cell>
          <cell r="AE193">
            <v>31.321671428571427</v>
          </cell>
          <cell r="AF193">
            <v>35.946849999999998</v>
          </cell>
          <cell r="AG193">
            <v>32.662000094398834</v>
          </cell>
          <cell r="BI193">
            <v>42036</v>
          </cell>
          <cell r="BJ193">
            <v>2855.1099976867117</v>
          </cell>
          <cell r="BK193">
            <v>26534.689081212564</v>
          </cell>
          <cell r="BL193">
            <v>77527.105650499521</v>
          </cell>
          <cell r="BN193">
            <v>42036</v>
          </cell>
          <cell r="BO193">
            <v>31.321671428571427</v>
          </cell>
          <cell r="BP193">
            <v>35.946849999999998</v>
          </cell>
          <cell r="BQ193">
            <v>46.169753411670726</v>
          </cell>
          <cell r="BR193">
            <v>52.987504329426912</v>
          </cell>
          <cell r="BT193">
            <v>78.184349118902944</v>
          </cell>
          <cell r="BU193">
            <v>89.729600686671318</v>
          </cell>
        </row>
        <row r="194">
          <cell r="AD194">
            <v>42064</v>
          </cell>
          <cell r="AE194">
            <v>30.890949999999997</v>
          </cell>
          <cell r="AF194">
            <v>31.523022580645161</v>
          </cell>
          <cell r="AG194">
            <v>32.662000094398834</v>
          </cell>
          <cell r="BI194">
            <v>42064</v>
          </cell>
          <cell r="BJ194">
            <v>463.55288938220838</v>
          </cell>
          <cell r="BK194">
            <v>12408.183516526329</v>
          </cell>
          <cell r="BL194">
            <v>38177.884604126579</v>
          </cell>
          <cell r="BN194">
            <v>42064</v>
          </cell>
          <cell r="BO194">
            <v>30.890949999999997</v>
          </cell>
          <cell r="BP194">
            <v>31.523022580645161</v>
          </cell>
          <cell r="BQ194">
            <v>45.564406311580328</v>
          </cell>
          <cell r="BR194">
            <v>46.496718586953065</v>
          </cell>
          <cell r="BT194">
            <v>77.265275202841337</v>
          </cell>
          <cell r="BU194">
            <v>78.846232146273593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59"/>
  <sheetViews>
    <sheetView topLeftCell="K1" workbookViewId="0">
      <selection activeCell="Q210" sqref="Q210"/>
    </sheetView>
  </sheetViews>
  <sheetFormatPr defaultColWidth="9.109375" defaultRowHeight="13.2"/>
  <cols>
    <col min="1" max="1" width="12.5546875" style="5" customWidth="1"/>
    <col min="2" max="2" width="9.109375" style="5"/>
    <col min="3" max="3" width="9.6640625" style="433" bestFit="1" customWidth="1"/>
    <col min="4" max="4" width="14.33203125" style="5" customWidth="1"/>
    <col min="5" max="9" width="9.109375" style="5"/>
    <col min="10" max="10" width="9.44140625" style="7" customWidth="1"/>
    <col min="11" max="23" width="9.109375" style="5"/>
    <col min="24" max="24" width="9.109375" style="30"/>
    <col min="25" max="56" width="9.109375" style="5"/>
    <col min="57" max="57" width="9.44140625" style="7" customWidth="1"/>
    <col min="58" max="16384" width="9.109375" style="5"/>
  </cols>
  <sheetData>
    <row r="1" spans="1:58">
      <c r="A1" s="1" t="s">
        <v>73</v>
      </c>
      <c r="B1" s="1" t="s">
        <v>74</v>
      </c>
      <c r="C1" s="428"/>
      <c r="D1" s="3">
        <v>36567</v>
      </c>
      <c r="E1" s="4"/>
      <c r="I1" s="6"/>
      <c r="J1" s="345">
        <v>1</v>
      </c>
      <c r="K1" s="346">
        <f>J1+1</f>
        <v>2</v>
      </c>
      <c r="L1" s="346">
        <f t="shared" ref="L1:AK1" si="0">K1+1</f>
        <v>3</v>
      </c>
      <c r="M1" s="346">
        <f t="shared" si="0"/>
        <v>4</v>
      </c>
      <c r="N1" s="346">
        <f t="shared" si="0"/>
        <v>5</v>
      </c>
      <c r="O1" s="346">
        <f t="shared" si="0"/>
        <v>6</v>
      </c>
      <c r="P1" s="346">
        <f t="shared" si="0"/>
        <v>7</v>
      </c>
      <c r="Q1" s="346">
        <f t="shared" si="0"/>
        <v>8</v>
      </c>
      <c r="R1" s="346">
        <f t="shared" si="0"/>
        <v>9</v>
      </c>
      <c r="S1" s="346">
        <f t="shared" si="0"/>
        <v>10</v>
      </c>
      <c r="T1" s="346">
        <f t="shared" si="0"/>
        <v>11</v>
      </c>
      <c r="U1" s="346">
        <f t="shared" si="0"/>
        <v>12</v>
      </c>
      <c r="V1" s="346">
        <f t="shared" si="0"/>
        <v>13</v>
      </c>
      <c r="W1" s="346">
        <f t="shared" si="0"/>
        <v>14</v>
      </c>
      <c r="X1" s="346">
        <f t="shared" si="0"/>
        <v>15</v>
      </c>
      <c r="Y1" s="346">
        <f t="shared" si="0"/>
        <v>16</v>
      </c>
      <c r="Z1" s="346">
        <f t="shared" si="0"/>
        <v>17</v>
      </c>
      <c r="AA1" s="346">
        <f t="shared" si="0"/>
        <v>18</v>
      </c>
      <c r="AB1" s="346">
        <f t="shared" si="0"/>
        <v>19</v>
      </c>
      <c r="AC1" s="346">
        <f t="shared" si="0"/>
        <v>20</v>
      </c>
      <c r="AD1" s="346">
        <f t="shared" si="0"/>
        <v>21</v>
      </c>
      <c r="AE1" s="346">
        <f t="shared" si="0"/>
        <v>22</v>
      </c>
      <c r="AF1" s="346">
        <f t="shared" si="0"/>
        <v>23</v>
      </c>
      <c r="AG1" s="346">
        <f t="shared" si="0"/>
        <v>24</v>
      </c>
      <c r="AH1" s="346">
        <f t="shared" si="0"/>
        <v>25</v>
      </c>
      <c r="AI1" s="346">
        <f t="shared" si="0"/>
        <v>26</v>
      </c>
      <c r="AJ1" s="346">
        <f t="shared" si="0"/>
        <v>27</v>
      </c>
      <c r="AK1" s="346">
        <f t="shared" si="0"/>
        <v>28</v>
      </c>
      <c r="AL1" s="346"/>
      <c r="AM1" s="346"/>
    </row>
    <row r="2" spans="1:58">
      <c r="A2" s="8"/>
      <c r="B2" s="2"/>
      <c r="C2" s="428"/>
      <c r="D2" s="2"/>
      <c r="E2" s="6"/>
      <c r="I2" s="6"/>
      <c r="W2" s="32" t="s">
        <v>12</v>
      </c>
      <c r="X2" s="33"/>
      <c r="Y2" s="34"/>
      <c r="AE2" s="347" t="s">
        <v>13</v>
      </c>
      <c r="AF2" s="348"/>
      <c r="AG2" s="349"/>
    </row>
    <row r="3" spans="1:58">
      <c r="A3" s="6"/>
      <c r="B3" s="16"/>
      <c r="C3" s="429" t="s">
        <v>14</v>
      </c>
      <c r="D3" s="16"/>
      <c r="E3" s="6"/>
      <c r="F3" s="6"/>
      <c r="G3" s="6" t="s">
        <v>15</v>
      </c>
      <c r="H3" s="6"/>
      <c r="I3" s="6"/>
      <c r="K3" s="6"/>
      <c r="L3" s="6" t="s">
        <v>16</v>
      </c>
      <c r="M3" s="6"/>
      <c r="N3" s="6"/>
      <c r="O3" s="6"/>
      <c r="P3" s="6" t="s">
        <v>17</v>
      </c>
      <c r="Q3" s="6"/>
      <c r="R3" s="6"/>
      <c r="S3" s="6"/>
      <c r="T3" s="6" t="s">
        <v>2</v>
      </c>
      <c r="U3" s="6"/>
      <c r="W3" s="35"/>
      <c r="X3" s="36" t="s">
        <v>18</v>
      </c>
      <c r="Y3" s="37"/>
      <c r="AA3" s="6"/>
      <c r="AB3" s="6" t="s">
        <v>19</v>
      </c>
      <c r="AC3" s="6"/>
      <c r="AE3" s="350"/>
      <c r="AF3" s="1" t="s">
        <v>18</v>
      </c>
      <c r="AG3" s="351"/>
      <c r="AI3" s="6"/>
      <c r="AJ3" s="6" t="s">
        <v>19</v>
      </c>
      <c r="AK3" s="6"/>
      <c r="AM3" s="6" t="s">
        <v>20</v>
      </c>
      <c r="AN3" s="6" t="s">
        <v>21</v>
      </c>
      <c r="BF3" s="6" t="s">
        <v>22</v>
      </c>
    </row>
    <row r="4" spans="1:58">
      <c r="A4" s="9"/>
      <c r="B4" s="259" t="s">
        <v>23</v>
      </c>
      <c r="C4" s="430" t="s">
        <v>24</v>
      </c>
      <c r="D4" s="16" t="s">
        <v>25</v>
      </c>
      <c r="E4" s="10"/>
      <c r="F4" s="11" t="s">
        <v>23</v>
      </c>
      <c r="G4" s="11" t="s">
        <v>24</v>
      </c>
      <c r="H4" s="11" t="s">
        <v>25</v>
      </c>
      <c r="I4" s="6"/>
      <c r="K4" s="12" t="s">
        <v>23</v>
      </c>
      <c r="L4" s="12" t="s">
        <v>24</v>
      </c>
      <c r="M4" s="13" t="s">
        <v>25</v>
      </c>
      <c r="N4" s="14"/>
      <c r="O4" s="12" t="s">
        <v>23</v>
      </c>
      <c r="P4" s="12" t="s">
        <v>24</v>
      </c>
      <c r="Q4" s="13" t="s">
        <v>25</v>
      </c>
      <c r="R4" s="14"/>
      <c r="S4" s="12" t="s">
        <v>23</v>
      </c>
      <c r="T4" s="12" t="s">
        <v>24</v>
      </c>
      <c r="U4" s="14" t="s">
        <v>25</v>
      </c>
      <c r="W4" s="38" t="s">
        <v>23</v>
      </c>
      <c r="X4" s="39" t="s">
        <v>24</v>
      </c>
      <c r="Y4" s="40" t="s">
        <v>25</v>
      </c>
      <c r="AA4" s="12" t="s">
        <v>23</v>
      </c>
      <c r="AB4" s="12" t="s">
        <v>24</v>
      </c>
      <c r="AC4" s="14" t="s">
        <v>25</v>
      </c>
      <c r="AE4" s="352" t="s">
        <v>23</v>
      </c>
      <c r="AF4" s="353" t="s">
        <v>24</v>
      </c>
      <c r="AG4" s="354" t="s">
        <v>25</v>
      </c>
      <c r="AI4" s="12" t="s">
        <v>23</v>
      </c>
      <c r="AJ4" s="12" t="s">
        <v>24</v>
      </c>
      <c r="AK4" s="14" t="s">
        <v>25</v>
      </c>
      <c r="AM4" s="6" t="s">
        <v>26</v>
      </c>
      <c r="AN4" s="6" t="s">
        <v>27</v>
      </c>
      <c r="AP4" s="6"/>
      <c r="AQ4" s="2" t="s">
        <v>28</v>
      </c>
      <c r="AR4" s="2" t="s">
        <v>29</v>
      </c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F4" s="6" t="s">
        <v>30</v>
      </c>
    </row>
    <row r="5" spans="1:58" ht="13.8">
      <c r="A5" s="6"/>
      <c r="B5" s="62" t="s">
        <v>31</v>
      </c>
      <c r="C5" s="431" t="s">
        <v>31</v>
      </c>
      <c r="D5" s="62" t="s">
        <v>31</v>
      </c>
      <c r="E5" s="10"/>
      <c r="F5" s="10" t="s">
        <v>31</v>
      </c>
      <c r="G5" s="10" t="s">
        <v>31</v>
      </c>
      <c r="H5" s="10" t="s">
        <v>31</v>
      </c>
      <c r="I5" s="6"/>
      <c r="K5" s="6" t="s">
        <v>31</v>
      </c>
      <c r="L5" s="6" t="s">
        <v>31</v>
      </c>
      <c r="M5" s="6" t="s">
        <v>31</v>
      </c>
      <c r="N5" s="6"/>
      <c r="O5" s="6" t="s">
        <v>31</v>
      </c>
      <c r="P5" s="6" t="s">
        <v>31</v>
      </c>
      <c r="Q5" s="6" t="s">
        <v>31</v>
      </c>
      <c r="R5" s="6"/>
      <c r="S5" s="6" t="s">
        <v>31</v>
      </c>
      <c r="T5" s="6" t="s">
        <v>31</v>
      </c>
      <c r="U5" s="6" t="s">
        <v>31</v>
      </c>
      <c r="W5" s="6"/>
      <c r="X5" s="31"/>
      <c r="Y5" s="6"/>
      <c r="AA5" s="6"/>
      <c r="AB5" s="6"/>
      <c r="AC5" s="6"/>
      <c r="AE5" s="6"/>
      <c r="AF5" s="6"/>
      <c r="AG5" s="6"/>
      <c r="AI5" s="6"/>
      <c r="AJ5" s="6"/>
      <c r="AK5" s="6"/>
      <c r="AP5" s="13" t="s">
        <v>18</v>
      </c>
      <c r="AQ5" s="15">
        <v>800</v>
      </c>
      <c r="AR5" s="15">
        <v>2300</v>
      </c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</row>
    <row r="6" spans="1:58" ht="13.8">
      <c r="A6" s="2" t="s">
        <v>32</v>
      </c>
      <c r="B6" s="16"/>
      <c r="C6" s="429"/>
      <c r="D6" s="16"/>
      <c r="E6" s="13"/>
      <c r="F6" s="2"/>
      <c r="G6" s="13"/>
      <c r="H6" s="13"/>
      <c r="I6" s="6"/>
      <c r="J6" s="7" t="s">
        <v>32</v>
      </c>
      <c r="AP6" s="17" t="s">
        <v>33</v>
      </c>
      <c r="AQ6" s="18"/>
      <c r="AR6" s="18"/>
      <c r="AS6" s="18"/>
      <c r="AT6" s="18"/>
      <c r="AU6" s="11"/>
      <c r="AV6" s="11"/>
      <c r="AW6" s="18"/>
      <c r="AX6" s="18"/>
      <c r="AY6" s="18"/>
      <c r="AZ6" s="18"/>
      <c r="BA6" s="18"/>
      <c r="BB6" s="18"/>
      <c r="BC6" s="18"/>
      <c r="BE6" s="7" t="s">
        <v>32</v>
      </c>
    </row>
    <row r="7" spans="1:58">
      <c r="A7" s="19">
        <v>36568</v>
      </c>
      <c r="B7" s="20">
        <v>18.18499755859375</v>
      </c>
      <c r="C7" s="432">
        <v>18.68499755859375</v>
      </c>
      <c r="D7" s="20">
        <v>19.68499755859375</v>
      </c>
      <c r="E7" s="13"/>
      <c r="F7" s="21">
        <v>14.959995269775391</v>
      </c>
      <c r="G7" s="21">
        <v>15.209995269775391</v>
      </c>
      <c r="H7" s="21">
        <v>15.459995269775391</v>
      </c>
      <c r="I7" s="6"/>
      <c r="J7" s="7">
        <v>36526</v>
      </c>
      <c r="K7" s="22">
        <v>0</v>
      </c>
      <c r="L7" s="22">
        <v>0</v>
      </c>
      <c r="M7" s="22">
        <v>0</v>
      </c>
      <c r="O7" s="22">
        <v>0</v>
      </c>
      <c r="P7" s="22">
        <v>0</v>
      </c>
      <c r="Q7" s="22">
        <v>0</v>
      </c>
      <c r="S7" s="22">
        <v>0</v>
      </c>
      <c r="T7" s="22">
        <v>0</v>
      </c>
      <c r="U7" s="22">
        <v>0</v>
      </c>
      <c r="W7" s="22">
        <v>0.215</v>
      </c>
      <c r="X7" s="41">
        <v>0.43</v>
      </c>
      <c r="Y7" s="22">
        <v>0.64500000000000002</v>
      </c>
      <c r="AA7" s="22">
        <v>3.5000000000000003E-2</v>
      </c>
      <c r="AB7" s="22">
        <v>7.0000000000000007E-2</v>
      </c>
      <c r="AC7" s="22">
        <v>0.105</v>
      </c>
      <c r="AE7" s="22">
        <v>-0.4</v>
      </c>
      <c r="AF7" s="41">
        <v>1.85</v>
      </c>
      <c r="AG7" s="22">
        <v>0.5</v>
      </c>
      <c r="AI7" s="22">
        <v>-0.1</v>
      </c>
      <c r="AJ7" s="22">
        <v>0.3</v>
      </c>
      <c r="AK7" s="22">
        <v>0.1</v>
      </c>
      <c r="AM7" s="6">
        <v>1</v>
      </c>
      <c r="AN7" s="23">
        <v>0</v>
      </c>
      <c r="AP7" s="24"/>
      <c r="AQ7" s="24" t="s">
        <v>34</v>
      </c>
      <c r="AR7" s="24" t="s">
        <v>35</v>
      </c>
      <c r="AS7" s="24" t="s">
        <v>36</v>
      </c>
      <c r="AT7" s="24" t="s">
        <v>37</v>
      </c>
      <c r="AU7" s="24" t="s">
        <v>38</v>
      </c>
      <c r="AV7" s="24" t="s">
        <v>39</v>
      </c>
      <c r="AW7" s="24" t="s">
        <v>40</v>
      </c>
      <c r="AX7" s="24" t="s">
        <v>41</v>
      </c>
      <c r="AY7" s="24" t="s">
        <v>42</v>
      </c>
      <c r="AZ7" s="24" t="s">
        <v>43</v>
      </c>
      <c r="BA7" s="24" t="s">
        <v>44</v>
      </c>
      <c r="BB7" s="24" t="s">
        <v>45</v>
      </c>
      <c r="BC7" s="24"/>
      <c r="BE7" s="7">
        <v>36526</v>
      </c>
      <c r="BF7" s="25">
        <v>0.9</v>
      </c>
    </row>
    <row r="8" spans="1:58">
      <c r="A8" s="19">
        <v>36569</v>
      </c>
      <c r="B8" s="20">
        <v>18.274999618530273</v>
      </c>
      <c r="C8" s="432">
        <v>18.774999618530273</v>
      </c>
      <c r="D8" s="20">
        <v>19.774999618530273</v>
      </c>
      <c r="E8" s="13"/>
      <c r="F8" s="21">
        <v>14.959995269775391</v>
      </c>
      <c r="G8" s="21">
        <v>15.209995269775391</v>
      </c>
      <c r="H8" s="21">
        <v>15.459995269775391</v>
      </c>
      <c r="I8" s="6"/>
      <c r="J8" s="7">
        <v>36557</v>
      </c>
      <c r="K8" s="22">
        <v>0</v>
      </c>
      <c r="L8" s="22">
        <v>0</v>
      </c>
      <c r="M8" s="22">
        <v>0</v>
      </c>
      <c r="O8" s="22">
        <v>0</v>
      </c>
      <c r="P8" s="22">
        <v>0</v>
      </c>
      <c r="Q8" s="22">
        <v>0</v>
      </c>
      <c r="S8" s="22">
        <v>0</v>
      </c>
      <c r="T8" s="22">
        <v>0</v>
      </c>
      <c r="U8" s="22">
        <v>0</v>
      </c>
      <c r="W8" s="22">
        <v>0.21124999999999999</v>
      </c>
      <c r="X8" s="42">
        <v>0.42249999999999999</v>
      </c>
      <c r="Y8" s="22">
        <v>0.63375000000000004</v>
      </c>
      <c r="AA8" s="22">
        <v>3.5000000000000003E-2</v>
      </c>
      <c r="AB8" s="22">
        <v>7.0000000000000007E-2</v>
      </c>
      <c r="AC8" s="22">
        <v>0.105</v>
      </c>
      <c r="AE8" s="22">
        <v>-0.4</v>
      </c>
      <c r="AF8" s="42">
        <v>1.85</v>
      </c>
      <c r="AG8" s="22">
        <v>0.5</v>
      </c>
      <c r="AI8" s="22">
        <v>-0.1</v>
      </c>
      <c r="AJ8" s="22">
        <v>0.3</v>
      </c>
      <c r="AK8" s="22">
        <v>0.1</v>
      </c>
      <c r="AM8" s="6">
        <v>1</v>
      </c>
      <c r="AN8" s="23">
        <v>0</v>
      </c>
      <c r="AP8" s="13" t="s">
        <v>46</v>
      </c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 t="s">
        <v>47</v>
      </c>
      <c r="BE8" s="7">
        <v>36557</v>
      </c>
      <c r="BF8" s="25">
        <v>0.9</v>
      </c>
    </row>
    <row r="9" spans="1:58" ht="13.8">
      <c r="A9" s="19">
        <v>36570</v>
      </c>
      <c r="B9" s="20">
        <v>26.494998931884766</v>
      </c>
      <c r="C9" s="432">
        <v>26.994998931884766</v>
      </c>
      <c r="D9" s="20">
        <v>27.994998931884766</v>
      </c>
      <c r="E9" s="13"/>
      <c r="F9" s="21">
        <v>14.959995269775391</v>
      </c>
      <c r="G9" s="21">
        <v>15.209995269775391</v>
      </c>
      <c r="H9" s="21">
        <v>15.459995269775391</v>
      </c>
      <c r="I9" s="6"/>
      <c r="J9" s="7">
        <v>36586</v>
      </c>
      <c r="K9" s="22">
        <v>18.237500000000001</v>
      </c>
      <c r="L9" s="22">
        <v>18.5</v>
      </c>
      <c r="M9" s="22">
        <v>18.762499999999999</v>
      </c>
      <c r="O9" s="22">
        <v>14</v>
      </c>
      <c r="P9" s="22">
        <v>16.5</v>
      </c>
      <c r="Q9" s="22">
        <v>19</v>
      </c>
      <c r="S9" s="22">
        <v>0</v>
      </c>
      <c r="T9" s="22">
        <v>0</v>
      </c>
      <c r="U9" s="22">
        <v>0</v>
      </c>
      <c r="W9" s="22">
        <v>0.14499999999999999</v>
      </c>
      <c r="X9" s="42">
        <v>0.28999999999999998</v>
      </c>
      <c r="Y9" s="22">
        <v>0.435</v>
      </c>
      <c r="AA9" s="22">
        <v>0.03</v>
      </c>
      <c r="AB9" s="22">
        <v>0.06</v>
      </c>
      <c r="AC9" s="22">
        <v>0.09</v>
      </c>
      <c r="AE9" s="22">
        <v>-0.25</v>
      </c>
      <c r="AF9" s="42">
        <v>1.7</v>
      </c>
      <c r="AG9" s="22">
        <v>0.25</v>
      </c>
      <c r="AI9" s="22">
        <v>-0.1</v>
      </c>
      <c r="AJ9" s="22">
        <v>0.3</v>
      </c>
      <c r="AK9" s="22">
        <v>0.1</v>
      </c>
      <c r="AM9" s="6">
        <v>1</v>
      </c>
      <c r="AN9" s="23">
        <v>0</v>
      </c>
      <c r="AP9" s="6">
        <v>100</v>
      </c>
      <c r="AQ9" s="26">
        <v>0.84009140360859491</v>
      </c>
      <c r="AR9" s="26">
        <v>0.84009140360859491</v>
      </c>
      <c r="AS9" s="26">
        <v>0.88009140360859495</v>
      </c>
      <c r="AT9" s="26">
        <v>0.93009140360859499</v>
      </c>
      <c r="AU9" s="26">
        <v>0.99487413888798193</v>
      </c>
      <c r="AV9" s="26">
        <v>1.1566015393724096</v>
      </c>
      <c r="AW9" s="26">
        <v>1.1151212088270464</v>
      </c>
      <c r="AX9" s="26">
        <v>1.091611616602268</v>
      </c>
      <c r="AY9" s="26">
        <v>0.99664578191253639</v>
      </c>
      <c r="AZ9" s="26">
        <v>0.94950000000000001</v>
      </c>
      <c r="BA9" s="26">
        <v>0.92949999999999999</v>
      </c>
      <c r="BB9" s="26">
        <v>0.92949999999999999</v>
      </c>
      <c r="BC9" s="6" t="s">
        <v>48</v>
      </c>
      <c r="BE9" s="7">
        <v>36586</v>
      </c>
      <c r="BF9" s="25">
        <v>0.9</v>
      </c>
    </row>
    <row r="10" spans="1:58" ht="13.8">
      <c r="A10" s="19">
        <v>36571</v>
      </c>
      <c r="B10" s="20">
        <v>25.694999694824219</v>
      </c>
      <c r="C10" s="432">
        <v>26.194999694824219</v>
      </c>
      <c r="D10" s="20">
        <v>27.194999694824219</v>
      </c>
      <c r="E10" s="13"/>
      <c r="F10" s="21">
        <v>14.959995269775391</v>
      </c>
      <c r="G10" s="21">
        <v>15.209995269775391</v>
      </c>
      <c r="H10" s="21">
        <v>15.459995269775391</v>
      </c>
      <c r="I10" s="6"/>
      <c r="J10" s="7">
        <v>36617</v>
      </c>
      <c r="K10" s="22">
        <v>17.354999160766603</v>
      </c>
      <c r="L10" s="22">
        <v>17.504999160766602</v>
      </c>
      <c r="M10" s="22">
        <v>17.6549991607666</v>
      </c>
      <c r="O10" s="22">
        <v>13.503749847412109</v>
      </c>
      <c r="P10" s="22">
        <v>16.003749847412109</v>
      </c>
      <c r="Q10" s="22">
        <v>18.503749847412109</v>
      </c>
      <c r="S10" s="22">
        <v>0</v>
      </c>
      <c r="T10" s="22">
        <v>0</v>
      </c>
      <c r="U10" s="22">
        <v>0</v>
      </c>
      <c r="W10" s="22">
        <v>0.14000000000000001</v>
      </c>
      <c r="X10" s="42">
        <v>0.28000000000000003</v>
      </c>
      <c r="Y10" s="22">
        <v>0.42</v>
      </c>
      <c r="AA10" s="22">
        <v>0.03</v>
      </c>
      <c r="AB10" s="22">
        <v>0.06</v>
      </c>
      <c r="AC10" s="22">
        <v>0.09</v>
      </c>
      <c r="AE10" s="22">
        <v>-0.25</v>
      </c>
      <c r="AF10" s="42">
        <v>1.75</v>
      </c>
      <c r="AG10" s="22">
        <v>0.25</v>
      </c>
      <c r="AI10" s="22">
        <v>-0.1</v>
      </c>
      <c r="AJ10" s="22">
        <v>0.3</v>
      </c>
      <c r="AK10" s="22">
        <v>0.1</v>
      </c>
      <c r="AM10" s="6">
        <v>2</v>
      </c>
      <c r="AN10" s="23">
        <v>0</v>
      </c>
      <c r="AP10" s="6">
        <v>200</v>
      </c>
      <c r="AQ10" s="26">
        <v>0.82216545967600496</v>
      </c>
      <c r="AR10" s="26">
        <v>0.82216545967600496</v>
      </c>
      <c r="AS10" s="26">
        <v>0.83216545967600497</v>
      </c>
      <c r="AT10" s="26">
        <v>0.88216545967600501</v>
      </c>
      <c r="AU10" s="26">
        <v>0.89614417708707417</v>
      </c>
      <c r="AV10" s="26">
        <v>0.95825932504440481</v>
      </c>
      <c r="AW10" s="26">
        <v>1.0185889770627239</v>
      </c>
      <c r="AX10" s="26">
        <v>0.98541692633678146</v>
      </c>
      <c r="AY10" s="26">
        <v>0.87437503955445783</v>
      </c>
      <c r="AZ10" s="26">
        <v>0.9012</v>
      </c>
      <c r="BA10" s="26">
        <v>0.88119999999999998</v>
      </c>
      <c r="BB10" s="26">
        <v>0.88119999999999998</v>
      </c>
      <c r="BC10" s="6" t="s">
        <v>48</v>
      </c>
      <c r="BE10" s="7">
        <v>36617</v>
      </c>
      <c r="BF10" s="25">
        <v>0.9</v>
      </c>
    </row>
    <row r="11" spans="1:58" ht="13.8">
      <c r="A11" s="19">
        <v>36572</v>
      </c>
      <c r="B11" s="20">
        <v>25.694999694824219</v>
      </c>
      <c r="C11" s="432">
        <v>26.194999694824219</v>
      </c>
      <c r="D11" s="20">
        <v>27.194999694824219</v>
      </c>
      <c r="E11" s="13"/>
      <c r="F11" s="21">
        <v>14.959995269775391</v>
      </c>
      <c r="G11" s="21">
        <v>15.209995269775391</v>
      </c>
      <c r="H11" s="21">
        <v>15.459995269775391</v>
      </c>
      <c r="I11" s="6"/>
      <c r="J11" s="7">
        <v>36647</v>
      </c>
      <c r="K11" s="22">
        <v>21.125</v>
      </c>
      <c r="L11" s="22">
        <v>21.5</v>
      </c>
      <c r="M11" s="22">
        <v>21.875</v>
      </c>
      <c r="O11" s="22">
        <v>18</v>
      </c>
      <c r="P11" s="22">
        <v>20.5</v>
      </c>
      <c r="Q11" s="22">
        <v>23</v>
      </c>
      <c r="S11" s="22">
        <v>0</v>
      </c>
      <c r="T11" s="22">
        <v>0</v>
      </c>
      <c r="U11" s="22">
        <v>0</v>
      </c>
      <c r="W11" s="22">
        <v>0.18875</v>
      </c>
      <c r="X11" s="42">
        <v>0.3775</v>
      </c>
      <c r="Y11" s="22">
        <v>0.56625000000000003</v>
      </c>
      <c r="AA11" s="22">
        <v>0.03</v>
      </c>
      <c r="AB11" s="22">
        <v>0.06</v>
      </c>
      <c r="AC11" s="22">
        <v>0.09</v>
      </c>
      <c r="AE11" s="22">
        <v>-0.25</v>
      </c>
      <c r="AF11" s="42">
        <v>2.25</v>
      </c>
      <c r="AG11" s="22">
        <v>0.25</v>
      </c>
      <c r="AI11" s="22">
        <v>-0.1</v>
      </c>
      <c r="AJ11" s="22">
        <v>0.3</v>
      </c>
      <c r="AK11" s="22">
        <v>0.1</v>
      </c>
      <c r="AM11" s="6">
        <v>2</v>
      </c>
      <c r="AN11" s="23">
        <v>0</v>
      </c>
      <c r="AP11" s="6">
        <v>300</v>
      </c>
      <c r="AQ11" s="26">
        <v>0.74669983553583485</v>
      </c>
      <c r="AR11" s="26">
        <v>0.74669983553583485</v>
      </c>
      <c r="AS11" s="26">
        <v>0.7966998355358349</v>
      </c>
      <c r="AT11" s="26">
        <v>0.84669983553583494</v>
      </c>
      <c r="AU11" s="26">
        <v>0.84808514806229396</v>
      </c>
      <c r="AV11" s="26">
        <v>0.80550621669626976</v>
      </c>
      <c r="AW11" s="26">
        <v>0.97054027611696914</v>
      </c>
      <c r="AX11" s="26">
        <v>0.88495575221238931</v>
      </c>
      <c r="AY11" s="26">
        <v>0.81994810455034439</v>
      </c>
      <c r="AZ11" s="26">
        <v>0.86570000000000003</v>
      </c>
      <c r="BA11" s="26">
        <v>0.84570000000000001</v>
      </c>
      <c r="BB11" s="26">
        <v>0.84570000000000001</v>
      </c>
      <c r="BC11" s="6" t="s">
        <v>48</v>
      </c>
      <c r="BE11" s="7">
        <v>36647</v>
      </c>
      <c r="BF11" s="25">
        <v>0.9</v>
      </c>
    </row>
    <row r="12" spans="1:58" ht="13.8">
      <c r="A12" s="19">
        <v>36573</v>
      </c>
      <c r="B12" s="20">
        <v>25.694999694824219</v>
      </c>
      <c r="C12" s="432">
        <v>26.194999694824219</v>
      </c>
      <c r="D12" s="20">
        <v>27.194999694824219</v>
      </c>
      <c r="E12" s="13"/>
      <c r="F12" s="21">
        <v>14.959995269775391</v>
      </c>
      <c r="G12" s="21">
        <v>15.209995269775391</v>
      </c>
      <c r="H12" s="21">
        <v>15.459995269775391</v>
      </c>
      <c r="I12" s="6"/>
      <c r="J12" s="7">
        <v>36678</v>
      </c>
      <c r="K12" s="22">
        <v>21.375</v>
      </c>
      <c r="L12" s="22">
        <v>22.5</v>
      </c>
      <c r="M12" s="22">
        <v>23.625</v>
      </c>
      <c r="O12" s="22">
        <v>16</v>
      </c>
      <c r="P12" s="22">
        <v>18.5</v>
      </c>
      <c r="Q12" s="22">
        <v>21</v>
      </c>
      <c r="S12" s="22">
        <v>0</v>
      </c>
      <c r="T12" s="22">
        <v>0</v>
      </c>
      <c r="U12" s="22">
        <v>0</v>
      </c>
      <c r="W12" s="22">
        <v>0.21425</v>
      </c>
      <c r="X12" s="42">
        <v>0.42849999999999999</v>
      </c>
      <c r="Y12" s="22">
        <v>0.64274999999999993</v>
      </c>
      <c r="AA12" s="22">
        <v>0.03</v>
      </c>
      <c r="AB12" s="22">
        <v>0.06</v>
      </c>
      <c r="AC12" s="22">
        <v>0.09</v>
      </c>
      <c r="AE12" s="22">
        <v>-0.75</v>
      </c>
      <c r="AF12" s="42">
        <v>2.9</v>
      </c>
      <c r="AG12" s="22">
        <v>0.75</v>
      </c>
      <c r="AI12" s="22">
        <v>-0.1</v>
      </c>
      <c r="AJ12" s="22">
        <v>0.3</v>
      </c>
      <c r="AK12" s="22">
        <v>0.1</v>
      </c>
      <c r="AM12" s="6">
        <v>2</v>
      </c>
      <c r="AN12" s="23">
        <v>0</v>
      </c>
      <c r="AP12" s="6">
        <v>400</v>
      </c>
      <c r="AQ12" s="26">
        <v>0.74619999999999997</v>
      </c>
      <c r="AR12" s="26">
        <v>0.74619999999999997</v>
      </c>
      <c r="AS12" s="26">
        <v>0.79719995084774298</v>
      </c>
      <c r="AT12" s="26">
        <v>0.84719995084774302</v>
      </c>
      <c r="AU12" s="26">
        <v>0.82222730092396068</v>
      </c>
      <c r="AV12" s="26">
        <v>0.74777975133214913</v>
      </c>
      <c r="AW12" s="26">
        <v>0.87400804435264667</v>
      </c>
      <c r="AX12" s="26">
        <v>0.83260625701109281</v>
      </c>
      <c r="AY12" s="26">
        <v>0.83209923422568155</v>
      </c>
      <c r="AZ12" s="26">
        <v>0.86619999999999997</v>
      </c>
      <c r="BA12" s="26">
        <v>0.84619999999999995</v>
      </c>
      <c r="BB12" s="26">
        <v>0.84619999999999995</v>
      </c>
      <c r="BC12" s="6" t="s">
        <v>48</v>
      </c>
      <c r="BE12" s="7">
        <v>36678</v>
      </c>
      <c r="BF12" s="25">
        <v>0.9</v>
      </c>
    </row>
    <row r="13" spans="1:58" ht="13.8">
      <c r="A13" s="19">
        <v>36574</v>
      </c>
      <c r="B13" s="20">
        <v>25.694999694824219</v>
      </c>
      <c r="C13" s="432">
        <v>26.194999694824219</v>
      </c>
      <c r="D13" s="20">
        <v>27.194999694824219</v>
      </c>
      <c r="E13" s="13"/>
      <c r="F13" s="21">
        <v>14.959995269775391</v>
      </c>
      <c r="G13" s="21">
        <v>15.209995269775391</v>
      </c>
      <c r="H13" s="21">
        <v>15.459995269775391</v>
      </c>
      <c r="I13" s="6"/>
      <c r="J13" s="7">
        <v>36708</v>
      </c>
      <c r="K13" s="22">
        <v>30.622501373291016</v>
      </c>
      <c r="L13" s="22">
        <v>32.497501373291016</v>
      </c>
      <c r="M13" s="22">
        <v>34.372501373291016</v>
      </c>
      <c r="O13" s="22">
        <v>25.002498626708984</v>
      </c>
      <c r="P13" s="22">
        <v>27.502498626708984</v>
      </c>
      <c r="Q13" s="22">
        <v>30.002498626708984</v>
      </c>
      <c r="S13" s="22">
        <v>0</v>
      </c>
      <c r="T13" s="22">
        <v>0</v>
      </c>
      <c r="U13" s="22">
        <v>0</v>
      </c>
      <c r="W13" s="22">
        <v>0.27500000000000002</v>
      </c>
      <c r="X13" s="42">
        <v>0.55000000000000004</v>
      </c>
      <c r="Y13" s="22">
        <v>0.82499999999999996</v>
      </c>
      <c r="AA13" s="22">
        <v>0.03</v>
      </c>
      <c r="AB13" s="22">
        <v>0.06</v>
      </c>
      <c r="AC13" s="22">
        <v>0.09</v>
      </c>
      <c r="AE13" s="22">
        <v>-1</v>
      </c>
      <c r="AF13" s="42">
        <v>4.5</v>
      </c>
      <c r="AG13" s="22">
        <v>1</v>
      </c>
      <c r="AI13" s="22">
        <v>-0.1</v>
      </c>
      <c r="AJ13" s="22">
        <v>0.3</v>
      </c>
      <c r="AK13" s="22">
        <v>0.1</v>
      </c>
      <c r="AM13" s="6">
        <v>3</v>
      </c>
      <c r="AN13" s="23">
        <v>0.1</v>
      </c>
      <c r="AP13" s="6">
        <v>500</v>
      </c>
      <c r="AQ13" s="26">
        <v>0.76649999999999996</v>
      </c>
      <c r="AR13" s="26">
        <v>0.76649999999999996</v>
      </c>
      <c r="AS13" s="26">
        <v>0.85749044781089889</v>
      </c>
      <c r="AT13" s="26">
        <v>0.90749044781089894</v>
      </c>
      <c r="AU13" s="26">
        <v>0.89013679845897664</v>
      </c>
      <c r="AV13" s="26">
        <v>0.81113084665482538</v>
      </c>
      <c r="AW13" s="26">
        <v>0.8296553973257963</v>
      </c>
      <c r="AX13" s="26">
        <v>0.86426523744235273</v>
      </c>
      <c r="AY13" s="26">
        <v>0.89842415037022905</v>
      </c>
      <c r="AZ13" s="26">
        <v>0.92649999999999999</v>
      </c>
      <c r="BA13" s="26">
        <v>0.90649999999999997</v>
      </c>
      <c r="BB13" s="26">
        <v>0.90649999999999997</v>
      </c>
      <c r="BC13" s="6" t="s">
        <v>48</v>
      </c>
      <c r="BE13" s="7">
        <v>36708</v>
      </c>
      <c r="BF13" s="25">
        <v>0.9</v>
      </c>
    </row>
    <row r="14" spans="1:58" ht="13.8">
      <c r="A14" s="19">
        <v>36575</v>
      </c>
      <c r="B14" s="20">
        <v>18.174999237060547</v>
      </c>
      <c r="C14" s="432">
        <v>18.674999237060547</v>
      </c>
      <c r="D14" s="20">
        <v>19.674999237060547</v>
      </c>
      <c r="E14" s="13"/>
      <c r="F14" s="21">
        <v>14.959995269775391</v>
      </c>
      <c r="G14" s="21">
        <v>15.209995269775391</v>
      </c>
      <c r="H14" s="21">
        <v>15.459995269775391</v>
      </c>
      <c r="I14" s="6"/>
      <c r="J14" s="7">
        <v>36739</v>
      </c>
      <c r="K14" s="22">
        <v>30.622501373291016</v>
      </c>
      <c r="L14" s="22">
        <v>32.497501373291016</v>
      </c>
      <c r="M14" s="22">
        <v>34.372501373291016</v>
      </c>
      <c r="O14" s="22">
        <v>25</v>
      </c>
      <c r="P14" s="22">
        <v>27.5</v>
      </c>
      <c r="Q14" s="22">
        <v>30</v>
      </c>
      <c r="S14" s="22">
        <v>0</v>
      </c>
      <c r="T14" s="22">
        <v>0</v>
      </c>
      <c r="U14" s="22">
        <v>0</v>
      </c>
      <c r="W14" s="22">
        <v>0.26</v>
      </c>
      <c r="X14" s="42">
        <v>0.52</v>
      </c>
      <c r="Y14" s="22">
        <v>0.78</v>
      </c>
      <c r="AA14" s="22">
        <v>0.03</v>
      </c>
      <c r="AB14" s="22">
        <v>0.06</v>
      </c>
      <c r="AC14" s="22">
        <v>0.09</v>
      </c>
      <c r="AE14" s="22">
        <v>-1</v>
      </c>
      <c r="AF14" s="42">
        <v>4.5</v>
      </c>
      <c r="AG14" s="22">
        <v>1</v>
      </c>
      <c r="AI14" s="22">
        <v>-0.1</v>
      </c>
      <c r="AJ14" s="22">
        <v>0.3</v>
      </c>
      <c r="AK14" s="22">
        <v>0.1</v>
      </c>
      <c r="AM14" s="6">
        <v>3</v>
      </c>
      <c r="AN14" s="23">
        <v>0.1</v>
      </c>
      <c r="AP14" s="6">
        <v>600</v>
      </c>
      <c r="AQ14" s="26">
        <v>0.82339999999999991</v>
      </c>
      <c r="AR14" s="26">
        <v>0.82339999999999991</v>
      </c>
      <c r="AS14" s="26">
        <v>0.99535202187631988</v>
      </c>
      <c r="AT14" s="26">
        <v>1.0453520218763199</v>
      </c>
      <c r="AU14" s="26">
        <v>1.079238630056482</v>
      </c>
      <c r="AV14" s="26">
        <v>0.98963883955002951</v>
      </c>
      <c r="AW14" s="26">
        <v>0.91466463746059334</v>
      </c>
      <c r="AX14" s="26">
        <v>0.960239311978063</v>
      </c>
      <c r="AY14" s="26">
        <v>1.0396810328460215</v>
      </c>
      <c r="AZ14" s="26">
        <v>1.0644</v>
      </c>
      <c r="BA14" s="26">
        <v>1.0444</v>
      </c>
      <c r="BB14" s="26">
        <v>1.0444</v>
      </c>
      <c r="BC14" s="6" t="s">
        <v>48</v>
      </c>
      <c r="BE14" s="7">
        <v>36739</v>
      </c>
      <c r="BF14" s="25">
        <v>0.9</v>
      </c>
    </row>
    <row r="15" spans="1:58" ht="13.8">
      <c r="A15" s="19">
        <v>36576</v>
      </c>
      <c r="B15" s="20">
        <v>18.274999618530273</v>
      </c>
      <c r="C15" s="432">
        <v>18.774999618530273</v>
      </c>
      <c r="D15" s="20">
        <v>19.774999618530273</v>
      </c>
      <c r="E15" s="13"/>
      <c r="F15" s="21">
        <v>14.959995269775391</v>
      </c>
      <c r="G15" s="21">
        <v>15.209995269775391</v>
      </c>
      <c r="H15" s="21">
        <v>15.459995269775391</v>
      </c>
      <c r="I15" s="6"/>
      <c r="J15" s="7">
        <v>36770</v>
      </c>
      <c r="K15" s="22">
        <v>17.554999160766602</v>
      </c>
      <c r="L15" s="22">
        <v>18.004999160766602</v>
      </c>
      <c r="M15" s="22">
        <v>18.454999160766601</v>
      </c>
      <c r="O15" s="22">
        <v>17</v>
      </c>
      <c r="P15" s="22">
        <v>19.5</v>
      </c>
      <c r="Q15" s="22">
        <v>22</v>
      </c>
      <c r="S15" s="22">
        <v>0</v>
      </c>
      <c r="T15" s="22">
        <v>0</v>
      </c>
      <c r="U15" s="22">
        <v>0</v>
      </c>
      <c r="W15" s="22">
        <v>0.16</v>
      </c>
      <c r="X15" s="42">
        <v>0.32</v>
      </c>
      <c r="Y15" s="22">
        <v>0.48</v>
      </c>
      <c r="AA15" s="22">
        <v>0.03</v>
      </c>
      <c r="AB15" s="22">
        <v>0.06</v>
      </c>
      <c r="AC15" s="22">
        <v>0.09</v>
      </c>
      <c r="AE15" s="22">
        <v>-0.4</v>
      </c>
      <c r="AF15" s="42">
        <v>2.2999999999999998</v>
      </c>
      <c r="AG15" s="22">
        <v>0.5</v>
      </c>
      <c r="AI15" s="22">
        <v>-0.1</v>
      </c>
      <c r="AJ15" s="22">
        <v>0.3</v>
      </c>
      <c r="AK15" s="22">
        <v>0.1</v>
      </c>
      <c r="AM15" s="6">
        <v>3</v>
      </c>
      <c r="AN15" s="23">
        <v>0.1</v>
      </c>
      <c r="AP15" s="6">
        <v>700</v>
      </c>
      <c r="AQ15" s="26">
        <v>2.0299999999999998</v>
      </c>
      <c r="AR15" s="26">
        <v>2.0299999999999998</v>
      </c>
      <c r="AS15" s="26">
        <v>1.7959999999999998</v>
      </c>
      <c r="AT15" s="26">
        <v>1.4909756812084298</v>
      </c>
      <c r="AU15" s="26">
        <v>1.2913252146658396</v>
      </c>
      <c r="AV15" s="26">
        <v>1.134695085849615</v>
      </c>
      <c r="AW15" s="26">
        <v>1.0157625828894443</v>
      </c>
      <c r="AX15" s="26">
        <v>1.1172877975819515</v>
      </c>
      <c r="AY15" s="26">
        <v>1.4138345674324397</v>
      </c>
      <c r="AZ15" s="26">
        <v>1.3759999999999999</v>
      </c>
      <c r="BA15" s="26">
        <v>1.496</v>
      </c>
      <c r="BB15" s="26">
        <v>1.496</v>
      </c>
      <c r="BC15" s="6" t="s">
        <v>48</v>
      </c>
      <c r="BE15" s="7">
        <v>36770</v>
      </c>
      <c r="BF15" s="25">
        <v>0.9</v>
      </c>
    </row>
    <row r="16" spans="1:58" ht="13.8">
      <c r="A16" s="19">
        <v>36577</v>
      </c>
      <c r="B16" s="20">
        <v>26.504999160766602</v>
      </c>
      <c r="C16" s="432">
        <v>27.004999160766602</v>
      </c>
      <c r="D16" s="20">
        <v>28.004999160766602</v>
      </c>
      <c r="E16" s="13"/>
      <c r="F16" s="21">
        <v>14.959995269775391</v>
      </c>
      <c r="G16" s="21">
        <v>15.209995269775391</v>
      </c>
      <c r="H16" s="21">
        <v>15.459995269775391</v>
      </c>
      <c r="I16" s="6"/>
      <c r="J16" s="7">
        <v>36800</v>
      </c>
      <c r="K16" s="22">
        <v>17.162999725341798</v>
      </c>
      <c r="L16" s="22">
        <v>17.500499725341797</v>
      </c>
      <c r="M16" s="22">
        <v>17.837999725341795</v>
      </c>
      <c r="O16" s="22">
        <v>14.000999450683594</v>
      </c>
      <c r="P16" s="22">
        <v>16.500999450683594</v>
      </c>
      <c r="Q16" s="22">
        <v>19.000999450683594</v>
      </c>
      <c r="S16" s="22">
        <v>0</v>
      </c>
      <c r="T16" s="22">
        <v>0</v>
      </c>
      <c r="U16" s="22">
        <v>0</v>
      </c>
      <c r="W16" s="22">
        <v>0.105</v>
      </c>
      <c r="X16" s="42">
        <v>0.21</v>
      </c>
      <c r="Y16" s="22">
        <v>0.315</v>
      </c>
      <c r="AA16" s="22">
        <v>0.03</v>
      </c>
      <c r="AB16" s="22">
        <v>0.06</v>
      </c>
      <c r="AC16" s="22">
        <v>0.09</v>
      </c>
      <c r="AE16" s="22">
        <v>-0.25</v>
      </c>
      <c r="AF16" s="42">
        <v>1.5</v>
      </c>
      <c r="AG16" s="22">
        <v>0.25</v>
      </c>
      <c r="AI16" s="22">
        <v>-0.1</v>
      </c>
      <c r="AJ16" s="22">
        <v>0.3</v>
      </c>
      <c r="AK16" s="22">
        <v>0.1</v>
      </c>
      <c r="AM16" s="6">
        <v>4</v>
      </c>
      <c r="AN16" s="23">
        <v>0.1</v>
      </c>
      <c r="AP16" s="6">
        <v>800</v>
      </c>
      <c r="AQ16" s="26">
        <v>1.1458848137090256</v>
      </c>
      <c r="AR16" s="26">
        <v>1.1458848137090256</v>
      </c>
      <c r="AS16" s="26">
        <v>1.1358999999999999</v>
      </c>
      <c r="AT16" s="26">
        <v>1.1232726508202047</v>
      </c>
      <c r="AU16" s="26">
        <v>0.95286212503963064</v>
      </c>
      <c r="AV16" s="26">
        <v>0.65105901103049102</v>
      </c>
      <c r="AW16" s="26">
        <v>0.58625176867694417</v>
      </c>
      <c r="AX16" s="26">
        <v>0.66493857390129607</v>
      </c>
      <c r="AY16" s="26">
        <v>0.77710435244355791</v>
      </c>
      <c r="AZ16" s="26">
        <v>1.0615000000000001</v>
      </c>
      <c r="BA16" s="26">
        <v>1.0714999999999999</v>
      </c>
      <c r="BB16" s="26">
        <v>1.0874999999999999</v>
      </c>
      <c r="BC16" s="6" t="s">
        <v>49</v>
      </c>
      <c r="BE16" s="7">
        <v>36800</v>
      </c>
      <c r="BF16" s="25">
        <v>0.9</v>
      </c>
    </row>
    <row r="17" spans="1:58" ht="13.8">
      <c r="A17" s="19">
        <v>36578</v>
      </c>
      <c r="B17" s="20">
        <v>25.694999694824219</v>
      </c>
      <c r="C17" s="432">
        <v>26.194999694824219</v>
      </c>
      <c r="D17" s="20">
        <v>27.194999694824219</v>
      </c>
      <c r="E17" s="13"/>
      <c r="F17" s="21">
        <v>14.959995269775391</v>
      </c>
      <c r="G17" s="21">
        <v>15.209995269775391</v>
      </c>
      <c r="H17" s="21">
        <v>15.459995269775391</v>
      </c>
      <c r="I17" s="6"/>
      <c r="J17" s="7">
        <v>36831</v>
      </c>
      <c r="K17" s="22">
        <v>18.167251205444337</v>
      </c>
      <c r="L17" s="22">
        <v>18.504751205444336</v>
      </c>
      <c r="M17" s="22">
        <v>18.842251205444335</v>
      </c>
      <c r="O17" s="22">
        <v>15.004499435424805</v>
      </c>
      <c r="P17" s="22">
        <v>17.504499435424805</v>
      </c>
      <c r="Q17" s="22">
        <v>20.004499435424805</v>
      </c>
      <c r="S17" s="22">
        <v>0</v>
      </c>
      <c r="T17" s="22">
        <v>0</v>
      </c>
      <c r="U17" s="22">
        <v>0</v>
      </c>
      <c r="W17" s="22">
        <v>0.1</v>
      </c>
      <c r="X17" s="42">
        <v>0.2</v>
      </c>
      <c r="Y17" s="22">
        <v>0.3</v>
      </c>
      <c r="AA17" s="22">
        <v>0.03</v>
      </c>
      <c r="AB17" s="22">
        <v>0.06</v>
      </c>
      <c r="AC17" s="22">
        <v>0.09</v>
      </c>
      <c r="AE17" s="22">
        <v>-0.25</v>
      </c>
      <c r="AF17" s="42">
        <v>1.5</v>
      </c>
      <c r="AG17" s="22">
        <v>0.25</v>
      </c>
      <c r="AI17" s="22">
        <v>-0.1</v>
      </c>
      <c r="AJ17" s="22">
        <v>0.3</v>
      </c>
      <c r="AK17" s="22">
        <v>0.1</v>
      </c>
      <c r="AM17" s="6">
        <v>4</v>
      </c>
      <c r="AN17" s="23">
        <v>0.1</v>
      </c>
      <c r="AP17" s="6">
        <v>900</v>
      </c>
      <c r="AQ17" s="26">
        <v>1.1998117566192825</v>
      </c>
      <c r="AR17" s="26">
        <v>1.1998117566192825</v>
      </c>
      <c r="AS17" s="26">
        <v>1.1898</v>
      </c>
      <c r="AT17" s="26">
        <v>1.1413154461256174</v>
      </c>
      <c r="AU17" s="26">
        <v>1.0425355656238169</v>
      </c>
      <c r="AV17" s="26">
        <v>0.7656754603028143</v>
      </c>
      <c r="AW17" s="26">
        <v>0.64707720807596325</v>
      </c>
      <c r="AX17" s="26">
        <v>0.72465065225651215</v>
      </c>
      <c r="AY17" s="26">
        <v>0.75981909069269282</v>
      </c>
      <c r="AZ17" s="26">
        <v>1.1326000000000001</v>
      </c>
      <c r="BA17" s="26">
        <v>1.1426000000000001</v>
      </c>
      <c r="BB17" s="26">
        <v>1.1637999999999999</v>
      </c>
      <c r="BC17" s="6" t="s">
        <v>49</v>
      </c>
      <c r="BE17" s="7">
        <v>36831</v>
      </c>
      <c r="BF17" s="25">
        <v>0.9</v>
      </c>
    </row>
    <row r="18" spans="1:58" ht="13.8">
      <c r="A18" s="19">
        <v>36579</v>
      </c>
      <c r="B18" s="20">
        <v>25.694999694824219</v>
      </c>
      <c r="C18" s="432">
        <v>26.194999694824219</v>
      </c>
      <c r="D18" s="20">
        <v>27.194999694824219</v>
      </c>
      <c r="E18" s="13"/>
      <c r="F18" s="21">
        <v>14.959995269775391</v>
      </c>
      <c r="G18" s="21">
        <v>15.209995269775391</v>
      </c>
      <c r="H18" s="21">
        <v>15.459995269775391</v>
      </c>
      <c r="I18" s="6"/>
      <c r="J18" s="7">
        <v>36861</v>
      </c>
      <c r="K18" s="22">
        <v>19.667499160766603</v>
      </c>
      <c r="L18" s="22">
        <v>20.004999160766602</v>
      </c>
      <c r="M18" s="22">
        <v>20.3424991607666</v>
      </c>
      <c r="O18" s="22">
        <v>15</v>
      </c>
      <c r="P18" s="22">
        <v>17.5</v>
      </c>
      <c r="Q18" s="22">
        <v>20</v>
      </c>
      <c r="S18" s="22">
        <v>0</v>
      </c>
      <c r="T18" s="22">
        <v>0</v>
      </c>
      <c r="U18" s="22">
        <v>0</v>
      </c>
      <c r="W18" s="22">
        <v>0.1</v>
      </c>
      <c r="X18" s="42">
        <v>0.2</v>
      </c>
      <c r="Y18" s="22">
        <v>0.3</v>
      </c>
      <c r="AA18" s="22">
        <v>0.01</v>
      </c>
      <c r="AB18" s="22">
        <v>0.02</v>
      </c>
      <c r="AC18" s="22">
        <v>0.03</v>
      </c>
      <c r="AE18" s="22">
        <v>-0.25</v>
      </c>
      <c r="AF18" s="42">
        <v>1.5</v>
      </c>
      <c r="AG18" s="22">
        <v>0.25</v>
      </c>
      <c r="AI18" s="22">
        <v>-0.1</v>
      </c>
      <c r="AJ18" s="22">
        <v>0.3</v>
      </c>
      <c r="AK18" s="22">
        <v>0.1</v>
      </c>
      <c r="AM18" s="6">
        <v>4</v>
      </c>
      <c r="AN18" s="23">
        <v>0.1</v>
      </c>
      <c r="AP18" s="6">
        <v>1000</v>
      </c>
      <c r="AQ18" s="26">
        <v>1.1961600115620716</v>
      </c>
      <c r="AR18" s="26">
        <v>1.1961600115620716</v>
      </c>
      <c r="AS18" s="26">
        <v>1.1861999999999999</v>
      </c>
      <c r="AT18" s="26">
        <v>1.09378612004454</v>
      </c>
      <c r="AU18" s="26">
        <v>1.0610266218026732</v>
      </c>
      <c r="AV18" s="26">
        <v>0.85640229836849369</v>
      </c>
      <c r="AW18" s="26">
        <v>0.77472880286852364</v>
      </c>
      <c r="AX18" s="26">
        <v>0.92931988010301025</v>
      </c>
      <c r="AY18" s="26">
        <v>0.94849211726145832</v>
      </c>
      <c r="AZ18" s="26">
        <v>1.1291</v>
      </c>
      <c r="BA18" s="26">
        <v>1.1352</v>
      </c>
      <c r="BB18" s="26">
        <v>1.1578999999999999</v>
      </c>
      <c r="BC18" s="6" t="s">
        <v>49</v>
      </c>
      <c r="BE18" s="7">
        <v>36861</v>
      </c>
      <c r="BF18" s="25">
        <v>0.9</v>
      </c>
    </row>
    <row r="19" spans="1:58" ht="13.8">
      <c r="A19" s="19">
        <v>36580</v>
      </c>
      <c r="B19" s="20">
        <v>25.694999694824219</v>
      </c>
      <c r="C19" s="432">
        <v>26.194999694824219</v>
      </c>
      <c r="D19" s="20">
        <v>27.194999694824219</v>
      </c>
      <c r="E19" s="13"/>
      <c r="F19" s="21">
        <v>14.959995269775391</v>
      </c>
      <c r="G19" s="21">
        <v>15.209995269775391</v>
      </c>
      <c r="H19" s="21">
        <v>15.459995269775391</v>
      </c>
      <c r="I19" s="6"/>
      <c r="J19" s="7">
        <v>36892</v>
      </c>
      <c r="K19" s="22">
        <v>25.848748779296876</v>
      </c>
      <c r="L19" s="22">
        <v>26.498748779296875</v>
      </c>
      <c r="M19" s="22">
        <v>26.948748779296874</v>
      </c>
      <c r="O19" s="22">
        <v>22.502500534057617</v>
      </c>
      <c r="P19" s="22">
        <v>25.002500534057617</v>
      </c>
      <c r="Q19" s="22">
        <v>27.502500534057617</v>
      </c>
      <c r="S19" s="22">
        <v>0</v>
      </c>
      <c r="T19" s="22">
        <v>0</v>
      </c>
      <c r="U19" s="22">
        <v>0</v>
      </c>
      <c r="W19" s="22">
        <v>0.12</v>
      </c>
      <c r="X19" s="42">
        <v>0.24</v>
      </c>
      <c r="Y19" s="22">
        <v>0.36</v>
      </c>
      <c r="AA19" s="22">
        <v>0.01</v>
      </c>
      <c r="AB19" s="22">
        <v>0.02</v>
      </c>
      <c r="AC19" s="22">
        <v>0.03</v>
      </c>
      <c r="AE19" s="22">
        <v>-0.4</v>
      </c>
      <c r="AF19" s="42">
        <v>2.25</v>
      </c>
      <c r="AG19" s="22">
        <v>0.5</v>
      </c>
      <c r="AI19" s="22">
        <v>-0.1</v>
      </c>
      <c r="AJ19" s="22">
        <v>0.3</v>
      </c>
      <c r="AK19" s="22">
        <v>0.1</v>
      </c>
      <c r="AM19" s="6">
        <v>5</v>
      </c>
      <c r="AN19" s="23">
        <v>0.1</v>
      </c>
      <c r="AP19" s="6">
        <v>1100</v>
      </c>
      <c r="AQ19" s="26">
        <v>1.1752854504703492</v>
      </c>
      <c r="AR19" s="26">
        <v>1.1752854504703492</v>
      </c>
      <c r="AS19" s="26">
        <v>1.1653</v>
      </c>
      <c r="AT19" s="26">
        <v>1.1163355903593366</v>
      </c>
      <c r="AU19" s="26">
        <v>1.1254998619307197</v>
      </c>
      <c r="AV19" s="26">
        <v>0.98511093402675809</v>
      </c>
      <c r="AW19" s="26">
        <v>0.88155973155887868</v>
      </c>
      <c r="AX19" s="26">
        <v>1.0488791320133406</v>
      </c>
      <c r="AY19" s="26">
        <v>1.012945635654515</v>
      </c>
      <c r="AZ19" s="26">
        <v>1.1227</v>
      </c>
      <c r="BA19" s="26">
        <v>1.1133</v>
      </c>
      <c r="BB19" s="26">
        <v>1.1327</v>
      </c>
      <c r="BC19" s="6" t="s">
        <v>49</v>
      </c>
      <c r="BE19" s="7">
        <v>36892</v>
      </c>
      <c r="BF19" s="25">
        <v>0.9</v>
      </c>
    </row>
    <row r="20" spans="1:58" ht="13.8">
      <c r="A20" s="19">
        <v>36581</v>
      </c>
      <c r="B20" s="20">
        <v>25.694999694824219</v>
      </c>
      <c r="C20" s="432">
        <v>26.194999694824219</v>
      </c>
      <c r="D20" s="20">
        <v>27.194999694824219</v>
      </c>
      <c r="E20" s="13"/>
      <c r="F20" s="21">
        <v>14.959995269775391</v>
      </c>
      <c r="G20" s="21">
        <v>15.209995269775391</v>
      </c>
      <c r="H20" s="21">
        <v>15.459995269775391</v>
      </c>
      <c r="I20" s="6"/>
      <c r="J20" s="7">
        <v>36923</v>
      </c>
      <c r="K20" s="22">
        <v>24.846250152587892</v>
      </c>
      <c r="L20" s="22">
        <v>25.496250152587891</v>
      </c>
      <c r="M20" s="22">
        <v>25.94625015258789</v>
      </c>
      <c r="O20" s="22">
        <v>20.497499465942383</v>
      </c>
      <c r="P20" s="22">
        <v>22.997499465942383</v>
      </c>
      <c r="Q20" s="22">
        <v>25.497499465942383</v>
      </c>
      <c r="S20" s="22">
        <v>0</v>
      </c>
      <c r="T20" s="22">
        <v>0</v>
      </c>
      <c r="U20" s="22">
        <v>0</v>
      </c>
      <c r="W20" s="22">
        <v>0.12</v>
      </c>
      <c r="X20" s="42">
        <v>0.24</v>
      </c>
      <c r="Y20" s="22">
        <v>0.36</v>
      </c>
      <c r="AA20" s="22">
        <v>7.4999999999999997E-3</v>
      </c>
      <c r="AB20" s="22">
        <v>1.4999999999999999E-2</v>
      </c>
      <c r="AC20" s="22">
        <v>2.2499999999999999E-2</v>
      </c>
      <c r="AE20" s="22">
        <v>-0.4</v>
      </c>
      <c r="AF20" s="42">
        <v>2.25</v>
      </c>
      <c r="AG20" s="22">
        <v>0.5</v>
      </c>
      <c r="AI20" s="22">
        <v>-0.1</v>
      </c>
      <c r="AJ20" s="22">
        <v>0.3</v>
      </c>
      <c r="AK20" s="22">
        <v>0.1</v>
      </c>
      <c r="AM20" s="6">
        <v>5</v>
      </c>
      <c r="AN20" s="23">
        <v>0.1</v>
      </c>
      <c r="AP20" s="6">
        <v>1200</v>
      </c>
      <c r="AQ20" s="26">
        <v>0.88039999999999996</v>
      </c>
      <c r="AR20" s="26">
        <v>0.88039999999999996</v>
      </c>
      <c r="AS20" s="26">
        <v>0.89039999999999997</v>
      </c>
      <c r="AT20" s="26">
        <v>1.1185245467924647</v>
      </c>
      <c r="AU20" s="26">
        <v>1.1169907033351396</v>
      </c>
      <c r="AV20" s="26">
        <v>1.0624166422010652</v>
      </c>
      <c r="AW20" s="26">
        <v>1.0539439364924221</v>
      </c>
      <c r="AX20" s="26">
        <v>1.0933254527800058</v>
      </c>
      <c r="AY20" s="26">
        <v>1.0793034625455484</v>
      </c>
      <c r="AZ20" s="26">
        <v>0.94740000000000002</v>
      </c>
      <c r="BA20" s="26">
        <v>0.93740000000000001</v>
      </c>
      <c r="BB20" s="26">
        <v>0.9204</v>
      </c>
      <c r="BC20" s="6" t="s">
        <v>49</v>
      </c>
      <c r="BE20" s="7">
        <v>36923</v>
      </c>
      <c r="BF20" s="25">
        <v>0.9</v>
      </c>
    </row>
    <row r="21" spans="1:58" ht="13.8">
      <c r="A21" s="19">
        <v>36582</v>
      </c>
      <c r="B21" s="20">
        <v>17.875</v>
      </c>
      <c r="C21" s="432">
        <v>18.375</v>
      </c>
      <c r="D21" s="20">
        <v>19.375</v>
      </c>
      <c r="E21" s="13"/>
      <c r="F21" s="21">
        <v>14.959995269775391</v>
      </c>
      <c r="G21" s="21">
        <v>15.209995269775391</v>
      </c>
      <c r="H21" s="21">
        <v>15.459995269775391</v>
      </c>
      <c r="I21" s="6"/>
      <c r="J21" s="7">
        <v>36951</v>
      </c>
      <c r="K21" s="22">
        <v>18.384749603271484</v>
      </c>
      <c r="L21" s="22">
        <v>18.684749603271484</v>
      </c>
      <c r="M21" s="22">
        <v>18.984749603271485</v>
      </c>
      <c r="O21" s="22">
        <v>15.814498901367188</v>
      </c>
      <c r="P21" s="22">
        <v>18.314498901367188</v>
      </c>
      <c r="Q21" s="22">
        <v>20.814498901367188</v>
      </c>
      <c r="S21" s="22">
        <v>0</v>
      </c>
      <c r="T21" s="22">
        <v>0</v>
      </c>
      <c r="U21" s="22">
        <v>0</v>
      </c>
      <c r="W21" s="22">
        <v>0.1</v>
      </c>
      <c r="X21" s="42">
        <v>0.2</v>
      </c>
      <c r="Y21" s="22">
        <v>0.3</v>
      </c>
      <c r="AA21" s="22">
        <v>7.4999999999999997E-3</v>
      </c>
      <c r="AB21" s="22">
        <v>1.4999999999999999E-2</v>
      </c>
      <c r="AC21" s="22">
        <v>2.2499999999999999E-2</v>
      </c>
      <c r="AE21" s="22">
        <v>-0.25</v>
      </c>
      <c r="AF21" s="42">
        <v>1.1000000000000001</v>
      </c>
      <c r="AG21" s="22">
        <v>0.25</v>
      </c>
      <c r="AI21" s="22">
        <v>-0.1</v>
      </c>
      <c r="AJ21" s="22">
        <v>0.3</v>
      </c>
      <c r="AK21" s="22">
        <v>0.1</v>
      </c>
      <c r="AM21" s="6">
        <v>5</v>
      </c>
      <c r="AN21" s="23">
        <v>0.1</v>
      </c>
      <c r="AP21" s="6">
        <v>1300</v>
      </c>
      <c r="AQ21" s="26">
        <v>0.8548</v>
      </c>
      <c r="AR21" s="26">
        <v>0.8548</v>
      </c>
      <c r="AS21" s="26">
        <v>0.86480000000000001</v>
      </c>
      <c r="AT21" s="26">
        <v>1.0164322625621052</v>
      </c>
      <c r="AU21" s="26">
        <v>1.0525174632070931</v>
      </c>
      <c r="AV21" s="26">
        <v>1.1040221448643206</v>
      </c>
      <c r="AW21" s="26">
        <v>1.1615931446365755</v>
      </c>
      <c r="AX21" s="26">
        <v>1.0846793599864903</v>
      </c>
      <c r="AY21" s="26">
        <v>1.0205628696464217</v>
      </c>
      <c r="AZ21" s="26">
        <v>0.88990000000000002</v>
      </c>
      <c r="BA21" s="26">
        <v>0.88290000000000002</v>
      </c>
      <c r="BB21" s="26">
        <v>0.87490000000000001</v>
      </c>
      <c r="BC21" s="6" t="s">
        <v>49</v>
      </c>
      <c r="BE21" s="7">
        <v>36951</v>
      </c>
      <c r="BF21" s="25">
        <v>0.9</v>
      </c>
    </row>
    <row r="22" spans="1:58" ht="13.8">
      <c r="A22" s="19">
        <v>36583</v>
      </c>
      <c r="B22" s="20">
        <v>17.975000381469727</v>
      </c>
      <c r="C22" s="432">
        <v>18.475000381469727</v>
      </c>
      <c r="D22" s="20">
        <v>19.475000381469727</v>
      </c>
      <c r="E22" s="13"/>
      <c r="F22" s="21">
        <v>14.959995269775391</v>
      </c>
      <c r="G22" s="21">
        <v>15.209995269775391</v>
      </c>
      <c r="H22" s="21">
        <v>15.459995269775391</v>
      </c>
      <c r="I22" s="6"/>
      <c r="J22" s="7">
        <v>36982</v>
      </c>
      <c r="K22" s="22">
        <v>19.180000305175781</v>
      </c>
      <c r="L22" s="22">
        <v>19.367500305175781</v>
      </c>
      <c r="M22" s="22">
        <v>19.555000305175781</v>
      </c>
      <c r="O22" s="22">
        <v>15.584999084472656</v>
      </c>
      <c r="P22" s="22">
        <v>18.084999084472656</v>
      </c>
      <c r="Q22" s="22">
        <v>20.584999084472656</v>
      </c>
      <c r="S22" s="22">
        <v>0</v>
      </c>
      <c r="T22" s="22">
        <v>0</v>
      </c>
      <c r="U22" s="22">
        <v>0</v>
      </c>
      <c r="W22" s="22">
        <v>9.5000000000000001E-2</v>
      </c>
      <c r="X22" s="42">
        <v>0.19</v>
      </c>
      <c r="Y22" s="22">
        <v>0.28499999999999998</v>
      </c>
      <c r="AA22" s="22">
        <v>7.4999999999999997E-3</v>
      </c>
      <c r="AB22" s="22">
        <v>1.4999999999999999E-2</v>
      </c>
      <c r="AC22" s="22">
        <v>2.2499999999999999E-2</v>
      </c>
      <c r="AE22" s="22">
        <v>-0.25</v>
      </c>
      <c r="AF22" s="42">
        <v>1.2</v>
      </c>
      <c r="AG22" s="22">
        <v>0.25</v>
      </c>
      <c r="AI22" s="22">
        <v>-0.1</v>
      </c>
      <c r="AJ22" s="22">
        <v>0.3</v>
      </c>
      <c r="AK22" s="22">
        <v>0.1</v>
      </c>
      <c r="AM22" s="6">
        <v>6</v>
      </c>
      <c r="AN22" s="23">
        <v>0.1</v>
      </c>
      <c r="AP22" s="6">
        <v>1400</v>
      </c>
      <c r="AQ22" s="26">
        <v>0.82720000000000005</v>
      </c>
      <c r="AR22" s="26">
        <v>0.82720000000000005</v>
      </c>
      <c r="AS22" s="26">
        <v>0.83720000000000006</v>
      </c>
      <c r="AT22" s="26">
        <v>1.0175267407786688</v>
      </c>
      <c r="AU22" s="26">
        <v>1.0575902308313812</v>
      </c>
      <c r="AV22" s="26">
        <v>1.2209201862181771</v>
      </c>
      <c r="AW22" s="26">
        <v>1.2006887185402797</v>
      </c>
      <c r="AX22" s="26">
        <v>1.1907290919069531</v>
      </c>
      <c r="AY22" s="26">
        <v>1.1047918993646206</v>
      </c>
      <c r="AZ22" s="26">
        <v>0.86519999999999997</v>
      </c>
      <c r="BA22" s="26">
        <v>0.85919999999999996</v>
      </c>
      <c r="BB22" s="26">
        <v>0.83720000000000006</v>
      </c>
      <c r="BC22" s="6" t="s">
        <v>49</v>
      </c>
      <c r="BE22" s="7">
        <v>36982</v>
      </c>
      <c r="BF22" s="25">
        <v>0.9</v>
      </c>
    </row>
    <row r="23" spans="1:58" ht="13.8">
      <c r="A23" s="19">
        <v>36584</v>
      </c>
      <c r="B23" s="20">
        <v>25.975000381469727</v>
      </c>
      <c r="C23" s="432">
        <v>26.475000381469727</v>
      </c>
      <c r="D23" s="20">
        <v>27.475000381469727</v>
      </c>
      <c r="E23" s="13"/>
      <c r="F23" s="21">
        <v>14.959995269775391</v>
      </c>
      <c r="G23" s="21">
        <v>15.209995269775391</v>
      </c>
      <c r="H23" s="21">
        <v>15.459995269775391</v>
      </c>
      <c r="I23" s="6"/>
      <c r="J23" s="7">
        <v>37012</v>
      </c>
      <c r="K23" s="22">
        <v>18.882500076293944</v>
      </c>
      <c r="L23" s="22">
        <v>19.482500076293945</v>
      </c>
      <c r="M23" s="22">
        <v>20.082500076293947</v>
      </c>
      <c r="O23" s="22">
        <v>16.114999771118164</v>
      </c>
      <c r="P23" s="22">
        <v>18.614999771118164</v>
      </c>
      <c r="Q23" s="22">
        <v>21.114999771118164</v>
      </c>
      <c r="S23" s="22">
        <v>0</v>
      </c>
      <c r="T23" s="22">
        <v>0</v>
      </c>
      <c r="U23" s="22">
        <v>0</v>
      </c>
      <c r="W23" s="22">
        <v>0.105</v>
      </c>
      <c r="X23" s="42">
        <v>0.21</v>
      </c>
      <c r="Y23" s="22">
        <v>0.315</v>
      </c>
      <c r="AA23" s="22">
        <v>7.4999999999999997E-3</v>
      </c>
      <c r="AB23" s="22">
        <v>1.4999999999999999E-2</v>
      </c>
      <c r="AC23" s="22">
        <v>2.2499999999999999E-2</v>
      </c>
      <c r="AE23" s="22">
        <v>-0.25</v>
      </c>
      <c r="AF23" s="42">
        <v>2.15</v>
      </c>
      <c r="AG23" s="22">
        <v>0.25</v>
      </c>
      <c r="AI23" s="22">
        <v>-0.1</v>
      </c>
      <c r="AJ23" s="22">
        <v>0.3</v>
      </c>
      <c r="AK23" s="22">
        <v>0.1</v>
      </c>
      <c r="AM23" s="6">
        <v>6</v>
      </c>
      <c r="AN23" s="23">
        <v>0.1</v>
      </c>
      <c r="AP23" s="6">
        <v>1500</v>
      </c>
      <c r="AQ23" s="26">
        <v>0.78510000000000002</v>
      </c>
      <c r="AR23" s="26">
        <v>0.78510000000000002</v>
      </c>
      <c r="AS23" s="26">
        <v>0.79510000000000003</v>
      </c>
      <c r="AT23" s="26">
        <v>0.95436890957577869</v>
      </c>
      <c r="AU23" s="26">
        <v>1.0258445237632567</v>
      </c>
      <c r="AV23" s="26">
        <v>1.2303149771421382</v>
      </c>
      <c r="AW23" s="26">
        <v>1.2506946851612968</v>
      </c>
      <c r="AX23" s="26">
        <v>1.26057331025457</v>
      </c>
      <c r="AY23" s="26">
        <v>1.087360152344681</v>
      </c>
      <c r="AZ23" s="26">
        <v>0.84509999999999996</v>
      </c>
      <c r="BA23" s="26">
        <v>0.83909999999999996</v>
      </c>
      <c r="BB23" s="26">
        <v>0.79510000000000003</v>
      </c>
      <c r="BC23" s="6" t="s">
        <v>49</v>
      </c>
      <c r="BE23" s="7">
        <v>37012</v>
      </c>
      <c r="BF23" s="25">
        <v>0.9</v>
      </c>
    </row>
    <row r="24" spans="1:58" ht="13.8">
      <c r="A24" s="19">
        <v>36585</v>
      </c>
      <c r="B24" s="20">
        <v>25.975000381469727</v>
      </c>
      <c r="C24" s="432">
        <v>26.475000381469727</v>
      </c>
      <c r="D24" s="20">
        <v>27.475000381469727</v>
      </c>
      <c r="E24" s="13"/>
      <c r="F24" s="21">
        <v>14.959995269775391</v>
      </c>
      <c r="G24" s="21">
        <v>15.209995269775391</v>
      </c>
      <c r="H24" s="21">
        <v>15.459995269775391</v>
      </c>
      <c r="I24" s="6"/>
      <c r="J24" s="7">
        <v>37043</v>
      </c>
      <c r="K24" s="22">
        <v>22.333750152587889</v>
      </c>
      <c r="L24" s="22">
        <v>24.058750152587891</v>
      </c>
      <c r="M24" s="22">
        <v>25.783750152587892</v>
      </c>
      <c r="O24" s="22">
        <v>15.042499542236328</v>
      </c>
      <c r="P24" s="22">
        <v>17.542499542236328</v>
      </c>
      <c r="Q24" s="22">
        <v>20.042499542236328</v>
      </c>
      <c r="S24" s="22">
        <v>0</v>
      </c>
      <c r="T24" s="22">
        <v>0</v>
      </c>
      <c r="U24" s="22">
        <v>0</v>
      </c>
      <c r="W24" s="22">
        <v>0.13500000000000001</v>
      </c>
      <c r="X24" s="42">
        <v>0.27</v>
      </c>
      <c r="Y24" s="22">
        <v>0.40500000000000003</v>
      </c>
      <c r="AA24" s="22">
        <v>7.4999999999999997E-3</v>
      </c>
      <c r="AB24" s="22">
        <v>1.4999999999999999E-2</v>
      </c>
      <c r="AC24" s="22">
        <v>2.2499999999999999E-2</v>
      </c>
      <c r="AE24" s="22">
        <v>-0.75</v>
      </c>
      <c r="AF24" s="42">
        <v>2.75</v>
      </c>
      <c r="AG24" s="22">
        <v>0.75</v>
      </c>
      <c r="AI24" s="22">
        <v>-0.1</v>
      </c>
      <c r="AJ24" s="22">
        <v>0.3</v>
      </c>
      <c r="AK24" s="22">
        <v>0.1</v>
      </c>
      <c r="AM24" s="6">
        <v>6</v>
      </c>
      <c r="AN24" s="23">
        <v>0.1</v>
      </c>
      <c r="AP24" s="6">
        <v>1600</v>
      </c>
      <c r="AQ24" s="26">
        <v>0.76929999999999998</v>
      </c>
      <c r="AR24" s="26">
        <v>0.76929999999999998</v>
      </c>
      <c r="AS24" s="26">
        <v>0.77929999999999999</v>
      </c>
      <c r="AT24" s="26">
        <v>0.89196755596374933</v>
      </c>
      <c r="AU24" s="26">
        <v>0.98591693343015174</v>
      </c>
      <c r="AV24" s="26">
        <v>1.2323281466258438</v>
      </c>
      <c r="AW24" s="26">
        <v>1.3273401940004199</v>
      </c>
      <c r="AX24" s="26">
        <v>1.2430109342677418</v>
      </c>
      <c r="AY24" s="26">
        <v>1.0533755699192509</v>
      </c>
      <c r="AZ24" s="26">
        <v>0.83930000000000005</v>
      </c>
      <c r="BA24" s="26">
        <v>0.82530000000000003</v>
      </c>
      <c r="BB24" s="26">
        <v>0.78129999999999999</v>
      </c>
      <c r="BC24" s="6" t="s">
        <v>49</v>
      </c>
      <c r="BE24" s="7">
        <v>37043</v>
      </c>
      <c r="BF24" s="25">
        <v>0.9</v>
      </c>
    </row>
    <row r="25" spans="1:58" ht="13.8">
      <c r="A25" s="19">
        <v>36586</v>
      </c>
      <c r="B25" s="20">
        <v>25.299999618530272</v>
      </c>
      <c r="C25" s="432">
        <v>25.649999618530273</v>
      </c>
      <c r="D25" s="20">
        <v>26.499999618530275</v>
      </c>
      <c r="E25" s="13"/>
      <c r="F25" s="21">
        <v>14.734999847412109</v>
      </c>
      <c r="G25" s="21">
        <v>14.909999847412109</v>
      </c>
      <c r="H25" s="21">
        <v>15.08499984741211</v>
      </c>
      <c r="I25" s="6"/>
      <c r="J25" s="7">
        <v>37073</v>
      </c>
      <c r="K25" s="22">
        <v>36.261249542236328</v>
      </c>
      <c r="L25" s="22">
        <v>38.511249542236328</v>
      </c>
      <c r="M25" s="22">
        <v>40.761249542236328</v>
      </c>
      <c r="O25" s="22">
        <v>25.497499465942383</v>
      </c>
      <c r="P25" s="22">
        <v>27.997499465942383</v>
      </c>
      <c r="Q25" s="22">
        <v>30.497499465942383</v>
      </c>
      <c r="S25" s="22">
        <v>0</v>
      </c>
      <c r="T25" s="22">
        <v>0</v>
      </c>
      <c r="U25" s="22">
        <v>0</v>
      </c>
      <c r="W25" s="22">
        <v>0.16500000000000001</v>
      </c>
      <c r="X25" s="42">
        <v>0.33</v>
      </c>
      <c r="Y25" s="22">
        <v>0.495</v>
      </c>
      <c r="AA25" s="22">
        <v>7.4999999999999997E-3</v>
      </c>
      <c r="AB25" s="22">
        <v>1.4999999999999999E-2</v>
      </c>
      <c r="AC25" s="22">
        <v>2.2499999999999999E-2</v>
      </c>
      <c r="AE25" s="22">
        <v>-1</v>
      </c>
      <c r="AF25" s="42">
        <v>3.75</v>
      </c>
      <c r="AG25" s="22">
        <v>1</v>
      </c>
      <c r="AI25" s="22">
        <v>-0.1</v>
      </c>
      <c r="AJ25" s="22">
        <v>0.3</v>
      </c>
      <c r="AK25" s="22">
        <v>0.1</v>
      </c>
      <c r="AM25" s="6">
        <v>7</v>
      </c>
      <c r="AN25" s="23">
        <v>0.15</v>
      </c>
      <c r="AP25" s="6">
        <v>1700</v>
      </c>
      <c r="AQ25" s="26">
        <v>0.83960000000000001</v>
      </c>
      <c r="AR25" s="26">
        <v>0.83960000000000001</v>
      </c>
      <c r="AS25" s="26">
        <v>0.84960000000000002</v>
      </c>
      <c r="AT25" s="26">
        <v>0.87001361056090987</v>
      </c>
      <c r="AU25" s="26">
        <v>0.9993352219847198</v>
      </c>
      <c r="AV25" s="26">
        <v>1.2523256301639896</v>
      </c>
      <c r="AW25" s="26">
        <v>1.3538888162792144</v>
      </c>
      <c r="AX25" s="26">
        <v>1.2150462278887151</v>
      </c>
      <c r="AY25" s="26">
        <v>1.1345284089868721</v>
      </c>
      <c r="AZ25" s="26">
        <v>0.88959999999999995</v>
      </c>
      <c r="BA25" s="26">
        <v>0.88660000000000005</v>
      </c>
      <c r="BB25" s="26">
        <v>0.87960000000000005</v>
      </c>
      <c r="BC25" s="6" t="s">
        <v>49</v>
      </c>
      <c r="BE25" s="7">
        <v>37073</v>
      </c>
      <c r="BF25" s="25">
        <v>0.9</v>
      </c>
    </row>
    <row r="26" spans="1:58" ht="13.8">
      <c r="A26" s="19">
        <v>36587</v>
      </c>
      <c r="B26" s="20">
        <v>25.299999618530272</v>
      </c>
      <c r="C26" s="432">
        <v>25.649999618530273</v>
      </c>
      <c r="D26" s="20">
        <v>26.499999618530275</v>
      </c>
      <c r="E26" s="13"/>
      <c r="F26" s="21">
        <v>14.734999847412109</v>
      </c>
      <c r="G26" s="21">
        <v>14.909999847412109</v>
      </c>
      <c r="H26" s="21">
        <v>15.08499984741211</v>
      </c>
      <c r="I26" s="6"/>
      <c r="J26" s="7">
        <v>37104</v>
      </c>
      <c r="K26" s="22">
        <v>38.522499084472656</v>
      </c>
      <c r="L26" s="22">
        <v>40.772499084472656</v>
      </c>
      <c r="M26" s="22">
        <v>43.022499084472656</v>
      </c>
      <c r="O26" s="22">
        <v>26.995000839233398</v>
      </c>
      <c r="P26" s="22">
        <v>29.495000839233398</v>
      </c>
      <c r="Q26" s="22">
        <v>31.995000839233398</v>
      </c>
      <c r="S26" s="22">
        <v>0</v>
      </c>
      <c r="T26" s="22">
        <v>0</v>
      </c>
      <c r="U26" s="22">
        <v>0</v>
      </c>
      <c r="W26" s="22">
        <v>0.16500000000000001</v>
      </c>
      <c r="X26" s="42">
        <v>0.33</v>
      </c>
      <c r="Y26" s="22">
        <v>0.495</v>
      </c>
      <c r="AA26" s="22">
        <v>7.4999999999999997E-3</v>
      </c>
      <c r="AB26" s="22">
        <v>1.4999999999999999E-2</v>
      </c>
      <c r="AC26" s="22">
        <v>2.2499999999999999E-2</v>
      </c>
      <c r="AE26" s="22">
        <v>-1</v>
      </c>
      <c r="AF26" s="42">
        <v>3.75</v>
      </c>
      <c r="AG26" s="22">
        <v>1</v>
      </c>
      <c r="AI26" s="22">
        <v>-0.1</v>
      </c>
      <c r="AJ26" s="22">
        <v>0.3</v>
      </c>
      <c r="AK26" s="22">
        <v>0.1</v>
      </c>
      <c r="AM26" s="6">
        <v>7</v>
      </c>
      <c r="AN26" s="23">
        <v>0.15</v>
      </c>
      <c r="AP26" s="6">
        <v>1800</v>
      </c>
      <c r="AQ26" s="26">
        <v>1.1682669241080017</v>
      </c>
      <c r="AR26" s="26">
        <v>1.1682669241080017</v>
      </c>
      <c r="AS26" s="26">
        <v>1.1583000000000001</v>
      </c>
      <c r="AT26" s="26">
        <v>0.8586986372337867</v>
      </c>
      <c r="AU26" s="26">
        <v>0.96038945764341233</v>
      </c>
      <c r="AV26" s="26">
        <v>1.2151491003648869</v>
      </c>
      <c r="AW26" s="26">
        <v>1.3203393586734773</v>
      </c>
      <c r="AX26" s="26">
        <v>1.125207919956094</v>
      </c>
      <c r="AY26" s="26">
        <v>1.1066962078625975</v>
      </c>
      <c r="AZ26" s="26">
        <v>1.2000999999999999</v>
      </c>
      <c r="BA26" s="26">
        <v>1.2171000000000001</v>
      </c>
      <c r="BB26" s="26">
        <v>1.2396592528631896</v>
      </c>
      <c r="BC26" s="6" t="s">
        <v>49</v>
      </c>
      <c r="BE26" s="7">
        <v>37104</v>
      </c>
      <c r="BF26" s="25">
        <v>0.9</v>
      </c>
    </row>
    <row r="27" spans="1:58" ht="13.8">
      <c r="A27" s="19">
        <v>36588</v>
      </c>
      <c r="B27" s="20">
        <v>25.299999618530272</v>
      </c>
      <c r="C27" s="432">
        <v>25.649999618530273</v>
      </c>
      <c r="D27" s="20">
        <v>26.499999618530275</v>
      </c>
      <c r="E27" s="13"/>
      <c r="F27" s="21">
        <v>14.734999847412109</v>
      </c>
      <c r="G27" s="21">
        <v>14.909999847412109</v>
      </c>
      <c r="H27" s="21">
        <v>15.08499984741211</v>
      </c>
      <c r="I27" s="6"/>
      <c r="J27" s="7">
        <v>37135</v>
      </c>
      <c r="K27" s="22">
        <v>17.45499954223633</v>
      </c>
      <c r="L27" s="22">
        <v>17.979999542236328</v>
      </c>
      <c r="M27" s="22">
        <v>18.504999542236327</v>
      </c>
      <c r="O27" s="22">
        <v>12.060000419616699</v>
      </c>
      <c r="P27" s="22">
        <v>14.560000419616699</v>
      </c>
      <c r="Q27" s="22">
        <v>17.060000419616699</v>
      </c>
      <c r="S27" s="22">
        <v>0</v>
      </c>
      <c r="T27" s="22">
        <v>0</v>
      </c>
      <c r="U27" s="22">
        <v>0</v>
      </c>
      <c r="W27" s="22">
        <v>0.1</v>
      </c>
      <c r="X27" s="42">
        <v>0.2</v>
      </c>
      <c r="Y27" s="22">
        <v>0.3</v>
      </c>
      <c r="AA27" s="22">
        <v>7.4999999999999997E-3</v>
      </c>
      <c r="AB27" s="22">
        <v>1.4999999999999999E-2</v>
      </c>
      <c r="AC27" s="22">
        <v>2.2499999999999999E-2</v>
      </c>
      <c r="AE27" s="22">
        <v>-0.4</v>
      </c>
      <c r="AF27" s="42">
        <v>2.25</v>
      </c>
      <c r="AG27" s="22">
        <v>0.5</v>
      </c>
      <c r="AI27" s="22">
        <v>-0.1</v>
      </c>
      <c r="AJ27" s="22">
        <v>0.3</v>
      </c>
      <c r="AK27" s="22">
        <v>0.1</v>
      </c>
      <c r="AM27" s="6">
        <v>7</v>
      </c>
      <c r="AN27" s="23">
        <v>0.15</v>
      </c>
      <c r="AP27" s="6">
        <v>1900</v>
      </c>
      <c r="AQ27" s="26">
        <v>1.2818992289435116</v>
      </c>
      <c r="AR27" s="26">
        <v>1.2818992289435116</v>
      </c>
      <c r="AS27" s="26">
        <v>1.2719</v>
      </c>
      <c r="AT27" s="26">
        <v>0.85409539061706241</v>
      </c>
      <c r="AU27" s="26">
        <v>0.832097528048518</v>
      </c>
      <c r="AV27" s="26">
        <v>1.0375875519020257</v>
      </c>
      <c r="AW27" s="26">
        <v>1.1027679439023967</v>
      </c>
      <c r="AX27" s="26">
        <v>0.91716131211212903</v>
      </c>
      <c r="AY27" s="26">
        <v>0.90645084503689632</v>
      </c>
      <c r="AZ27" s="26">
        <v>1.2095</v>
      </c>
      <c r="BA27" s="26">
        <v>1.2269000000000001</v>
      </c>
      <c r="BB27" s="26">
        <v>1.2314000000000001</v>
      </c>
      <c r="BC27" s="6" t="s">
        <v>49</v>
      </c>
      <c r="BE27" s="7">
        <v>37135</v>
      </c>
      <c r="BF27" s="25">
        <v>0.9</v>
      </c>
    </row>
    <row r="28" spans="1:58" ht="13.8">
      <c r="A28" s="19">
        <v>36589</v>
      </c>
      <c r="B28" s="20">
        <v>16.649999999999999</v>
      </c>
      <c r="C28" s="432">
        <v>17</v>
      </c>
      <c r="D28" s="20">
        <v>17.850000000000001</v>
      </c>
      <c r="E28" s="13"/>
      <c r="F28" s="21">
        <v>14.734999847412109</v>
      </c>
      <c r="G28" s="21">
        <v>14.909999847412109</v>
      </c>
      <c r="H28" s="21">
        <v>15.08499984741211</v>
      </c>
      <c r="I28" s="6"/>
      <c r="J28" s="7">
        <v>37165</v>
      </c>
      <c r="K28" s="22">
        <v>16.619499588012694</v>
      </c>
      <c r="L28" s="22">
        <v>17.031999588012695</v>
      </c>
      <c r="M28" s="22">
        <v>17.444499588012697</v>
      </c>
      <c r="O28" s="22">
        <v>12.204000473022461</v>
      </c>
      <c r="P28" s="22">
        <v>14.704000473022461</v>
      </c>
      <c r="Q28" s="22">
        <v>17.204000473022461</v>
      </c>
      <c r="S28" s="22">
        <v>0</v>
      </c>
      <c r="T28" s="22">
        <v>0</v>
      </c>
      <c r="U28" s="22">
        <v>0</v>
      </c>
      <c r="W28" s="22">
        <v>7.4999999999999997E-2</v>
      </c>
      <c r="X28" s="42">
        <v>0.15</v>
      </c>
      <c r="Y28" s="22">
        <v>0.22500000000000001</v>
      </c>
      <c r="AA28" s="22">
        <v>7.4999999999999997E-3</v>
      </c>
      <c r="AB28" s="22">
        <v>1.4999999999999999E-2</v>
      </c>
      <c r="AC28" s="22">
        <v>2.2499999999999999E-2</v>
      </c>
      <c r="AE28" s="22">
        <v>-0.25</v>
      </c>
      <c r="AF28" s="42">
        <v>1.5</v>
      </c>
      <c r="AG28" s="22">
        <v>0.25</v>
      </c>
      <c r="AI28" s="22">
        <v>-0.1</v>
      </c>
      <c r="AJ28" s="22">
        <v>0.3</v>
      </c>
      <c r="AK28" s="22">
        <v>0.1</v>
      </c>
      <c r="AM28" s="6">
        <v>8</v>
      </c>
      <c r="AN28" s="23">
        <v>0.15</v>
      </c>
      <c r="AP28" s="6">
        <v>2000</v>
      </c>
      <c r="AQ28" s="26">
        <v>1.2270000000000001</v>
      </c>
      <c r="AR28" s="26">
        <v>1.2270000000000001</v>
      </c>
      <c r="AS28" s="26">
        <v>1.2170000000000001</v>
      </c>
      <c r="AT28" s="26">
        <v>0.93680897230708571</v>
      </c>
      <c r="AU28" s="26">
        <v>0.82997023839962336</v>
      </c>
      <c r="AV28" s="26">
        <v>0.82969424988466234</v>
      </c>
      <c r="AW28" s="26">
        <v>0.81600645531569072</v>
      </c>
      <c r="AX28" s="26">
        <v>0.83502343057373252</v>
      </c>
      <c r="AY28" s="26">
        <v>1.184626371010566</v>
      </c>
      <c r="AZ28" s="26">
        <v>1.1567000000000001</v>
      </c>
      <c r="BA28" s="26">
        <v>1.1767000000000001</v>
      </c>
      <c r="BB28" s="26">
        <v>1.1889963083145296</v>
      </c>
      <c r="BC28" s="6" t="s">
        <v>49</v>
      </c>
      <c r="BE28" s="7">
        <v>37165</v>
      </c>
      <c r="BF28" s="25">
        <v>0.9</v>
      </c>
    </row>
    <row r="29" spans="1:58" ht="13.8">
      <c r="A29" s="19">
        <v>36590</v>
      </c>
      <c r="B29" s="20">
        <v>16.649999999999999</v>
      </c>
      <c r="C29" s="432">
        <v>17</v>
      </c>
      <c r="D29" s="20">
        <v>17.850000000000001</v>
      </c>
      <c r="E29" s="13"/>
      <c r="F29" s="21">
        <v>14.734999847412109</v>
      </c>
      <c r="G29" s="21">
        <v>14.909999847412109</v>
      </c>
      <c r="H29" s="21">
        <v>15.08499984741211</v>
      </c>
      <c r="I29" s="6"/>
      <c r="J29" s="7">
        <v>37196</v>
      </c>
      <c r="K29" s="22">
        <v>16.081249618530272</v>
      </c>
      <c r="L29" s="22">
        <v>16.493749618530273</v>
      </c>
      <c r="M29" s="22">
        <v>16.906249618530275</v>
      </c>
      <c r="O29" s="22">
        <v>12.725000381469727</v>
      </c>
      <c r="P29" s="22">
        <v>15.225000381469727</v>
      </c>
      <c r="Q29" s="22">
        <v>17.725000381469727</v>
      </c>
      <c r="S29" s="22">
        <v>0</v>
      </c>
      <c r="T29" s="22">
        <v>0</v>
      </c>
      <c r="U29" s="22">
        <v>0</v>
      </c>
      <c r="W29" s="22">
        <v>7.4999999999999997E-2</v>
      </c>
      <c r="X29" s="42">
        <v>0.15</v>
      </c>
      <c r="Y29" s="22">
        <v>0.22500000000000001</v>
      </c>
      <c r="AA29" s="22">
        <v>7.4999999999999997E-3</v>
      </c>
      <c r="AB29" s="22">
        <v>1.4999999999999999E-2</v>
      </c>
      <c r="AC29" s="22">
        <v>2.2499999999999999E-2</v>
      </c>
      <c r="AE29" s="22">
        <v>-0.25</v>
      </c>
      <c r="AF29" s="42">
        <v>1.5</v>
      </c>
      <c r="AG29" s="22">
        <v>0.25</v>
      </c>
      <c r="AI29" s="22">
        <v>-0.1</v>
      </c>
      <c r="AJ29" s="22">
        <v>0.3</v>
      </c>
      <c r="AK29" s="22">
        <v>0.1</v>
      </c>
      <c r="AM29" s="6">
        <v>8</v>
      </c>
      <c r="AN29" s="23">
        <v>0.15</v>
      </c>
      <c r="AP29" s="6">
        <v>2100</v>
      </c>
      <c r="AQ29" s="26">
        <v>1.1550523732727651</v>
      </c>
      <c r="AR29" s="26">
        <v>1.1550523732727651</v>
      </c>
      <c r="AS29" s="26">
        <v>1.1451</v>
      </c>
      <c r="AT29" s="26">
        <v>1.1543365178491491</v>
      </c>
      <c r="AU29" s="26">
        <v>1.0876995612465097</v>
      </c>
      <c r="AV29" s="26">
        <v>0.90163150610241982</v>
      </c>
      <c r="AW29" s="26">
        <v>0.90256223753970599</v>
      </c>
      <c r="AX29" s="26">
        <v>1.0506353696120232</v>
      </c>
      <c r="AY29" s="26">
        <v>1.1944408840385996</v>
      </c>
      <c r="AZ29" s="26">
        <v>1.0689</v>
      </c>
      <c r="BA29" s="26">
        <v>1.0889</v>
      </c>
      <c r="BB29" s="26">
        <v>1.1550523732727651</v>
      </c>
      <c r="BC29" s="6" t="s">
        <v>49</v>
      </c>
      <c r="BE29" s="7">
        <v>37196</v>
      </c>
      <c r="BF29" s="25">
        <v>0.9</v>
      </c>
    </row>
    <row r="30" spans="1:58" ht="13.8">
      <c r="A30" s="19">
        <v>36591</v>
      </c>
      <c r="B30" s="20">
        <v>25.299999618530272</v>
      </c>
      <c r="C30" s="432">
        <v>25.649999618530273</v>
      </c>
      <c r="D30" s="20">
        <v>26.499999618530275</v>
      </c>
      <c r="E30" s="13"/>
      <c r="F30" s="21">
        <v>14.734999847412109</v>
      </c>
      <c r="G30" s="21">
        <v>14.909999847412109</v>
      </c>
      <c r="H30" s="21">
        <v>15.08499984741211</v>
      </c>
      <c r="I30" s="6"/>
      <c r="J30" s="7">
        <v>37226</v>
      </c>
      <c r="K30" s="22">
        <v>20.226250076293944</v>
      </c>
      <c r="L30" s="22">
        <v>20.638750076293945</v>
      </c>
      <c r="M30" s="22">
        <v>21.051250076293947</v>
      </c>
      <c r="O30" s="22">
        <v>13.175000190734863</v>
      </c>
      <c r="P30" s="22">
        <v>15.675000190734863</v>
      </c>
      <c r="Q30" s="22">
        <v>18.175000190734863</v>
      </c>
      <c r="S30" s="22">
        <v>0</v>
      </c>
      <c r="T30" s="22">
        <v>0</v>
      </c>
      <c r="U30" s="22">
        <v>0</v>
      </c>
      <c r="W30" s="22">
        <v>7.4999999999999997E-2</v>
      </c>
      <c r="X30" s="42">
        <v>0.15</v>
      </c>
      <c r="Y30" s="22">
        <v>0.22500000000000001</v>
      </c>
      <c r="AA30" s="22">
        <v>7.4999999999999997E-3</v>
      </c>
      <c r="AB30" s="22">
        <v>1.4999999999999999E-2</v>
      </c>
      <c r="AC30" s="22">
        <v>2.2499999999999999E-2</v>
      </c>
      <c r="AE30" s="22">
        <v>-0.25</v>
      </c>
      <c r="AF30" s="42">
        <v>1.5</v>
      </c>
      <c r="AG30" s="22">
        <v>0.25</v>
      </c>
      <c r="AI30" s="22">
        <v>-0.1</v>
      </c>
      <c r="AJ30" s="22">
        <v>0.3</v>
      </c>
      <c r="AK30" s="22">
        <v>0.1</v>
      </c>
      <c r="AM30" s="6">
        <v>8</v>
      </c>
      <c r="AN30" s="23">
        <v>0.15</v>
      </c>
      <c r="AP30" s="6">
        <v>2200</v>
      </c>
      <c r="AQ30" s="26">
        <v>0.82150000000000001</v>
      </c>
      <c r="AR30" s="26">
        <v>0.82150000000000001</v>
      </c>
      <c r="AS30" s="26">
        <v>0.83150000000000002</v>
      </c>
      <c r="AT30" s="26">
        <v>0.98358182079729883</v>
      </c>
      <c r="AU30" s="26">
        <v>1.0374627979995292</v>
      </c>
      <c r="AV30" s="26">
        <v>0.91867634106446339</v>
      </c>
      <c r="AW30" s="26">
        <v>0.95638684161178289</v>
      </c>
      <c r="AX30" s="26">
        <v>0.89338455692996166</v>
      </c>
      <c r="AY30" s="26">
        <v>0.90908757988024858</v>
      </c>
      <c r="AZ30" s="26">
        <v>0.88670000000000004</v>
      </c>
      <c r="BA30" s="26">
        <v>0.86619999999999997</v>
      </c>
      <c r="BB30" s="26">
        <v>0.85150000000000003</v>
      </c>
      <c r="BC30" s="6" t="s">
        <v>49</v>
      </c>
      <c r="BE30" s="7">
        <v>37226</v>
      </c>
      <c r="BF30" s="25">
        <v>0.9</v>
      </c>
    </row>
    <row r="31" spans="1:58" ht="13.8">
      <c r="A31" s="19">
        <v>36592</v>
      </c>
      <c r="B31" s="20">
        <v>25.299999618530272</v>
      </c>
      <c r="C31" s="432">
        <v>25.649999618530273</v>
      </c>
      <c r="D31" s="20">
        <v>26.499999618530275</v>
      </c>
      <c r="E31" s="13"/>
      <c r="F31" s="21">
        <v>14.734999847412109</v>
      </c>
      <c r="G31" s="21">
        <v>14.909999847412109</v>
      </c>
      <c r="H31" s="21">
        <v>15.08499984741211</v>
      </c>
      <c r="I31" s="6"/>
      <c r="J31" s="7">
        <v>37257</v>
      </c>
      <c r="K31" s="22">
        <v>26.373748779296875</v>
      </c>
      <c r="L31" s="22">
        <v>27.098748779296876</v>
      </c>
      <c r="M31" s="22">
        <v>27.623748779296875</v>
      </c>
      <c r="O31" s="22">
        <v>22.602500534057619</v>
      </c>
      <c r="P31" s="22">
        <v>25.602500534057619</v>
      </c>
      <c r="Q31" s="22">
        <v>28.602500534057619</v>
      </c>
      <c r="S31" s="22">
        <v>0</v>
      </c>
      <c r="T31" s="22">
        <v>0</v>
      </c>
      <c r="U31" s="22">
        <v>0</v>
      </c>
      <c r="W31" s="22">
        <v>9.8999999999999991E-2</v>
      </c>
      <c r="X31" s="42">
        <v>0.19799999999999998</v>
      </c>
      <c r="Y31" s="22">
        <v>0.29699999999999999</v>
      </c>
      <c r="AA31" s="22">
        <v>7.4999999999999997E-3</v>
      </c>
      <c r="AB31" s="22">
        <v>1.4999999999999999E-2</v>
      </c>
      <c r="AC31" s="22">
        <v>2.2499999999999999E-2</v>
      </c>
      <c r="AE31" s="22">
        <v>-0.4</v>
      </c>
      <c r="AF31" s="42">
        <v>2</v>
      </c>
      <c r="AG31" s="22">
        <v>0.5</v>
      </c>
      <c r="AI31" s="22">
        <v>-0.1</v>
      </c>
      <c r="AJ31" s="22">
        <v>0.3</v>
      </c>
      <c r="AK31" s="22">
        <v>0.1</v>
      </c>
      <c r="AM31" s="6">
        <v>9</v>
      </c>
      <c r="AN31" s="23">
        <v>0.15</v>
      </c>
      <c r="AP31" s="6">
        <v>2300</v>
      </c>
      <c r="AQ31" s="26">
        <v>0.67249999999999999</v>
      </c>
      <c r="AR31" s="26">
        <v>0.67249999999999999</v>
      </c>
      <c r="AS31" s="26">
        <v>0.6825</v>
      </c>
      <c r="AT31" s="26">
        <v>0.86893522761223685</v>
      </c>
      <c r="AU31" s="26">
        <v>0.83226116571381781</v>
      </c>
      <c r="AV31" s="26">
        <v>0.73668581973744907</v>
      </c>
      <c r="AW31" s="26">
        <v>0.6641701566664201</v>
      </c>
      <c r="AX31" s="26">
        <v>0.72343479545742373</v>
      </c>
      <c r="AY31" s="26">
        <v>0.72041455331148319</v>
      </c>
      <c r="AZ31" s="26">
        <v>0.75600000000000001</v>
      </c>
      <c r="BA31" s="26">
        <v>0.73050000000000004</v>
      </c>
      <c r="BB31" s="26">
        <v>0.70250000000000001</v>
      </c>
      <c r="BC31" s="6" t="s">
        <v>49</v>
      </c>
      <c r="BE31" s="7">
        <v>37257</v>
      </c>
      <c r="BF31" s="25">
        <v>0.9</v>
      </c>
    </row>
    <row r="32" spans="1:58" ht="13.8">
      <c r="A32" s="19">
        <v>36593</v>
      </c>
      <c r="B32" s="20">
        <v>25.299999618530272</v>
      </c>
      <c r="C32" s="432">
        <v>25.649999618530273</v>
      </c>
      <c r="D32" s="20">
        <v>26.499999618530275</v>
      </c>
      <c r="E32" s="13"/>
      <c r="F32" s="21">
        <v>14.734999847412109</v>
      </c>
      <c r="G32" s="21">
        <v>14.909999847412109</v>
      </c>
      <c r="H32" s="21">
        <v>15.08499984741211</v>
      </c>
      <c r="I32" s="6"/>
      <c r="J32" s="7">
        <v>37288</v>
      </c>
      <c r="K32" s="22">
        <v>25.371250152587891</v>
      </c>
      <c r="L32" s="22">
        <v>26.096250152587892</v>
      </c>
      <c r="M32" s="22">
        <v>26.621250152587891</v>
      </c>
      <c r="O32" s="22">
        <v>20.597499465942384</v>
      </c>
      <c r="P32" s="22">
        <v>23.597499465942384</v>
      </c>
      <c r="Q32" s="22">
        <v>26.597499465942384</v>
      </c>
      <c r="S32" s="22">
        <v>0</v>
      </c>
      <c r="T32" s="22">
        <v>0</v>
      </c>
      <c r="U32" s="22">
        <v>0</v>
      </c>
      <c r="W32" s="22">
        <v>9.8999999999999991E-2</v>
      </c>
      <c r="X32" s="42">
        <v>0.19799999999999998</v>
      </c>
      <c r="Y32" s="22">
        <v>0.29699999999999999</v>
      </c>
      <c r="AA32" s="22">
        <v>5.0000000000000001E-3</v>
      </c>
      <c r="AB32" s="22">
        <v>0.01</v>
      </c>
      <c r="AC32" s="22">
        <v>1.4999999999999999E-2</v>
      </c>
      <c r="AE32" s="22">
        <v>-0.4</v>
      </c>
      <c r="AF32" s="42">
        <v>2</v>
      </c>
      <c r="AG32" s="22">
        <v>0.5</v>
      </c>
      <c r="AI32" s="22">
        <v>-0.1</v>
      </c>
      <c r="AJ32" s="22">
        <v>0.3</v>
      </c>
      <c r="AK32" s="22">
        <v>0.1</v>
      </c>
      <c r="AM32" s="6">
        <v>9</v>
      </c>
      <c r="AN32" s="23">
        <v>0.15</v>
      </c>
      <c r="AP32" s="6">
        <v>2400</v>
      </c>
      <c r="AQ32" s="26">
        <v>1.2250000000000001</v>
      </c>
      <c r="AR32" s="26">
        <v>1.2250000000000001</v>
      </c>
      <c r="AS32" s="26">
        <v>1.0449999999999999</v>
      </c>
      <c r="AT32" s="26">
        <v>1.0496774949890499</v>
      </c>
      <c r="AU32" s="26">
        <v>1.1779685918573899</v>
      </c>
      <c r="AV32" s="26">
        <v>1.3963883955002958</v>
      </c>
      <c r="AW32" s="26">
        <v>1.2616588759647784</v>
      </c>
      <c r="AX32" s="26">
        <v>1.2636171008350987</v>
      </c>
      <c r="AY32" s="26">
        <v>1.1249920891082836</v>
      </c>
      <c r="AZ32" s="26">
        <v>1.0505</v>
      </c>
      <c r="BA32" s="26">
        <v>1.0505</v>
      </c>
      <c r="BB32" s="26">
        <v>1.0505</v>
      </c>
      <c r="BC32" s="6" t="s">
        <v>48</v>
      </c>
      <c r="BE32" s="7">
        <v>37288</v>
      </c>
      <c r="BF32" s="25">
        <v>0.9</v>
      </c>
    </row>
    <row r="33" spans="1:58">
      <c r="A33" s="19">
        <v>36594</v>
      </c>
      <c r="B33" s="20">
        <v>25.299999618530272</v>
      </c>
      <c r="C33" s="432">
        <v>25.649999618530273</v>
      </c>
      <c r="D33" s="20">
        <v>26.499999618530275</v>
      </c>
      <c r="E33" s="13"/>
      <c r="F33" s="21">
        <v>14.734999847412109</v>
      </c>
      <c r="G33" s="21">
        <v>14.909999847412109</v>
      </c>
      <c r="H33" s="21">
        <v>15.08499984741211</v>
      </c>
      <c r="I33" s="6"/>
      <c r="J33" s="7">
        <v>37316</v>
      </c>
      <c r="K33" s="22">
        <v>18.697249603271487</v>
      </c>
      <c r="L33" s="22">
        <v>19.034749603271486</v>
      </c>
      <c r="M33" s="22">
        <v>19.372249603271484</v>
      </c>
      <c r="O33" s="22">
        <v>15.664498901367189</v>
      </c>
      <c r="P33" s="22">
        <v>18.664498901367189</v>
      </c>
      <c r="Q33" s="22">
        <v>21.664498901367189</v>
      </c>
      <c r="S33" s="22">
        <v>0</v>
      </c>
      <c r="T33" s="22">
        <v>0</v>
      </c>
      <c r="U33" s="22">
        <v>0</v>
      </c>
      <c r="W33" s="22">
        <v>8.2500000000000004E-2</v>
      </c>
      <c r="X33" s="42">
        <v>0.16500000000000001</v>
      </c>
      <c r="Y33" s="22">
        <v>0.2475</v>
      </c>
      <c r="AA33" s="22">
        <v>5.0000000000000001E-3</v>
      </c>
      <c r="AB33" s="22">
        <v>0.01</v>
      </c>
      <c r="AC33" s="22">
        <v>1.4999999999999999E-2</v>
      </c>
      <c r="AE33" s="22">
        <v>-0.25</v>
      </c>
      <c r="AF33" s="42">
        <v>1.1000000000000001</v>
      </c>
      <c r="AG33" s="22">
        <v>0.25</v>
      </c>
      <c r="AI33" s="22">
        <v>-0.1</v>
      </c>
      <c r="AJ33" s="22">
        <v>0.3</v>
      </c>
      <c r="AK33" s="22">
        <v>0.1</v>
      </c>
      <c r="AM33" s="6">
        <v>9</v>
      </c>
      <c r="AN33" s="23">
        <v>0.15</v>
      </c>
      <c r="BE33" s="7">
        <v>37316</v>
      </c>
      <c r="BF33" s="25">
        <v>0.9</v>
      </c>
    </row>
    <row r="34" spans="1:58">
      <c r="A34" s="19">
        <v>36595</v>
      </c>
      <c r="B34" s="20">
        <v>25.299999618530272</v>
      </c>
      <c r="C34" s="432">
        <v>25.649999618530273</v>
      </c>
      <c r="D34" s="20">
        <v>26.499999618530275</v>
      </c>
      <c r="E34" s="13"/>
      <c r="F34" s="21">
        <v>14.734999847412109</v>
      </c>
      <c r="G34" s="21">
        <v>14.909999847412109</v>
      </c>
      <c r="H34" s="21">
        <v>15.08499984741211</v>
      </c>
      <c r="I34" s="6"/>
      <c r="J34" s="7">
        <v>37347</v>
      </c>
      <c r="K34" s="22">
        <v>19.492500305175781</v>
      </c>
      <c r="L34" s="22">
        <v>19.717500305175783</v>
      </c>
      <c r="M34" s="22">
        <v>19.942500305175784</v>
      </c>
      <c r="O34" s="22">
        <v>15.434999084472658</v>
      </c>
      <c r="P34" s="22">
        <v>18.434999084472658</v>
      </c>
      <c r="Q34" s="22">
        <v>21.434999084472658</v>
      </c>
      <c r="S34" s="22">
        <v>0</v>
      </c>
      <c r="T34" s="22">
        <v>0</v>
      </c>
      <c r="U34" s="22">
        <v>0</v>
      </c>
      <c r="W34" s="22">
        <v>7.8375E-2</v>
      </c>
      <c r="X34" s="42">
        <v>0.15675</v>
      </c>
      <c r="Y34" s="22">
        <v>0.235125</v>
      </c>
      <c r="AA34" s="22">
        <v>5.0000000000000001E-3</v>
      </c>
      <c r="AB34" s="22">
        <v>0.01</v>
      </c>
      <c r="AC34" s="22">
        <v>1.4999999999999999E-2</v>
      </c>
      <c r="AE34" s="22">
        <v>-0.25</v>
      </c>
      <c r="AF34" s="42">
        <v>1.2</v>
      </c>
      <c r="AG34" s="22">
        <v>0.25</v>
      </c>
      <c r="AI34" s="22">
        <v>-0.1</v>
      </c>
      <c r="AJ34" s="22">
        <v>0.3</v>
      </c>
      <c r="AK34" s="22">
        <v>0.1</v>
      </c>
      <c r="AM34" s="6">
        <v>10</v>
      </c>
      <c r="AN34" s="23">
        <v>0.15</v>
      </c>
      <c r="AP34" s="6" t="s">
        <v>50</v>
      </c>
      <c r="AS34" s="6" t="s">
        <v>51</v>
      </c>
      <c r="BE34" s="7">
        <v>37347</v>
      </c>
      <c r="BF34" s="25">
        <v>0.9</v>
      </c>
    </row>
    <row r="35" spans="1:58">
      <c r="A35" s="19">
        <v>36596</v>
      </c>
      <c r="B35" s="20">
        <v>16.649999999999999</v>
      </c>
      <c r="C35" s="432">
        <v>17</v>
      </c>
      <c r="D35" s="20">
        <v>17.850000000000001</v>
      </c>
      <c r="E35" s="13"/>
      <c r="F35" s="21">
        <v>14.734999847412109</v>
      </c>
      <c r="G35" s="21">
        <v>14.909999847412109</v>
      </c>
      <c r="H35" s="21">
        <v>15.08499984741211</v>
      </c>
      <c r="I35" s="6"/>
      <c r="J35" s="7">
        <v>37377</v>
      </c>
      <c r="K35" s="22">
        <v>19.082500076293947</v>
      </c>
      <c r="L35" s="22">
        <v>19.832500076293947</v>
      </c>
      <c r="M35" s="22">
        <v>20.582500076293947</v>
      </c>
      <c r="O35" s="22">
        <v>15.964999771118165</v>
      </c>
      <c r="P35" s="22">
        <v>18.964999771118165</v>
      </c>
      <c r="Q35" s="22">
        <v>21.964999771118165</v>
      </c>
      <c r="S35" s="22">
        <v>0</v>
      </c>
      <c r="T35" s="22">
        <v>0</v>
      </c>
      <c r="U35" s="22">
        <v>0</v>
      </c>
      <c r="W35" s="22">
        <v>8.6624999999999994E-2</v>
      </c>
      <c r="X35" s="42">
        <v>0.17324999999999999</v>
      </c>
      <c r="Y35" s="22">
        <v>0.25987499999999997</v>
      </c>
      <c r="AA35" s="22">
        <v>5.0000000000000001E-3</v>
      </c>
      <c r="AB35" s="22">
        <v>0.01</v>
      </c>
      <c r="AC35" s="22">
        <v>1.4999999999999999E-2</v>
      </c>
      <c r="AE35" s="22">
        <v>-0.25</v>
      </c>
      <c r="AF35" s="42">
        <v>2</v>
      </c>
      <c r="AG35" s="22">
        <v>0.25</v>
      </c>
      <c r="AI35" s="22">
        <v>-0.1</v>
      </c>
      <c r="AJ35" s="22">
        <v>0.3</v>
      </c>
      <c r="AK35" s="22">
        <v>0.1</v>
      </c>
      <c r="AM35" s="6">
        <v>10</v>
      </c>
      <c r="AN35" s="23">
        <v>0.15</v>
      </c>
      <c r="AP35" s="23">
        <v>-5</v>
      </c>
      <c r="AQ35" s="27">
        <v>1.4999999999999999E-2</v>
      </c>
      <c r="AS35" s="23">
        <v>1</v>
      </c>
      <c r="BE35" s="7">
        <v>37377</v>
      </c>
      <c r="BF35" s="25">
        <v>0.9</v>
      </c>
    </row>
    <row r="36" spans="1:58">
      <c r="A36" s="19">
        <v>36597</v>
      </c>
      <c r="B36" s="20">
        <v>16.649999999999999</v>
      </c>
      <c r="C36" s="432">
        <v>17</v>
      </c>
      <c r="D36" s="20">
        <v>17.850000000000001</v>
      </c>
      <c r="E36" s="13"/>
      <c r="F36" s="21">
        <v>14.734999847412109</v>
      </c>
      <c r="G36" s="21">
        <v>14.909999847412109</v>
      </c>
      <c r="H36" s="21">
        <v>15.08499984741211</v>
      </c>
      <c r="I36" s="6"/>
      <c r="J36" s="7">
        <v>37408</v>
      </c>
      <c r="K36" s="22">
        <v>22.233750152587891</v>
      </c>
      <c r="L36" s="22">
        <v>24.408750152587892</v>
      </c>
      <c r="M36" s="22">
        <v>26.583750152587893</v>
      </c>
      <c r="O36" s="22">
        <v>14.89249954223633</v>
      </c>
      <c r="P36" s="22">
        <v>17.89249954223633</v>
      </c>
      <c r="Q36" s="22">
        <v>20.89249954223633</v>
      </c>
      <c r="S36" s="22">
        <v>0</v>
      </c>
      <c r="T36" s="22">
        <v>0</v>
      </c>
      <c r="U36" s="22">
        <v>0</v>
      </c>
      <c r="W36" s="22">
        <v>0.111375</v>
      </c>
      <c r="X36" s="42">
        <v>0.22275</v>
      </c>
      <c r="Y36" s="22">
        <v>0.33412500000000001</v>
      </c>
      <c r="AA36" s="22">
        <v>5.0000000000000001E-3</v>
      </c>
      <c r="AB36" s="22">
        <v>0.01</v>
      </c>
      <c r="AC36" s="22">
        <v>1.4999999999999999E-2</v>
      </c>
      <c r="AE36" s="22">
        <v>-0.75</v>
      </c>
      <c r="AF36" s="42">
        <v>2.5</v>
      </c>
      <c r="AG36" s="22">
        <v>0.75</v>
      </c>
      <c r="AI36" s="22">
        <v>-0.1</v>
      </c>
      <c r="AJ36" s="22">
        <v>0.3</v>
      </c>
      <c r="AK36" s="22">
        <v>0.1</v>
      </c>
      <c r="AM36" s="6">
        <v>10</v>
      </c>
      <c r="AN36" s="23">
        <v>0.15</v>
      </c>
      <c r="AP36" s="23">
        <v>-4.5</v>
      </c>
      <c r="AQ36" s="25">
        <v>1.4999999999999999E-2</v>
      </c>
      <c r="AS36" s="23">
        <v>2</v>
      </c>
      <c r="BE36" s="7">
        <v>37408</v>
      </c>
      <c r="BF36" s="25">
        <v>0.9</v>
      </c>
    </row>
    <row r="37" spans="1:58">
      <c r="A37" s="19">
        <v>36598</v>
      </c>
      <c r="B37" s="20">
        <v>24.299999618530272</v>
      </c>
      <c r="C37" s="432">
        <v>24.649999618530273</v>
      </c>
      <c r="D37" s="20">
        <v>25.499999618530275</v>
      </c>
      <c r="E37" s="13"/>
      <c r="F37" s="21">
        <v>14.734999847412109</v>
      </c>
      <c r="G37" s="21">
        <v>14.909999847412109</v>
      </c>
      <c r="H37" s="21">
        <v>15.08499984741211</v>
      </c>
      <c r="I37" s="6"/>
      <c r="J37" s="7">
        <v>37438</v>
      </c>
      <c r="K37" s="22">
        <v>35.86124954223633</v>
      </c>
      <c r="L37" s="22">
        <v>38.86124954223633</v>
      </c>
      <c r="M37" s="22">
        <v>41.86124954223633</v>
      </c>
      <c r="O37" s="22">
        <v>25.347499465942384</v>
      </c>
      <c r="P37" s="22">
        <v>28.347499465942384</v>
      </c>
      <c r="Q37" s="22">
        <v>31.347499465942384</v>
      </c>
      <c r="S37" s="22">
        <v>0</v>
      </c>
      <c r="T37" s="22">
        <v>0</v>
      </c>
      <c r="U37" s="22">
        <v>0</v>
      </c>
      <c r="W37" s="22">
        <v>0.136125</v>
      </c>
      <c r="X37" s="42">
        <v>0.27224999999999999</v>
      </c>
      <c r="Y37" s="22">
        <v>0.40837499999999999</v>
      </c>
      <c r="AA37" s="22">
        <v>5.0000000000000001E-3</v>
      </c>
      <c r="AB37" s="22">
        <v>0.01</v>
      </c>
      <c r="AC37" s="22">
        <v>1.4999999999999999E-2</v>
      </c>
      <c r="AE37" s="22">
        <v>-1</v>
      </c>
      <c r="AF37" s="42">
        <v>3.25</v>
      </c>
      <c r="AG37" s="22">
        <v>1</v>
      </c>
      <c r="AI37" s="22">
        <v>-0.1</v>
      </c>
      <c r="AJ37" s="22">
        <v>0.3</v>
      </c>
      <c r="AK37" s="22">
        <v>0.1</v>
      </c>
      <c r="AM37" s="6">
        <v>11</v>
      </c>
      <c r="AN37" s="23">
        <v>0.25</v>
      </c>
      <c r="AP37" s="28">
        <v>-4</v>
      </c>
      <c r="AQ37" s="27">
        <v>1.2500000000000001E-2</v>
      </c>
      <c r="AS37" s="23">
        <v>3</v>
      </c>
      <c r="BE37" s="7">
        <v>37438</v>
      </c>
      <c r="BF37" s="25">
        <v>0.9</v>
      </c>
    </row>
    <row r="38" spans="1:58">
      <c r="A38" s="19">
        <v>36616</v>
      </c>
      <c r="B38" s="20">
        <v>24.65</v>
      </c>
      <c r="C38" s="432">
        <v>25</v>
      </c>
      <c r="D38" s="20">
        <v>25.85</v>
      </c>
      <c r="E38" s="13"/>
      <c r="F38" s="21">
        <v>14.734999847412109</v>
      </c>
      <c r="G38" s="21">
        <v>14.909999847412109</v>
      </c>
      <c r="H38" s="21">
        <v>15.08499984741211</v>
      </c>
      <c r="I38" s="6"/>
      <c r="J38" s="7">
        <v>37469</v>
      </c>
      <c r="K38" s="22">
        <v>38.122499084472658</v>
      </c>
      <c r="L38" s="22">
        <v>41.122499084472658</v>
      </c>
      <c r="M38" s="22">
        <v>44.122499084472658</v>
      </c>
      <c r="O38" s="22">
        <v>26.8450008392334</v>
      </c>
      <c r="P38" s="22">
        <v>29.8450008392334</v>
      </c>
      <c r="Q38" s="22">
        <v>32.8450008392334</v>
      </c>
      <c r="S38" s="22">
        <v>0</v>
      </c>
      <c r="T38" s="22">
        <v>0</v>
      </c>
      <c r="U38" s="22">
        <v>0</v>
      </c>
      <c r="W38" s="22">
        <v>0.136125</v>
      </c>
      <c r="X38" s="42">
        <v>0.27224999999999999</v>
      </c>
      <c r="Y38" s="22">
        <v>0.40837499999999999</v>
      </c>
      <c r="AA38" s="22">
        <v>5.0000000000000001E-3</v>
      </c>
      <c r="AB38" s="22">
        <v>0.01</v>
      </c>
      <c r="AC38" s="22">
        <v>1.4999999999999999E-2</v>
      </c>
      <c r="AE38" s="22">
        <v>-1</v>
      </c>
      <c r="AF38" s="42">
        <v>3.25</v>
      </c>
      <c r="AG38" s="22">
        <v>1</v>
      </c>
      <c r="AI38" s="22">
        <v>-0.1</v>
      </c>
      <c r="AJ38" s="22">
        <v>0.3</v>
      </c>
      <c r="AK38" s="22">
        <v>0.1</v>
      </c>
      <c r="AM38" s="6">
        <v>11</v>
      </c>
      <c r="AN38" s="23">
        <v>0.25</v>
      </c>
      <c r="AP38" s="23">
        <v>-3.5</v>
      </c>
      <c r="AQ38" s="27">
        <v>1.2500000000000001E-2</v>
      </c>
      <c r="AS38" s="23">
        <v>4</v>
      </c>
      <c r="BE38" s="7">
        <v>37469</v>
      </c>
      <c r="BF38" s="25">
        <v>0.9</v>
      </c>
    </row>
    <row r="39" spans="1:58">
      <c r="A39" s="19">
        <v>36617</v>
      </c>
      <c r="B39" s="20">
        <v>25.199999237060549</v>
      </c>
      <c r="C39" s="432">
        <v>25.399999237060548</v>
      </c>
      <c r="D39" s="20">
        <v>26.099999237060548</v>
      </c>
      <c r="E39" s="13"/>
      <c r="F39" s="21">
        <v>14.63499870300293</v>
      </c>
      <c r="G39" s="21">
        <v>14.73499870300293</v>
      </c>
      <c r="H39" s="21">
        <v>14.834998703002929</v>
      </c>
      <c r="I39" s="6"/>
      <c r="J39" s="7">
        <v>37500</v>
      </c>
      <c r="K39" s="22">
        <v>17.729999542236328</v>
      </c>
      <c r="L39" s="22">
        <v>18.32999954223633</v>
      </c>
      <c r="M39" s="22">
        <v>18.929999542236331</v>
      </c>
      <c r="O39" s="22">
        <v>11.910000419616699</v>
      </c>
      <c r="P39" s="22">
        <v>14.910000419616699</v>
      </c>
      <c r="Q39" s="22">
        <v>17.910000419616701</v>
      </c>
      <c r="S39" s="22">
        <v>0</v>
      </c>
      <c r="T39" s="22">
        <v>0</v>
      </c>
      <c r="U39" s="22">
        <v>0</v>
      </c>
      <c r="W39" s="22">
        <v>8.7499999999999994E-2</v>
      </c>
      <c r="X39" s="42">
        <v>0.17499999999999999</v>
      </c>
      <c r="Y39" s="22">
        <v>0.26250000000000001</v>
      </c>
      <c r="AA39" s="22">
        <v>5.0000000000000001E-3</v>
      </c>
      <c r="AB39" s="22">
        <v>0.01</v>
      </c>
      <c r="AC39" s="22">
        <v>1.4999999999999999E-2</v>
      </c>
      <c r="AE39" s="22">
        <v>-0.4</v>
      </c>
      <c r="AF39" s="42">
        <v>2</v>
      </c>
      <c r="AG39" s="22">
        <v>0.5</v>
      </c>
      <c r="AI39" s="22">
        <v>-0.1</v>
      </c>
      <c r="AJ39" s="22">
        <v>0.3</v>
      </c>
      <c r="AK39" s="22">
        <v>0.1</v>
      </c>
      <c r="AM39" s="6">
        <v>11</v>
      </c>
      <c r="AN39" s="23">
        <v>0.25</v>
      </c>
      <c r="AP39" s="23">
        <v>-3</v>
      </c>
      <c r="AQ39" s="27">
        <v>0.01</v>
      </c>
      <c r="AS39" s="23">
        <v>10</v>
      </c>
      <c r="BE39" s="7">
        <v>37500</v>
      </c>
      <c r="BF39" s="25">
        <v>0.9</v>
      </c>
    </row>
    <row r="40" spans="1:58">
      <c r="A40" s="19">
        <v>36647</v>
      </c>
      <c r="B40" s="20">
        <v>30.200000762939453</v>
      </c>
      <c r="C40" s="432">
        <v>30.700000762939453</v>
      </c>
      <c r="D40" s="20">
        <v>31.700000762939453</v>
      </c>
      <c r="E40" s="13"/>
      <c r="F40" s="21">
        <v>14.672500610351563</v>
      </c>
      <c r="G40" s="21">
        <v>14.922500610351563</v>
      </c>
      <c r="H40" s="21">
        <v>15.172500610351563</v>
      </c>
      <c r="I40" s="6"/>
      <c r="J40" s="7">
        <v>37530</v>
      </c>
      <c r="K40" s="22">
        <v>16.894499588012696</v>
      </c>
      <c r="L40" s="22">
        <v>17.381999588012697</v>
      </c>
      <c r="M40" s="22">
        <v>17.869499588012697</v>
      </c>
      <c r="O40" s="22">
        <v>12.054000473022461</v>
      </c>
      <c r="P40" s="22">
        <v>15.054000473022461</v>
      </c>
      <c r="Q40" s="22">
        <v>18.054000473022462</v>
      </c>
      <c r="S40" s="22">
        <v>0</v>
      </c>
      <c r="T40" s="22">
        <v>0</v>
      </c>
      <c r="U40" s="22">
        <v>0</v>
      </c>
      <c r="W40" s="22">
        <v>6.1874999999999999E-2</v>
      </c>
      <c r="X40" s="42">
        <v>0.12375</v>
      </c>
      <c r="Y40" s="22">
        <v>0.18562500000000001</v>
      </c>
      <c r="AA40" s="22">
        <v>5.0000000000000001E-3</v>
      </c>
      <c r="AB40" s="22">
        <v>0.01</v>
      </c>
      <c r="AC40" s="22">
        <v>1.4999999999999999E-2</v>
      </c>
      <c r="AE40" s="22">
        <v>-0.25</v>
      </c>
      <c r="AF40" s="42">
        <v>1.5</v>
      </c>
      <c r="AG40" s="22">
        <v>0.25</v>
      </c>
      <c r="AI40" s="22">
        <v>-0.1</v>
      </c>
      <c r="AJ40" s="22">
        <v>0.3</v>
      </c>
      <c r="AK40" s="22">
        <v>0.1</v>
      </c>
      <c r="AM40" s="6">
        <v>12</v>
      </c>
      <c r="AN40" s="23">
        <v>0.25</v>
      </c>
      <c r="AP40" s="23">
        <v>-2.5</v>
      </c>
      <c r="AQ40" s="25">
        <v>5.0000000000000001E-3</v>
      </c>
      <c r="AS40" s="23">
        <v>0</v>
      </c>
      <c r="BE40" s="7">
        <v>37530</v>
      </c>
      <c r="BF40" s="25">
        <v>0.9</v>
      </c>
    </row>
    <row r="41" spans="1:58">
      <c r="A41" s="19">
        <v>36678</v>
      </c>
      <c r="B41" s="20">
        <v>56.575000762939453</v>
      </c>
      <c r="C41" s="432">
        <v>58.075000762939453</v>
      </c>
      <c r="D41" s="20">
        <v>60.075000762939453</v>
      </c>
      <c r="E41" s="13"/>
      <c r="F41" s="21">
        <v>15.445001602172852</v>
      </c>
      <c r="G41" s="21">
        <v>16.195001602172852</v>
      </c>
      <c r="H41" s="21">
        <v>16.945001602172852</v>
      </c>
      <c r="I41" s="6"/>
      <c r="J41" s="7">
        <v>37561</v>
      </c>
      <c r="K41" s="22">
        <v>16.356249618530274</v>
      </c>
      <c r="L41" s="22">
        <v>16.843749618530275</v>
      </c>
      <c r="M41" s="22">
        <v>17.331249618530276</v>
      </c>
      <c r="O41" s="22">
        <v>12.575000381469726</v>
      </c>
      <c r="P41" s="22">
        <v>15.575000381469726</v>
      </c>
      <c r="Q41" s="22">
        <v>18.575000381469728</v>
      </c>
      <c r="S41" s="22">
        <v>0</v>
      </c>
      <c r="T41" s="22">
        <v>0</v>
      </c>
      <c r="U41" s="22">
        <v>0</v>
      </c>
      <c r="W41" s="22">
        <v>6.1874999999999999E-2</v>
      </c>
      <c r="X41" s="42">
        <v>0.12375</v>
      </c>
      <c r="Y41" s="22">
        <v>0.18562500000000001</v>
      </c>
      <c r="AA41" s="22">
        <v>5.0000000000000001E-3</v>
      </c>
      <c r="AB41" s="22">
        <v>0.01</v>
      </c>
      <c r="AC41" s="22">
        <v>1.4999999999999999E-2</v>
      </c>
      <c r="AE41" s="22">
        <v>-0.25</v>
      </c>
      <c r="AF41" s="42">
        <v>1.5</v>
      </c>
      <c r="AG41" s="22">
        <v>0.25</v>
      </c>
      <c r="AI41" s="22">
        <v>-0.1</v>
      </c>
      <c r="AJ41" s="22">
        <v>0.3</v>
      </c>
      <c r="AK41" s="22">
        <v>0.1</v>
      </c>
      <c r="AM41" s="6">
        <v>12</v>
      </c>
      <c r="AN41" s="23">
        <v>0.25</v>
      </c>
      <c r="AP41" s="23">
        <v>-2</v>
      </c>
      <c r="AQ41" s="25">
        <v>2.5000000000000001E-3</v>
      </c>
      <c r="AS41" s="23">
        <v>0</v>
      </c>
      <c r="BE41" s="7">
        <v>37561</v>
      </c>
      <c r="BF41" s="25">
        <v>0.9</v>
      </c>
    </row>
    <row r="42" spans="1:58">
      <c r="A42" s="19">
        <v>36708</v>
      </c>
      <c r="B42" s="20">
        <v>101.25</v>
      </c>
      <c r="C42" s="432">
        <v>103.75</v>
      </c>
      <c r="D42" s="20">
        <v>106.75</v>
      </c>
      <c r="E42" s="13"/>
      <c r="F42" s="21">
        <v>19.74749755859375</v>
      </c>
      <c r="G42" s="21">
        <v>20.99749755859375</v>
      </c>
      <c r="H42" s="21">
        <v>22.24749755859375</v>
      </c>
      <c r="I42" s="6"/>
      <c r="J42" s="7">
        <v>37591</v>
      </c>
      <c r="K42" s="22">
        <v>20.501250076293946</v>
      </c>
      <c r="L42" s="22">
        <v>20.988750076293947</v>
      </c>
      <c r="M42" s="22">
        <v>21.476250076293947</v>
      </c>
      <c r="O42" s="22">
        <v>13.025000190734865</v>
      </c>
      <c r="P42" s="22">
        <v>16.025000190734865</v>
      </c>
      <c r="Q42" s="22">
        <v>19.025000190734865</v>
      </c>
      <c r="S42" s="22">
        <v>0</v>
      </c>
      <c r="T42" s="22">
        <v>0</v>
      </c>
      <c r="U42" s="22">
        <v>0</v>
      </c>
      <c r="W42" s="22">
        <v>6.1874999999999999E-2</v>
      </c>
      <c r="X42" s="42">
        <v>0.12375</v>
      </c>
      <c r="Y42" s="22">
        <v>0.18562500000000001</v>
      </c>
      <c r="AA42" s="22">
        <v>5.0000000000000001E-3</v>
      </c>
      <c r="AB42" s="22">
        <v>0.01</v>
      </c>
      <c r="AC42" s="22">
        <v>1.4999999999999999E-2</v>
      </c>
      <c r="AE42" s="22">
        <v>-0.25</v>
      </c>
      <c r="AF42" s="42">
        <v>1.5</v>
      </c>
      <c r="AG42" s="22">
        <v>0.25</v>
      </c>
      <c r="AI42" s="22">
        <v>-0.1</v>
      </c>
      <c r="AJ42" s="22">
        <v>0.3</v>
      </c>
      <c r="AK42" s="22">
        <v>0.1</v>
      </c>
      <c r="AM42" s="6">
        <v>12</v>
      </c>
      <c r="AN42" s="23">
        <v>0.25</v>
      </c>
      <c r="AP42" s="23">
        <v>-1.5</v>
      </c>
      <c r="AQ42" s="25">
        <v>0</v>
      </c>
      <c r="AS42" s="23">
        <v>0</v>
      </c>
      <c r="BE42" s="7">
        <v>37591</v>
      </c>
      <c r="BF42" s="25">
        <v>0.9</v>
      </c>
    </row>
    <row r="43" spans="1:58">
      <c r="A43" s="19">
        <v>36739</v>
      </c>
      <c r="B43" s="20">
        <v>88.25</v>
      </c>
      <c r="C43" s="432">
        <v>90.75</v>
      </c>
      <c r="D43" s="20">
        <v>93.75</v>
      </c>
      <c r="E43" s="13"/>
      <c r="F43" s="21">
        <v>19.797496795654297</v>
      </c>
      <c r="G43" s="21">
        <v>21.047496795654297</v>
      </c>
      <c r="H43" s="21">
        <v>22.297496795654297</v>
      </c>
      <c r="I43" s="6"/>
      <c r="J43" s="7">
        <v>37622</v>
      </c>
      <c r="K43" s="22">
        <v>26.998748779296875</v>
      </c>
      <c r="L43" s="22">
        <v>27.798748779296876</v>
      </c>
      <c r="M43" s="22">
        <v>28.398748779296877</v>
      </c>
      <c r="O43" s="22">
        <v>23.002500534057617</v>
      </c>
      <c r="P43" s="22">
        <v>26.302500534057618</v>
      </c>
      <c r="Q43" s="22">
        <v>29.602500534057619</v>
      </c>
      <c r="S43" s="22">
        <v>0</v>
      </c>
      <c r="T43" s="22">
        <v>0</v>
      </c>
      <c r="U43" s="22">
        <v>0</v>
      </c>
      <c r="W43" s="22">
        <v>9.305999999999999E-2</v>
      </c>
      <c r="X43" s="42">
        <v>0.18611999999999998</v>
      </c>
      <c r="Y43" s="22">
        <v>0.27917999999999998</v>
      </c>
      <c r="AA43" s="22">
        <v>5.0000000000000001E-3</v>
      </c>
      <c r="AB43" s="22">
        <v>0.01</v>
      </c>
      <c r="AC43" s="22">
        <v>1.4999999999999999E-2</v>
      </c>
      <c r="AE43" s="22">
        <v>-0.4</v>
      </c>
      <c r="AF43" s="42">
        <v>2</v>
      </c>
      <c r="AG43" s="22">
        <v>0.5</v>
      </c>
      <c r="AI43" s="22">
        <v>-0.1</v>
      </c>
      <c r="AJ43" s="22">
        <v>0.3</v>
      </c>
      <c r="AK43" s="22">
        <v>0.1</v>
      </c>
      <c r="AM43" s="6">
        <v>13</v>
      </c>
      <c r="AN43" s="23">
        <v>0.25</v>
      </c>
      <c r="AP43" s="23">
        <v>-1</v>
      </c>
      <c r="AQ43" s="25">
        <v>0</v>
      </c>
      <c r="AS43" s="23">
        <v>0</v>
      </c>
      <c r="BE43" s="7">
        <v>37622</v>
      </c>
      <c r="BF43" s="25">
        <v>0.9</v>
      </c>
    </row>
    <row r="44" spans="1:58">
      <c r="A44" s="19">
        <v>36770</v>
      </c>
      <c r="B44" s="20">
        <v>34.949999237060545</v>
      </c>
      <c r="C44" s="432">
        <v>35.549999237060547</v>
      </c>
      <c r="D44" s="20">
        <v>36.649999237060548</v>
      </c>
      <c r="E44" s="13"/>
      <c r="F44" s="21">
        <v>14.097499084472656</v>
      </c>
      <c r="G44" s="21">
        <v>14.397499084472656</v>
      </c>
      <c r="H44" s="21">
        <v>14.697499084472657</v>
      </c>
      <c r="I44" s="6"/>
      <c r="J44" s="7">
        <v>37653</v>
      </c>
      <c r="K44" s="22">
        <v>25.996250152587891</v>
      </c>
      <c r="L44" s="22">
        <v>26.796250152587891</v>
      </c>
      <c r="M44" s="22">
        <v>27.396250152587893</v>
      </c>
      <c r="O44" s="22">
        <v>20.997499465942383</v>
      </c>
      <c r="P44" s="22">
        <v>24.297499465942384</v>
      </c>
      <c r="Q44" s="22">
        <v>27.597499465942384</v>
      </c>
      <c r="S44" s="22">
        <v>0</v>
      </c>
      <c r="T44" s="22">
        <v>0</v>
      </c>
      <c r="U44" s="22">
        <v>0</v>
      </c>
      <c r="W44" s="22">
        <v>9.305999999999999E-2</v>
      </c>
      <c r="X44" s="42">
        <v>0.18611999999999998</v>
      </c>
      <c r="Y44" s="22">
        <v>0.27917999999999998</v>
      </c>
      <c r="AA44" s="22">
        <v>2.5000000000000001E-3</v>
      </c>
      <c r="AB44" s="22">
        <v>5.0000000000000001E-3</v>
      </c>
      <c r="AC44" s="22">
        <v>7.4999999999999997E-3</v>
      </c>
      <c r="AE44" s="22">
        <v>-0.4</v>
      </c>
      <c r="AF44" s="42">
        <v>2</v>
      </c>
      <c r="AG44" s="22">
        <v>0.5</v>
      </c>
      <c r="AI44" s="22">
        <v>-0.1</v>
      </c>
      <c r="AJ44" s="22">
        <v>0.3</v>
      </c>
      <c r="AK44" s="22">
        <v>0.1</v>
      </c>
      <c r="AM44" s="6">
        <v>13</v>
      </c>
      <c r="AN44" s="23">
        <v>0.25</v>
      </c>
      <c r="AP44" s="23">
        <v>-0.5</v>
      </c>
      <c r="AQ44" s="25">
        <v>0</v>
      </c>
      <c r="AS44" s="23">
        <v>0</v>
      </c>
      <c r="BE44" s="7">
        <v>37653</v>
      </c>
      <c r="BF44" s="25">
        <v>0.9</v>
      </c>
    </row>
    <row r="45" spans="1:58">
      <c r="A45" s="19">
        <v>36800</v>
      </c>
      <c r="B45" s="20">
        <v>25.000000762939454</v>
      </c>
      <c r="C45" s="432">
        <v>25.450000762939453</v>
      </c>
      <c r="D45" s="20">
        <v>26.400000762939452</v>
      </c>
      <c r="E45" s="13"/>
      <c r="F45" s="21">
        <v>14.13499870300293</v>
      </c>
      <c r="G45" s="21">
        <v>14.35999870300293</v>
      </c>
      <c r="H45" s="21">
        <v>14.584998703002929</v>
      </c>
      <c r="I45" s="6"/>
      <c r="J45" s="7">
        <v>37681</v>
      </c>
      <c r="K45" s="22">
        <v>19.009749603271487</v>
      </c>
      <c r="L45" s="22">
        <v>19.384749603271487</v>
      </c>
      <c r="M45" s="22">
        <v>19.759749603271487</v>
      </c>
      <c r="O45" s="22">
        <v>15.71449890136719</v>
      </c>
      <c r="P45" s="22">
        <v>19.01449890136719</v>
      </c>
      <c r="Q45" s="22">
        <v>22.314498901367191</v>
      </c>
      <c r="S45" s="22">
        <v>0</v>
      </c>
      <c r="T45" s="22">
        <v>0</v>
      </c>
      <c r="U45" s="22">
        <v>0</v>
      </c>
      <c r="W45" s="22">
        <v>7.7549999999999994E-2</v>
      </c>
      <c r="X45" s="42">
        <v>0.15509999999999999</v>
      </c>
      <c r="Y45" s="22">
        <v>0.23264999999999997</v>
      </c>
      <c r="AA45" s="22">
        <v>2.5000000000000001E-3</v>
      </c>
      <c r="AB45" s="22">
        <v>5.0000000000000001E-3</v>
      </c>
      <c r="AC45" s="22">
        <v>7.4999999999999997E-3</v>
      </c>
      <c r="AE45" s="22">
        <v>-0.25</v>
      </c>
      <c r="AF45" s="42">
        <v>1.1000000000000001</v>
      </c>
      <c r="AG45" s="22">
        <v>0.25</v>
      </c>
      <c r="AI45" s="22">
        <v>-0.1</v>
      </c>
      <c r="AJ45" s="22">
        <v>0.3</v>
      </c>
      <c r="AK45" s="22">
        <v>0.1</v>
      </c>
      <c r="AM45" s="6">
        <v>13</v>
      </c>
      <c r="AN45" s="23">
        <v>0.25</v>
      </c>
      <c r="AP45" s="23">
        <v>0</v>
      </c>
      <c r="AQ45" s="25">
        <v>0</v>
      </c>
      <c r="AS45" s="23">
        <v>0</v>
      </c>
      <c r="BE45" s="7">
        <v>37681</v>
      </c>
      <c r="BF45" s="25">
        <v>0.9</v>
      </c>
    </row>
    <row r="46" spans="1:58">
      <c r="A46" s="19">
        <v>36831</v>
      </c>
      <c r="B46" s="20">
        <v>24.699999618530274</v>
      </c>
      <c r="C46" s="432">
        <v>25.149999618530273</v>
      </c>
      <c r="D46" s="20">
        <v>26.099999618530273</v>
      </c>
      <c r="E46" s="13"/>
      <c r="F46" s="21">
        <v>14.05999984741211</v>
      </c>
      <c r="G46" s="21">
        <v>14.284999847412109</v>
      </c>
      <c r="H46" s="21">
        <v>14.509999847412109</v>
      </c>
      <c r="I46" s="6"/>
      <c r="J46" s="7">
        <v>37712</v>
      </c>
      <c r="K46" s="22">
        <v>19.805000305175785</v>
      </c>
      <c r="L46" s="22">
        <v>20.067500305175784</v>
      </c>
      <c r="M46" s="22">
        <v>20.330000305175783</v>
      </c>
      <c r="O46" s="22">
        <v>15.484999084472658</v>
      </c>
      <c r="P46" s="22">
        <v>18.784999084472659</v>
      </c>
      <c r="Q46" s="22">
        <v>22.08499908447266</v>
      </c>
      <c r="S46" s="22">
        <v>0</v>
      </c>
      <c r="T46" s="22">
        <v>0</v>
      </c>
      <c r="U46" s="22">
        <v>0</v>
      </c>
      <c r="W46" s="22">
        <v>7.3672500000000002E-2</v>
      </c>
      <c r="X46" s="42">
        <v>0.147345</v>
      </c>
      <c r="Y46" s="22">
        <v>0.22101750000000001</v>
      </c>
      <c r="AA46" s="22">
        <v>2.5000000000000001E-3</v>
      </c>
      <c r="AB46" s="22">
        <v>5.0000000000000001E-3</v>
      </c>
      <c r="AC46" s="22">
        <v>7.4999999999999997E-3</v>
      </c>
      <c r="AE46" s="22">
        <v>-0.25</v>
      </c>
      <c r="AF46" s="42">
        <v>1.2</v>
      </c>
      <c r="AG46" s="22">
        <v>0.25</v>
      </c>
      <c r="AI46" s="22">
        <v>-0.1</v>
      </c>
      <c r="AJ46" s="22">
        <v>0.3</v>
      </c>
      <c r="AK46" s="22">
        <v>0.1</v>
      </c>
      <c r="AM46" s="6">
        <v>14</v>
      </c>
      <c r="AN46" s="23">
        <v>0.25</v>
      </c>
      <c r="AP46" s="23">
        <v>1</v>
      </c>
      <c r="AQ46" s="25">
        <v>0</v>
      </c>
      <c r="AS46" s="23">
        <v>0</v>
      </c>
      <c r="BE46" s="7">
        <v>37712</v>
      </c>
      <c r="BF46" s="25">
        <v>0.9</v>
      </c>
    </row>
    <row r="47" spans="1:58">
      <c r="A47" s="19">
        <v>36861</v>
      </c>
      <c r="B47" s="20">
        <v>26.925000000000001</v>
      </c>
      <c r="C47" s="432">
        <v>27.375</v>
      </c>
      <c r="D47" s="20">
        <v>28.324999999999999</v>
      </c>
      <c r="E47" s="13"/>
      <c r="F47" s="21">
        <v>15.035000228881836</v>
      </c>
      <c r="G47" s="21">
        <v>15.260000228881836</v>
      </c>
      <c r="H47" s="21">
        <v>15.485000228881836</v>
      </c>
      <c r="I47" s="6"/>
      <c r="J47" s="7">
        <v>37742</v>
      </c>
      <c r="K47" s="22">
        <v>19.245000076293948</v>
      </c>
      <c r="L47" s="22">
        <v>20.182500076293948</v>
      </c>
      <c r="M47" s="22">
        <v>21.120000076293948</v>
      </c>
      <c r="O47" s="22">
        <v>16.014999771118166</v>
      </c>
      <c r="P47" s="22">
        <v>19.314999771118167</v>
      </c>
      <c r="Q47" s="22">
        <v>22.614999771118168</v>
      </c>
      <c r="S47" s="22">
        <v>0</v>
      </c>
      <c r="T47" s="22">
        <v>0</v>
      </c>
      <c r="U47" s="22">
        <v>0</v>
      </c>
      <c r="W47" s="22">
        <v>8.1427499999999986E-2</v>
      </c>
      <c r="X47" s="42">
        <v>0.16285499999999997</v>
      </c>
      <c r="Y47" s="22">
        <v>0.24428249999999996</v>
      </c>
      <c r="AA47" s="22">
        <v>2.5000000000000001E-3</v>
      </c>
      <c r="AB47" s="22">
        <v>5.0000000000000001E-3</v>
      </c>
      <c r="AC47" s="22">
        <v>7.4999999999999997E-3</v>
      </c>
      <c r="AE47" s="22">
        <v>-0.25</v>
      </c>
      <c r="AF47" s="42">
        <v>2</v>
      </c>
      <c r="AG47" s="22">
        <v>0.25</v>
      </c>
      <c r="AI47" s="22">
        <v>-0.1</v>
      </c>
      <c r="AJ47" s="22">
        <v>0.3</v>
      </c>
      <c r="AK47" s="22">
        <v>0.1</v>
      </c>
      <c r="AM47" s="6">
        <v>14</v>
      </c>
      <c r="AN47" s="23">
        <v>0.25</v>
      </c>
      <c r="AP47" s="23">
        <v>2</v>
      </c>
      <c r="AQ47" s="25">
        <v>0</v>
      </c>
      <c r="AS47" s="23">
        <v>0</v>
      </c>
      <c r="BE47" s="7">
        <v>37742</v>
      </c>
      <c r="BF47" s="25">
        <v>0.9</v>
      </c>
    </row>
    <row r="48" spans="1:58">
      <c r="A48" s="19">
        <v>36892</v>
      </c>
      <c r="B48" s="20">
        <v>34.624998474121092</v>
      </c>
      <c r="C48" s="432">
        <v>35.224998474121094</v>
      </c>
      <c r="D48" s="20">
        <v>36.324998474121095</v>
      </c>
      <c r="E48" s="13"/>
      <c r="F48" s="21">
        <v>19.259997558593749</v>
      </c>
      <c r="G48" s="21">
        <v>19.55999755859375</v>
      </c>
      <c r="H48" s="21">
        <v>19.859997558593751</v>
      </c>
      <c r="I48" s="6"/>
      <c r="J48" s="7">
        <v>37773</v>
      </c>
      <c r="K48" s="22">
        <v>22.036250152587893</v>
      </c>
      <c r="L48" s="22">
        <v>24.758750152587893</v>
      </c>
      <c r="M48" s="22">
        <v>27.481250152587894</v>
      </c>
      <c r="O48" s="22">
        <v>14.94249954223633</v>
      </c>
      <c r="P48" s="22">
        <v>18.242499542236331</v>
      </c>
      <c r="Q48" s="22">
        <v>21.542499542236332</v>
      </c>
      <c r="S48" s="22">
        <v>0</v>
      </c>
      <c r="T48" s="22">
        <v>0</v>
      </c>
      <c r="U48" s="22">
        <v>0</v>
      </c>
      <c r="W48" s="22">
        <v>0.10469249999999999</v>
      </c>
      <c r="X48" s="42">
        <v>0.20938499999999999</v>
      </c>
      <c r="Y48" s="22">
        <v>0.31407750000000001</v>
      </c>
      <c r="AA48" s="22">
        <v>2.5000000000000001E-3</v>
      </c>
      <c r="AB48" s="22">
        <v>5.0000000000000001E-3</v>
      </c>
      <c r="AC48" s="22">
        <v>7.4999999999999997E-3</v>
      </c>
      <c r="AE48" s="22">
        <v>-0.75</v>
      </c>
      <c r="AF48" s="42">
        <v>2.25</v>
      </c>
      <c r="AG48" s="22">
        <v>0.75</v>
      </c>
      <c r="AI48" s="22">
        <v>-0.1</v>
      </c>
      <c r="AJ48" s="22">
        <v>0.3</v>
      </c>
      <c r="AK48" s="22">
        <v>0.1</v>
      </c>
      <c r="AM48" s="6">
        <v>14</v>
      </c>
      <c r="AN48" s="23">
        <v>0.25</v>
      </c>
      <c r="AP48" s="23">
        <v>3</v>
      </c>
      <c r="AQ48" s="25">
        <v>0.01</v>
      </c>
      <c r="AS48" s="23">
        <v>0</v>
      </c>
      <c r="BE48" s="7">
        <v>37773</v>
      </c>
      <c r="BF48" s="25">
        <v>0.9</v>
      </c>
    </row>
    <row r="49" spans="1:58">
      <c r="A49" s="19">
        <v>36923</v>
      </c>
      <c r="B49" s="20">
        <v>34.624998474121092</v>
      </c>
      <c r="C49" s="432">
        <v>35.224998474121094</v>
      </c>
      <c r="D49" s="20">
        <v>36.324998474121095</v>
      </c>
      <c r="E49" s="13"/>
      <c r="F49" s="21">
        <v>19.409997177124023</v>
      </c>
      <c r="G49" s="21">
        <v>19.709997177124023</v>
      </c>
      <c r="H49" s="21">
        <v>20.009997177124024</v>
      </c>
      <c r="I49" s="6"/>
      <c r="J49" s="7">
        <v>37803</v>
      </c>
      <c r="K49" s="22">
        <v>36.211249542236331</v>
      </c>
      <c r="L49" s="22">
        <v>39.211249542236331</v>
      </c>
      <c r="M49" s="22">
        <v>42.211249542236331</v>
      </c>
      <c r="O49" s="22">
        <v>25.397499465942385</v>
      </c>
      <c r="P49" s="22">
        <v>28.697499465942386</v>
      </c>
      <c r="Q49" s="22">
        <v>31.997499465942386</v>
      </c>
      <c r="S49" s="22">
        <v>0</v>
      </c>
      <c r="T49" s="22">
        <v>0</v>
      </c>
      <c r="U49" s="22">
        <v>0</v>
      </c>
      <c r="W49" s="22">
        <v>0.1279575</v>
      </c>
      <c r="X49" s="42">
        <v>0.255915</v>
      </c>
      <c r="Y49" s="22">
        <v>0.38387250000000001</v>
      </c>
      <c r="AA49" s="22">
        <v>2.5000000000000001E-3</v>
      </c>
      <c r="AB49" s="22">
        <v>5.0000000000000001E-3</v>
      </c>
      <c r="AC49" s="22">
        <v>7.4999999999999997E-3</v>
      </c>
      <c r="AE49" s="22">
        <v>-1</v>
      </c>
      <c r="AF49" s="42">
        <v>3</v>
      </c>
      <c r="AG49" s="22">
        <v>1</v>
      </c>
      <c r="AI49" s="22">
        <v>-0.1</v>
      </c>
      <c r="AJ49" s="22">
        <v>0.3</v>
      </c>
      <c r="AK49" s="22">
        <v>0.1</v>
      </c>
      <c r="AM49" s="6">
        <v>15</v>
      </c>
      <c r="AN49" s="23">
        <v>0.4</v>
      </c>
      <c r="AP49" s="23">
        <v>4</v>
      </c>
      <c r="AQ49" s="25">
        <v>1.4999999999999999E-2</v>
      </c>
      <c r="AS49" s="23">
        <v>0</v>
      </c>
      <c r="BE49" s="7">
        <v>37803</v>
      </c>
      <c r="BF49" s="25">
        <v>0.9</v>
      </c>
    </row>
    <row r="50" spans="1:58">
      <c r="A50" s="19">
        <v>36951</v>
      </c>
      <c r="B50" s="20">
        <v>25.175000762939455</v>
      </c>
      <c r="C50" s="432">
        <v>25.575000762939453</v>
      </c>
      <c r="D50" s="20">
        <v>26.475000762939452</v>
      </c>
      <c r="E50" s="13"/>
      <c r="F50" s="21">
        <v>16.759999084472657</v>
      </c>
      <c r="G50" s="21">
        <v>16.959999084472656</v>
      </c>
      <c r="H50" s="21">
        <v>17.159999084472656</v>
      </c>
      <c r="I50" s="6"/>
      <c r="J50" s="7">
        <v>37834</v>
      </c>
      <c r="K50" s="22">
        <v>38.472499084472659</v>
      </c>
      <c r="L50" s="22">
        <v>41.472499084472659</v>
      </c>
      <c r="M50" s="22">
        <v>44.472499084472659</v>
      </c>
      <c r="O50" s="22">
        <v>26.895000839233401</v>
      </c>
      <c r="P50" s="22">
        <v>30.195000839233401</v>
      </c>
      <c r="Q50" s="22">
        <v>33.495000839233398</v>
      </c>
      <c r="S50" s="22">
        <v>0</v>
      </c>
      <c r="T50" s="22">
        <v>0</v>
      </c>
      <c r="U50" s="22">
        <v>0</v>
      </c>
      <c r="W50" s="22">
        <v>0.1279575</v>
      </c>
      <c r="X50" s="42">
        <v>0.255915</v>
      </c>
      <c r="Y50" s="22">
        <v>0.38387250000000001</v>
      </c>
      <c r="AA50" s="22">
        <v>2.5000000000000001E-3</v>
      </c>
      <c r="AB50" s="22">
        <v>5.0000000000000001E-3</v>
      </c>
      <c r="AC50" s="22">
        <v>7.4999999999999997E-3</v>
      </c>
      <c r="AE50" s="22">
        <v>-1</v>
      </c>
      <c r="AF50" s="42">
        <v>3</v>
      </c>
      <c r="AG50" s="22">
        <v>1</v>
      </c>
      <c r="AI50" s="22">
        <v>-0.1</v>
      </c>
      <c r="AJ50" s="22">
        <v>0.3</v>
      </c>
      <c r="AK50" s="22">
        <v>0.1</v>
      </c>
      <c r="AM50" s="6">
        <v>15</v>
      </c>
      <c r="AN50" s="23">
        <v>0.4</v>
      </c>
      <c r="AP50" s="23">
        <v>5</v>
      </c>
      <c r="AQ50" s="25">
        <v>1.7500000000000002E-2</v>
      </c>
      <c r="AS50" s="23">
        <v>0</v>
      </c>
      <c r="BE50" s="7">
        <v>37834</v>
      </c>
      <c r="BF50" s="25">
        <v>0.9</v>
      </c>
    </row>
    <row r="51" spans="1:58">
      <c r="A51" s="19">
        <v>36982</v>
      </c>
      <c r="B51" s="20">
        <v>25.325000762939453</v>
      </c>
      <c r="C51" s="432">
        <v>25.575000762939453</v>
      </c>
      <c r="D51" s="20">
        <v>26.325000762939453</v>
      </c>
      <c r="E51" s="13"/>
      <c r="F51" s="21">
        <v>17.084999084472656</v>
      </c>
      <c r="G51" s="21">
        <v>17.209999084472656</v>
      </c>
      <c r="H51" s="21">
        <v>17.334999084472656</v>
      </c>
      <c r="I51" s="6"/>
      <c r="J51" s="7">
        <v>37865</v>
      </c>
      <c r="K51" s="22">
        <v>18.00499954223633</v>
      </c>
      <c r="L51" s="22">
        <v>18.679999542236331</v>
      </c>
      <c r="M51" s="22">
        <v>19.354999542236332</v>
      </c>
      <c r="O51" s="22">
        <v>11.960000419616698</v>
      </c>
      <c r="P51" s="22">
        <v>15.260000419616699</v>
      </c>
      <c r="Q51" s="22">
        <v>18.560000419616699</v>
      </c>
      <c r="S51" s="22">
        <v>0</v>
      </c>
      <c r="T51" s="22">
        <v>0</v>
      </c>
      <c r="U51" s="22">
        <v>0</v>
      </c>
      <c r="W51" s="22">
        <v>8.224999999999999E-2</v>
      </c>
      <c r="X51" s="42">
        <v>0.16449999999999998</v>
      </c>
      <c r="Y51" s="22">
        <v>0.24674999999999997</v>
      </c>
      <c r="AA51" s="22">
        <v>2.5000000000000001E-3</v>
      </c>
      <c r="AB51" s="22">
        <v>5.0000000000000001E-3</v>
      </c>
      <c r="AC51" s="22">
        <v>7.4999999999999997E-3</v>
      </c>
      <c r="AE51" s="22">
        <v>-0.4</v>
      </c>
      <c r="AF51" s="42">
        <v>1.75</v>
      </c>
      <c r="AG51" s="22">
        <v>0.5</v>
      </c>
      <c r="AI51" s="22">
        <v>-0.1</v>
      </c>
      <c r="AJ51" s="22">
        <v>0.3</v>
      </c>
      <c r="AK51" s="22">
        <v>0.1</v>
      </c>
      <c r="AM51" s="6">
        <v>15</v>
      </c>
      <c r="AN51" s="23">
        <v>0.4</v>
      </c>
      <c r="AP51" s="23">
        <v>6</v>
      </c>
      <c r="AQ51" s="25">
        <v>2.5000000000000001E-2</v>
      </c>
      <c r="AS51" s="23">
        <v>0</v>
      </c>
      <c r="BE51" s="7">
        <v>37865</v>
      </c>
      <c r="BF51" s="25">
        <v>0.9</v>
      </c>
    </row>
    <row r="52" spans="1:58">
      <c r="A52" s="19">
        <v>37012</v>
      </c>
      <c r="B52" s="20">
        <v>30.074999999999999</v>
      </c>
      <c r="C52" s="432">
        <v>30.875</v>
      </c>
      <c r="D52" s="20">
        <v>32.174999999999997</v>
      </c>
      <c r="E52" s="13"/>
      <c r="F52" s="21">
        <v>16.259999847412111</v>
      </c>
      <c r="G52" s="21">
        <v>16.659999847412109</v>
      </c>
      <c r="H52" s="21">
        <v>17.059999847412108</v>
      </c>
      <c r="I52" s="6"/>
      <c r="J52" s="7">
        <v>37895</v>
      </c>
      <c r="K52" s="22">
        <v>17.169499588012698</v>
      </c>
      <c r="L52" s="22">
        <v>17.731999588012698</v>
      </c>
      <c r="M52" s="22">
        <v>18.294499588012698</v>
      </c>
      <c r="O52" s="22">
        <v>12.10400047302246</v>
      </c>
      <c r="P52" s="22">
        <v>15.40400047302246</v>
      </c>
      <c r="Q52" s="22">
        <v>18.704000473022461</v>
      </c>
      <c r="S52" s="22">
        <v>0</v>
      </c>
      <c r="T52" s="22">
        <v>0</v>
      </c>
      <c r="U52" s="22">
        <v>0</v>
      </c>
      <c r="W52" s="22">
        <v>5.8162499999999992E-2</v>
      </c>
      <c r="X52" s="42">
        <v>0.11632499999999998</v>
      </c>
      <c r="Y52" s="22">
        <v>0.17448749999999996</v>
      </c>
      <c r="AA52" s="22">
        <v>2.5000000000000001E-3</v>
      </c>
      <c r="AB52" s="22">
        <v>5.0000000000000001E-3</v>
      </c>
      <c r="AC52" s="22">
        <v>7.4999999999999997E-3</v>
      </c>
      <c r="AE52" s="22">
        <v>-0.25</v>
      </c>
      <c r="AF52" s="42">
        <v>1.5</v>
      </c>
      <c r="AG52" s="22">
        <v>0.25</v>
      </c>
      <c r="AI52" s="22">
        <v>-0.1</v>
      </c>
      <c r="AJ52" s="22">
        <v>0.3</v>
      </c>
      <c r="AK52" s="22">
        <v>0.1</v>
      </c>
      <c r="AM52" s="6">
        <v>16</v>
      </c>
      <c r="AN52" s="23">
        <v>0.4</v>
      </c>
      <c r="AP52" s="23">
        <v>7</v>
      </c>
      <c r="AQ52" s="25">
        <v>3.5000000000000003E-2</v>
      </c>
      <c r="AS52" s="23">
        <v>0</v>
      </c>
      <c r="BE52" s="7">
        <v>37895</v>
      </c>
      <c r="BF52" s="25">
        <v>0.9</v>
      </c>
    </row>
    <row r="53" spans="1:58">
      <c r="A53" s="19">
        <v>37043</v>
      </c>
      <c r="B53" s="20">
        <v>53.049998474121097</v>
      </c>
      <c r="C53" s="432">
        <v>55.349998474121094</v>
      </c>
      <c r="D53" s="20">
        <v>58.149998474121091</v>
      </c>
      <c r="E53" s="13"/>
      <c r="F53" s="21">
        <v>15.570001220703125</v>
      </c>
      <c r="G53" s="21">
        <v>16.720001220703125</v>
      </c>
      <c r="H53" s="21">
        <v>17.870001220703124</v>
      </c>
      <c r="I53" s="6"/>
      <c r="J53" s="7">
        <v>37926</v>
      </c>
      <c r="K53" s="22">
        <v>16.631249618530276</v>
      </c>
      <c r="L53" s="22">
        <v>17.193749618530276</v>
      </c>
      <c r="M53" s="22">
        <v>17.756249618530276</v>
      </c>
      <c r="O53" s="22">
        <v>12.625000381469725</v>
      </c>
      <c r="P53" s="22">
        <v>15.925000381469726</v>
      </c>
      <c r="Q53" s="22">
        <v>19.225000381469727</v>
      </c>
      <c r="S53" s="22">
        <v>0</v>
      </c>
      <c r="T53" s="22">
        <v>0</v>
      </c>
      <c r="U53" s="22">
        <v>0</v>
      </c>
      <c r="W53" s="22">
        <v>5.8162499999999992E-2</v>
      </c>
      <c r="X53" s="42">
        <v>0.11632499999999998</v>
      </c>
      <c r="Y53" s="22">
        <v>0.17448749999999996</v>
      </c>
      <c r="AA53" s="22">
        <v>2.5000000000000001E-3</v>
      </c>
      <c r="AB53" s="22">
        <v>5.0000000000000001E-3</v>
      </c>
      <c r="AC53" s="22">
        <v>7.4999999999999997E-3</v>
      </c>
      <c r="AE53" s="22">
        <v>-0.25</v>
      </c>
      <c r="AF53" s="42">
        <v>1.5</v>
      </c>
      <c r="AG53" s="22">
        <v>0.25</v>
      </c>
      <c r="AI53" s="22">
        <v>-0.1</v>
      </c>
      <c r="AJ53" s="22">
        <v>0.3</v>
      </c>
      <c r="AK53" s="22">
        <v>0.1</v>
      </c>
      <c r="AM53" s="6">
        <v>16</v>
      </c>
      <c r="AN53" s="23">
        <v>0.4</v>
      </c>
      <c r="AP53" s="23">
        <v>8</v>
      </c>
      <c r="AQ53" s="25">
        <v>0.04</v>
      </c>
      <c r="AS53" s="23">
        <v>0</v>
      </c>
      <c r="BE53" s="7">
        <v>37926</v>
      </c>
      <c r="BF53" s="25">
        <v>0.9</v>
      </c>
    </row>
    <row r="54" spans="1:58">
      <c r="A54" s="19">
        <v>37073</v>
      </c>
      <c r="B54" s="20">
        <v>93.699996948242188</v>
      </c>
      <c r="C54" s="432">
        <v>96.699996948242188</v>
      </c>
      <c r="D54" s="20">
        <v>100.19999694824219</v>
      </c>
      <c r="E54" s="13"/>
      <c r="F54" s="21">
        <v>14.909999847412109</v>
      </c>
      <c r="G54" s="21">
        <v>16.409999847412109</v>
      </c>
      <c r="H54" s="21">
        <v>17.909999847412109</v>
      </c>
      <c r="I54" s="6"/>
      <c r="J54" s="7">
        <v>37956</v>
      </c>
      <c r="K54" s="22">
        <v>20.776250076293948</v>
      </c>
      <c r="L54" s="22">
        <v>21.338750076293948</v>
      </c>
      <c r="M54" s="22">
        <v>21.901250076293948</v>
      </c>
      <c r="O54" s="22">
        <v>13.075000190734865</v>
      </c>
      <c r="P54" s="22">
        <v>16.375000190734866</v>
      </c>
      <c r="Q54" s="22">
        <v>19.675000190734867</v>
      </c>
      <c r="S54" s="22">
        <v>0</v>
      </c>
      <c r="T54" s="22">
        <v>0</v>
      </c>
      <c r="U54" s="22">
        <v>0</v>
      </c>
      <c r="W54" s="22">
        <v>5.8162499999999992E-2</v>
      </c>
      <c r="X54" s="42">
        <v>0.11632499999999998</v>
      </c>
      <c r="Y54" s="22">
        <v>0.17448749999999996</v>
      </c>
      <c r="AA54" s="22">
        <v>2.5000000000000001E-3</v>
      </c>
      <c r="AB54" s="22">
        <v>5.0000000000000001E-3</v>
      </c>
      <c r="AC54" s="22">
        <v>7.4999999999999997E-3</v>
      </c>
      <c r="AE54" s="22">
        <v>-0.25</v>
      </c>
      <c r="AF54" s="42">
        <v>1.5</v>
      </c>
      <c r="AG54" s="22">
        <v>0.25</v>
      </c>
      <c r="AI54" s="22">
        <v>-0.1</v>
      </c>
      <c r="AJ54" s="22">
        <v>0.3</v>
      </c>
      <c r="AK54" s="22">
        <v>0.1</v>
      </c>
      <c r="AM54" s="6">
        <v>16</v>
      </c>
      <c r="AN54" s="23">
        <v>0.4</v>
      </c>
      <c r="AP54" s="23">
        <v>9</v>
      </c>
      <c r="AQ54" s="25">
        <v>5.5E-2</v>
      </c>
      <c r="AS54" s="23">
        <v>0</v>
      </c>
      <c r="BE54" s="7">
        <v>37956</v>
      </c>
      <c r="BF54" s="25">
        <v>0.9</v>
      </c>
    </row>
    <row r="55" spans="1:58">
      <c r="A55" s="19">
        <v>37104</v>
      </c>
      <c r="B55" s="20">
        <v>80.699996948242188</v>
      </c>
      <c r="C55" s="432">
        <v>83.699996948242188</v>
      </c>
      <c r="D55" s="20">
        <v>87.199996948242188</v>
      </c>
      <c r="E55" s="13"/>
      <c r="F55" s="21">
        <v>14.959999084472656</v>
      </c>
      <c r="G55" s="21">
        <v>16.459999084472656</v>
      </c>
      <c r="H55" s="21">
        <v>17.959999084472656</v>
      </c>
      <c r="I55" s="6"/>
      <c r="J55" s="7">
        <v>37987</v>
      </c>
      <c r="K55" s="22">
        <v>27.723748779296876</v>
      </c>
      <c r="L55" s="22">
        <v>28.598748779296876</v>
      </c>
      <c r="M55" s="22">
        <v>29.273748779296877</v>
      </c>
      <c r="O55" s="22">
        <v>23.802500534057618</v>
      </c>
      <c r="P55" s="22">
        <v>27.102500534057619</v>
      </c>
      <c r="Q55" s="22">
        <v>30.402500534057619</v>
      </c>
      <c r="S55" s="22">
        <v>0</v>
      </c>
      <c r="T55" s="22">
        <v>0</v>
      </c>
      <c r="U55" s="22">
        <v>0</v>
      </c>
      <c r="W55" s="22">
        <v>8.9337599999999989E-2</v>
      </c>
      <c r="X55" s="42">
        <v>0.17867519999999998</v>
      </c>
      <c r="Y55" s="22">
        <v>0.26801279999999994</v>
      </c>
      <c r="AA55" s="22">
        <v>2.5000000000000001E-3</v>
      </c>
      <c r="AB55" s="22">
        <v>5.0000000000000001E-3</v>
      </c>
      <c r="AC55" s="22">
        <v>7.4999999999999997E-3</v>
      </c>
      <c r="AE55" s="22">
        <v>-0.4</v>
      </c>
      <c r="AF55" s="42">
        <v>1.9</v>
      </c>
      <c r="AG55" s="22">
        <v>0.5</v>
      </c>
      <c r="AI55" s="22">
        <v>-0.1</v>
      </c>
      <c r="AJ55" s="22">
        <v>0.3</v>
      </c>
      <c r="AK55" s="22">
        <v>0.1</v>
      </c>
      <c r="AM55" s="6">
        <v>17</v>
      </c>
      <c r="AN55" s="23">
        <v>0.4</v>
      </c>
      <c r="AP55" s="23">
        <v>10</v>
      </c>
      <c r="AQ55" s="25">
        <v>7.0000000000000007E-2</v>
      </c>
      <c r="BE55" s="7">
        <v>37987</v>
      </c>
      <c r="BF55" s="25">
        <v>0.9</v>
      </c>
    </row>
    <row r="56" spans="1:58">
      <c r="A56" s="19">
        <v>37135</v>
      </c>
      <c r="B56" s="20">
        <v>32.024998474121091</v>
      </c>
      <c r="C56" s="432">
        <v>32.724998474121094</v>
      </c>
      <c r="D56" s="20">
        <v>33.924998474121097</v>
      </c>
      <c r="E56" s="13"/>
      <c r="F56" s="21">
        <v>16.109999084472655</v>
      </c>
      <c r="G56" s="21">
        <v>16.459999084472656</v>
      </c>
      <c r="H56" s="21">
        <v>16.809999084472658</v>
      </c>
      <c r="I56" s="6"/>
      <c r="J56" s="7">
        <v>38018</v>
      </c>
      <c r="K56" s="22">
        <v>26.721250152587892</v>
      </c>
      <c r="L56" s="22">
        <v>27.596250152587892</v>
      </c>
      <c r="M56" s="22">
        <v>28.271250152587893</v>
      </c>
      <c r="O56" s="22">
        <v>21.797499465942384</v>
      </c>
      <c r="P56" s="22">
        <v>25.097499465942384</v>
      </c>
      <c r="Q56" s="22">
        <v>28.397499465942385</v>
      </c>
      <c r="S56" s="22">
        <v>0</v>
      </c>
      <c r="T56" s="22">
        <v>0</v>
      </c>
      <c r="U56" s="22">
        <v>0</v>
      </c>
      <c r="W56" s="22">
        <v>8.9337599999999989E-2</v>
      </c>
      <c r="X56" s="42">
        <v>0.17867519999999998</v>
      </c>
      <c r="Y56" s="22">
        <v>0.26801279999999994</v>
      </c>
      <c r="AA56" s="22">
        <v>2.5000000000000001E-3</v>
      </c>
      <c r="AB56" s="22">
        <v>5.0000000000000001E-3</v>
      </c>
      <c r="AC56" s="22">
        <v>7.4999999999999997E-3</v>
      </c>
      <c r="AE56" s="22">
        <v>-0.4</v>
      </c>
      <c r="AF56" s="42">
        <v>1.9</v>
      </c>
      <c r="AG56" s="22">
        <v>0.5</v>
      </c>
      <c r="AI56" s="22">
        <v>-0.1</v>
      </c>
      <c r="AJ56" s="22">
        <v>0.3</v>
      </c>
      <c r="AK56" s="22">
        <v>0.1</v>
      </c>
      <c r="AM56" s="6">
        <v>17</v>
      </c>
      <c r="AN56" s="23">
        <v>0.4</v>
      </c>
      <c r="BE56" s="7">
        <v>38018</v>
      </c>
      <c r="BF56" s="25">
        <v>0.9</v>
      </c>
    </row>
    <row r="57" spans="1:58">
      <c r="A57" s="19">
        <v>37165</v>
      </c>
      <c r="B57" s="20">
        <v>25.675000381469726</v>
      </c>
      <c r="C57" s="432">
        <v>26.225000381469727</v>
      </c>
      <c r="D57" s="20">
        <v>27.275000381469727</v>
      </c>
      <c r="E57" s="13"/>
      <c r="F57" s="21">
        <v>15.884999847412109</v>
      </c>
      <c r="G57" s="21">
        <v>16.159999847412109</v>
      </c>
      <c r="H57" s="21">
        <v>16.434999847412108</v>
      </c>
      <c r="I57" s="6"/>
      <c r="J57" s="7">
        <v>38047</v>
      </c>
      <c r="K57" s="22">
        <v>19.322249603271487</v>
      </c>
      <c r="L57" s="22">
        <v>19.734749603271489</v>
      </c>
      <c r="M57" s="22">
        <v>20.14724960327149</v>
      </c>
      <c r="O57" s="22">
        <v>16.064498901367191</v>
      </c>
      <c r="P57" s="22">
        <v>19.364498901367192</v>
      </c>
      <c r="Q57" s="22">
        <v>22.664498901367192</v>
      </c>
      <c r="S57" s="22">
        <v>0</v>
      </c>
      <c r="T57" s="22">
        <v>0</v>
      </c>
      <c r="U57" s="22">
        <v>0</v>
      </c>
      <c r="W57" s="22">
        <v>7.4447999999999986E-2</v>
      </c>
      <c r="X57" s="42">
        <v>0.14889599999999997</v>
      </c>
      <c r="Y57" s="22">
        <v>0.22334399999999996</v>
      </c>
      <c r="AA57" s="22">
        <v>2.5000000000000001E-3</v>
      </c>
      <c r="AB57" s="22">
        <v>5.0000000000000001E-3</v>
      </c>
      <c r="AC57" s="22">
        <v>7.4999999999999997E-3</v>
      </c>
      <c r="AE57" s="22">
        <v>-0.25</v>
      </c>
      <c r="AF57" s="42">
        <v>1.1000000000000001</v>
      </c>
      <c r="AG57" s="22">
        <v>0.25</v>
      </c>
      <c r="AI57" s="22">
        <v>-0.1</v>
      </c>
      <c r="AJ57" s="22">
        <v>0.3</v>
      </c>
      <c r="AK57" s="22">
        <v>0.1</v>
      </c>
      <c r="AM57" s="6">
        <v>17</v>
      </c>
      <c r="AN57" s="23">
        <v>0.4</v>
      </c>
      <c r="BE57" s="7">
        <v>38047</v>
      </c>
      <c r="BF57" s="25">
        <v>0.9</v>
      </c>
    </row>
    <row r="58" spans="1:58">
      <c r="A58" s="19">
        <v>37196</v>
      </c>
      <c r="B58" s="20">
        <v>25.347499084472656</v>
      </c>
      <c r="C58" s="432">
        <v>25.897499084472656</v>
      </c>
      <c r="D58" s="20">
        <v>26.947499084472657</v>
      </c>
      <c r="E58" s="13"/>
      <c r="F58" s="21">
        <v>14.134999847412109</v>
      </c>
      <c r="G58" s="21">
        <v>14.409999847412109</v>
      </c>
      <c r="H58" s="21">
        <v>14.68499984741211</v>
      </c>
      <c r="I58" s="6"/>
      <c r="J58" s="7">
        <v>38078</v>
      </c>
      <c r="K58" s="22">
        <v>20.117500305175785</v>
      </c>
      <c r="L58" s="22">
        <v>20.417500305175786</v>
      </c>
      <c r="M58" s="22">
        <v>20.717500305175786</v>
      </c>
      <c r="O58" s="22">
        <v>15.83499908447266</v>
      </c>
      <c r="P58" s="22">
        <v>19.134999084472661</v>
      </c>
      <c r="Q58" s="22">
        <v>22.434999084472661</v>
      </c>
      <c r="S58" s="22">
        <v>0</v>
      </c>
      <c r="T58" s="22">
        <v>0</v>
      </c>
      <c r="U58" s="22">
        <v>0</v>
      </c>
      <c r="W58" s="22">
        <v>7.07256E-2</v>
      </c>
      <c r="X58" s="42">
        <v>0.1414512</v>
      </c>
      <c r="Y58" s="22">
        <v>0.2121768</v>
      </c>
      <c r="AA58" s="22">
        <v>2.5000000000000001E-3</v>
      </c>
      <c r="AB58" s="22">
        <v>5.0000000000000001E-3</v>
      </c>
      <c r="AC58" s="22">
        <v>7.4999999999999997E-3</v>
      </c>
      <c r="AE58" s="22">
        <v>-0.25</v>
      </c>
      <c r="AF58" s="42">
        <v>1.2</v>
      </c>
      <c r="AG58" s="22">
        <v>0.25</v>
      </c>
      <c r="AI58" s="22">
        <v>-0.1</v>
      </c>
      <c r="AJ58" s="22">
        <v>0.3</v>
      </c>
      <c r="AK58" s="22">
        <v>0.1</v>
      </c>
      <c r="AM58" s="6">
        <v>18</v>
      </c>
      <c r="AN58" s="23">
        <v>0.4</v>
      </c>
      <c r="BE58" s="7">
        <v>38078</v>
      </c>
      <c r="BF58" s="25">
        <v>0.9</v>
      </c>
    </row>
    <row r="59" spans="1:58">
      <c r="A59" s="19">
        <v>37226</v>
      </c>
      <c r="B59" s="20">
        <v>27.099999618530273</v>
      </c>
      <c r="C59" s="432">
        <v>27.649999618530273</v>
      </c>
      <c r="D59" s="20">
        <v>28.699999618530274</v>
      </c>
      <c r="E59" s="13"/>
      <c r="F59" s="21">
        <v>14.985000228881836</v>
      </c>
      <c r="G59" s="21">
        <v>15.260000228881836</v>
      </c>
      <c r="H59" s="21">
        <v>15.535000228881836</v>
      </c>
      <c r="I59" s="6"/>
      <c r="J59" s="7">
        <v>38108</v>
      </c>
      <c r="K59" s="22">
        <v>19.497500076293949</v>
      </c>
      <c r="L59" s="22">
        <v>20.53250007629395</v>
      </c>
      <c r="M59" s="22">
        <v>21.56750007629395</v>
      </c>
      <c r="O59" s="22">
        <v>16.364999771118168</v>
      </c>
      <c r="P59" s="22">
        <v>19.664999771118168</v>
      </c>
      <c r="Q59" s="22">
        <v>22.964999771118169</v>
      </c>
      <c r="S59" s="22">
        <v>0</v>
      </c>
      <c r="T59" s="22">
        <v>0</v>
      </c>
      <c r="U59" s="22">
        <v>0</v>
      </c>
      <c r="W59" s="22">
        <v>7.8170399999999987E-2</v>
      </c>
      <c r="X59" s="42">
        <v>0.15634079999999997</v>
      </c>
      <c r="Y59" s="22">
        <v>0.23451119999999998</v>
      </c>
      <c r="AA59" s="22">
        <v>2.5000000000000001E-3</v>
      </c>
      <c r="AB59" s="22">
        <v>5.0000000000000001E-3</v>
      </c>
      <c r="AC59" s="22">
        <v>7.4999999999999997E-3</v>
      </c>
      <c r="AE59" s="22">
        <v>-0.25</v>
      </c>
      <c r="AF59" s="42">
        <v>2</v>
      </c>
      <c r="AG59" s="22">
        <v>0.25</v>
      </c>
      <c r="AI59" s="22">
        <v>-0.1</v>
      </c>
      <c r="AJ59" s="22">
        <v>0.3</v>
      </c>
      <c r="AK59" s="22">
        <v>0.1</v>
      </c>
      <c r="AM59" s="6">
        <v>18</v>
      </c>
      <c r="AN59" s="23">
        <v>0.4</v>
      </c>
      <c r="BE59" s="7">
        <v>38108</v>
      </c>
      <c r="BF59" s="25">
        <v>0.9</v>
      </c>
    </row>
    <row r="60" spans="1:58">
      <c r="A60" s="19">
        <v>37257</v>
      </c>
      <c r="B60" s="20">
        <v>35.074998474121088</v>
      </c>
      <c r="C60" s="432">
        <v>35.774998474121091</v>
      </c>
      <c r="D60" s="20">
        <v>36.974998474121094</v>
      </c>
      <c r="E60" s="13"/>
      <c r="F60" s="21">
        <v>19.209997558593749</v>
      </c>
      <c r="G60" s="21">
        <v>19.55999755859375</v>
      </c>
      <c r="H60" s="21">
        <v>19.909997558593751</v>
      </c>
      <c r="I60" s="6"/>
      <c r="J60" s="7">
        <v>38139</v>
      </c>
      <c r="K60" s="22">
        <v>22.108750152587895</v>
      </c>
      <c r="L60" s="22">
        <v>25.108750152587895</v>
      </c>
      <c r="M60" s="22">
        <v>28.108750152587895</v>
      </c>
      <c r="O60" s="22">
        <v>15.292499542236332</v>
      </c>
      <c r="P60" s="22">
        <v>18.592499542236332</v>
      </c>
      <c r="Q60" s="22">
        <v>21.892499542236333</v>
      </c>
      <c r="S60" s="22">
        <v>0</v>
      </c>
      <c r="T60" s="22">
        <v>0</v>
      </c>
      <c r="U60" s="22">
        <v>0</v>
      </c>
      <c r="W60" s="22">
        <v>0.10050479999999999</v>
      </c>
      <c r="X60" s="42">
        <v>0.20100959999999998</v>
      </c>
      <c r="Y60" s="22">
        <v>0.30151439999999996</v>
      </c>
      <c r="AA60" s="22">
        <v>2.5000000000000001E-3</v>
      </c>
      <c r="AB60" s="22">
        <v>5.0000000000000001E-3</v>
      </c>
      <c r="AC60" s="22">
        <v>7.4999999999999997E-3</v>
      </c>
      <c r="AE60" s="22">
        <v>-0.75</v>
      </c>
      <c r="AF60" s="42">
        <v>2.25</v>
      </c>
      <c r="AG60" s="22">
        <v>0.75</v>
      </c>
      <c r="AI60" s="22">
        <v>-0.1</v>
      </c>
      <c r="AJ60" s="22">
        <v>0.3</v>
      </c>
      <c r="AK60" s="22">
        <v>0.1</v>
      </c>
      <c r="AM60" s="6">
        <v>18</v>
      </c>
      <c r="AN60" s="23">
        <v>0.4</v>
      </c>
      <c r="BE60" s="7">
        <v>38139</v>
      </c>
      <c r="BF60" s="25">
        <v>0.9</v>
      </c>
    </row>
    <row r="61" spans="1:58">
      <c r="A61" s="19">
        <v>37288</v>
      </c>
      <c r="B61" s="20">
        <v>35.074998474121088</v>
      </c>
      <c r="C61" s="432">
        <v>35.774998474121091</v>
      </c>
      <c r="D61" s="20">
        <v>36.974998474121094</v>
      </c>
      <c r="E61" s="13"/>
      <c r="F61" s="21">
        <v>19.359997177124022</v>
      </c>
      <c r="G61" s="21">
        <v>19.709997177124023</v>
      </c>
      <c r="H61" s="21">
        <v>20.059997177124025</v>
      </c>
      <c r="I61" s="6"/>
      <c r="J61" s="7">
        <v>38169</v>
      </c>
      <c r="K61" s="22">
        <v>36.561249542236332</v>
      </c>
      <c r="L61" s="22">
        <v>39.561249542236332</v>
      </c>
      <c r="M61" s="22">
        <v>42.561249542236332</v>
      </c>
      <c r="O61" s="22">
        <v>25.747499465942386</v>
      </c>
      <c r="P61" s="22">
        <v>29.047499465942387</v>
      </c>
      <c r="Q61" s="22">
        <v>32.347499465942384</v>
      </c>
      <c r="S61" s="22">
        <v>0</v>
      </c>
      <c r="T61" s="22">
        <v>0</v>
      </c>
      <c r="U61" s="22">
        <v>0</v>
      </c>
      <c r="W61" s="22">
        <v>0.1228392</v>
      </c>
      <c r="X61" s="42">
        <v>0.24567839999999999</v>
      </c>
      <c r="Y61" s="22">
        <v>0.3685176</v>
      </c>
      <c r="AA61" s="22">
        <v>2.5000000000000001E-3</v>
      </c>
      <c r="AB61" s="22">
        <v>5.0000000000000001E-3</v>
      </c>
      <c r="AC61" s="22">
        <v>7.4999999999999997E-3</v>
      </c>
      <c r="AE61" s="22">
        <v>-1</v>
      </c>
      <c r="AF61" s="42">
        <v>3</v>
      </c>
      <c r="AG61" s="22">
        <v>1</v>
      </c>
      <c r="AI61" s="22">
        <v>-0.1</v>
      </c>
      <c r="AJ61" s="22">
        <v>0.3</v>
      </c>
      <c r="AK61" s="22">
        <v>0.1</v>
      </c>
      <c r="AM61" s="6">
        <v>19</v>
      </c>
      <c r="AN61" s="23">
        <v>0.4</v>
      </c>
      <c r="BE61" s="7">
        <v>38169</v>
      </c>
      <c r="BF61" s="25">
        <v>0.9</v>
      </c>
    </row>
    <row r="62" spans="1:58">
      <c r="A62" s="19">
        <v>37316</v>
      </c>
      <c r="B62" s="20">
        <v>25.425000762939455</v>
      </c>
      <c r="C62" s="432">
        <v>25.875000762939454</v>
      </c>
      <c r="D62" s="20">
        <v>26.825000762939453</v>
      </c>
      <c r="E62" s="13"/>
      <c r="F62" s="21">
        <v>16.734999084472655</v>
      </c>
      <c r="G62" s="21">
        <v>16.959999084472656</v>
      </c>
      <c r="H62" s="21">
        <v>17.184999084472658</v>
      </c>
      <c r="I62" s="6"/>
      <c r="J62" s="7">
        <v>38200</v>
      </c>
      <c r="K62" s="22">
        <v>38.822499084472661</v>
      </c>
      <c r="L62" s="22">
        <v>41.822499084472661</v>
      </c>
      <c r="M62" s="22">
        <v>44.822499084472661</v>
      </c>
      <c r="O62" s="22">
        <v>27.245000839233402</v>
      </c>
      <c r="P62" s="22">
        <v>30.545000839233403</v>
      </c>
      <c r="Q62" s="22">
        <v>33.8450008392334</v>
      </c>
      <c r="S62" s="22">
        <v>0</v>
      </c>
      <c r="T62" s="22">
        <v>0</v>
      </c>
      <c r="U62" s="22">
        <v>0</v>
      </c>
      <c r="W62" s="22">
        <v>0.1228392</v>
      </c>
      <c r="X62" s="42">
        <v>0.24567839999999999</v>
      </c>
      <c r="Y62" s="22">
        <v>0.3685176</v>
      </c>
      <c r="AA62" s="22">
        <v>2.5000000000000001E-3</v>
      </c>
      <c r="AB62" s="22">
        <v>5.0000000000000001E-3</v>
      </c>
      <c r="AC62" s="22">
        <v>7.4999999999999997E-3</v>
      </c>
      <c r="AE62" s="22">
        <v>-1</v>
      </c>
      <c r="AF62" s="42">
        <v>3</v>
      </c>
      <c r="AG62" s="22">
        <v>1</v>
      </c>
      <c r="AI62" s="22">
        <v>-0.1</v>
      </c>
      <c r="AJ62" s="22">
        <v>0.3</v>
      </c>
      <c r="AK62" s="22">
        <v>0.1</v>
      </c>
      <c r="AM62" s="6">
        <v>19</v>
      </c>
      <c r="AN62" s="23">
        <v>0.4</v>
      </c>
      <c r="BE62" s="7">
        <v>38200</v>
      </c>
      <c r="BF62" s="25">
        <v>0.9</v>
      </c>
    </row>
    <row r="63" spans="1:58">
      <c r="A63" s="19">
        <v>37347</v>
      </c>
      <c r="B63" s="20">
        <v>25.475000762939452</v>
      </c>
      <c r="C63" s="432">
        <v>25.775000762939452</v>
      </c>
      <c r="D63" s="20">
        <v>26.575000762939453</v>
      </c>
      <c r="E63" s="13"/>
      <c r="F63" s="21">
        <v>17.059999084472658</v>
      </c>
      <c r="G63" s="21">
        <v>17.209999084472656</v>
      </c>
      <c r="H63" s="21">
        <v>17.359999084472655</v>
      </c>
      <c r="I63" s="6"/>
      <c r="J63" s="7">
        <v>38231</v>
      </c>
      <c r="K63" s="22">
        <v>18.279999542236332</v>
      </c>
      <c r="L63" s="22">
        <v>19.029999542236332</v>
      </c>
      <c r="M63" s="22">
        <v>19.779999542236332</v>
      </c>
      <c r="O63" s="22">
        <v>12.310000419616699</v>
      </c>
      <c r="P63" s="22">
        <v>15.610000419616698</v>
      </c>
      <c r="Q63" s="22">
        <v>18.910000419616697</v>
      </c>
      <c r="S63" s="22">
        <v>0</v>
      </c>
      <c r="T63" s="22">
        <v>0</v>
      </c>
      <c r="U63" s="22">
        <v>0</v>
      </c>
      <c r="W63" s="22">
        <v>7.8959999999999989E-2</v>
      </c>
      <c r="X63" s="42">
        <v>0.15791999999999998</v>
      </c>
      <c r="Y63" s="22">
        <v>0.23687999999999998</v>
      </c>
      <c r="AA63" s="22">
        <v>2.5000000000000001E-3</v>
      </c>
      <c r="AB63" s="22">
        <v>5.0000000000000001E-3</v>
      </c>
      <c r="AC63" s="22">
        <v>7.4999999999999997E-3</v>
      </c>
      <c r="AE63" s="22">
        <v>-0.4</v>
      </c>
      <c r="AF63" s="42">
        <v>1.75</v>
      </c>
      <c r="AG63" s="22">
        <v>0.5</v>
      </c>
      <c r="AI63" s="22">
        <v>-0.1</v>
      </c>
      <c r="AJ63" s="22">
        <v>0.3</v>
      </c>
      <c r="AK63" s="22">
        <v>0.1</v>
      </c>
      <c r="AM63" s="6">
        <v>19</v>
      </c>
      <c r="AN63" s="23">
        <v>0.4</v>
      </c>
      <c r="BE63" s="7">
        <v>38231</v>
      </c>
      <c r="BF63" s="25">
        <v>0.9</v>
      </c>
    </row>
    <row r="64" spans="1:58">
      <c r="A64" s="19">
        <v>37377</v>
      </c>
      <c r="B64" s="20">
        <v>29.875</v>
      </c>
      <c r="C64" s="432">
        <v>30.875</v>
      </c>
      <c r="D64" s="20">
        <v>32.375</v>
      </c>
      <c r="E64" s="13"/>
      <c r="F64" s="21">
        <v>16.159999847412109</v>
      </c>
      <c r="G64" s="21">
        <v>16.659999847412109</v>
      </c>
      <c r="H64" s="21">
        <v>17.159999847412109</v>
      </c>
      <c r="I64" s="6"/>
      <c r="J64" s="7">
        <v>38261</v>
      </c>
      <c r="K64" s="22">
        <v>17.4444995880127</v>
      </c>
      <c r="L64" s="22">
        <v>18.0819995880127</v>
      </c>
      <c r="M64" s="22">
        <v>18.719499588012699</v>
      </c>
      <c r="O64" s="22">
        <v>12.454000473022461</v>
      </c>
      <c r="P64" s="22">
        <v>15.75400047302246</v>
      </c>
      <c r="Q64" s="22">
        <v>19.054000473022459</v>
      </c>
      <c r="S64" s="22">
        <v>0</v>
      </c>
      <c r="T64" s="22">
        <v>0</v>
      </c>
      <c r="U64" s="22">
        <v>0</v>
      </c>
      <c r="W64" s="22">
        <v>5.583599999999999E-2</v>
      </c>
      <c r="X64" s="42">
        <v>0.11167199999999998</v>
      </c>
      <c r="Y64" s="22">
        <v>0.16750799999999996</v>
      </c>
      <c r="AA64" s="22">
        <v>2.5000000000000001E-3</v>
      </c>
      <c r="AB64" s="22">
        <v>5.0000000000000001E-3</v>
      </c>
      <c r="AC64" s="22">
        <v>7.4999999999999997E-3</v>
      </c>
      <c r="AE64" s="22">
        <v>-0.25</v>
      </c>
      <c r="AF64" s="42">
        <v>1.5</v>
      </c>
      <c r="AG64" s="22">
        <v>0.25</v>
      </c>
      <c r="AI64" s="22">
        <v>-0.1</v>
      </c>
      <c r="AJ64" s="22">
        <v>0.3</v>
      </c>
      <c r="AK64" s="22">
        <v>0.1</v>
      </c>
      <c r="AM64" s="6">
        <v>20</v>
      </c>
      <c r="AN64" s="23">
        <v>0.4</v>
      </c>
      <c r="BE64" s="7">
        <v>38261</v>
      </c>
      <c r="BF64" s="25">
        <v>0.9</v>
      </c>
    </row>
    <row r="65" spans="1:58">
      <c r="A65" s="19">
        <v>37408</v>
      </c>
      <c r="B65" s="20">
        <v>51.949998474121095</v>
      </c>
      <c r="C65" s="432">
        <v>54.849998474121094</v>
      </c>
      <c r="D65" s="20">
        <v>58.249998474121092</v>
      </c>
      <c r="E65" s="13"/>
      <c r="F65" s="21">
        <v>15.270001220703126</v>
      </c>
      <c r="G65" s="21">
        <v>16.720001220703125</v>
      </c>
      <c r="H65" s="21">
        <v>18.170001220703124</v>
      </c>
      <c r="I65" s="6"/>
      <c r="J65" s="7">
        <v>38292</v>
      </c>
      <c r="K65" s="22">
        <v>16.906249618530278</v>
      </c>
      <c r="L65" s="22">
        <v>17.543749618530278</v>
      </c>
      <c r="M65" s="22">
        <v>18.181249618530277</v>
      </c>
      <c r="O65" s="22">
        <v>12.975000381469727</v>
      </c>
      <c r="P65" s="22">
        <v>16.275000381469727</v>
      </c>
      <c r="Q65" s="22">
        <v>19.575000381469728</v>
      </c>
      <c r="S65" s="22">
        <v>0</v>
      </c>
      <c r="T65" s="22">
        <v>0</v>
      </c>
      <c r="U65" s="22">
        <v>0</v>
      </c>
      <c r="W65" s="22">
        <v>5.583599999999999E-2</v>
      </c>
      <c r="X65" s="42">
        <v>0.11167199999999998</v>
      </c>
      <c r="Y65" s="22">
        <v>0.16750799999999996</v>
      </c>
      <c r="AA65" s="22">
        <v>2.5000000000000001E-3</v>
      </c>
      <c r="AB65" s="22">
        <v>5.0000000000000001E-3</v>
      </c>
      <c r="AC65" s="22">
        <v>7.4999999999999997E-3</v>
      </c>
      <c r="AE65" s="22">
        <v>-0.25</v>
      </c>
      <c r="AF65" s="42">
        <v>1.5</v>
      </c>
      <c r="AG65" s="22">
        <v>0.25</v>
      </c>
      <c r="AI65" s="22">
        <v>-0.1</v>
      </c>
      <c r="AJ65" s="22">
        <v>0.3</v>
      </c>
      <c r="AK65" s="22">
        <v>0.1</v>
      </c>
      <c r="AM65" s="6">
        <v>20</v>
      </c>
      <c r="AN65" s="23">
        <v>0.4</v>
      </c>
      <c r="BE65" s="7">
        <v>38292</v>
      </c>
      <c r="BF65" s="25">
        <v>0.9</v>
      </c>
    </row>
    <row r="66" spans="1:58">
      <c r="A66" s="19">
        <v>37438</v>
      </c>
      <c r="B66" s="20">
        <v>90.699996948242188</v>
      </c>
      <c r="C66" s="432">
        <v>94.699996948242188</v>
      </c>
      <c r="D66" s="20">
        <v>99.199996948242188</v>
      </c>
      <c r="E66" s="13"/>
      <c r="F66" s="21">
        <v>14.409999847412109</v>
      </c>
      <c r="G66" s="21">
        <v>16.409999847412109</v>
      </c>
      <c r="H66" s="21">
        <v>18.409999847412109</v>
      </c>
      <c r="I66" s="6"/>
      <c r="J66" s="7">
        <v>38322</v>
      </c>
      <c r="K66" s="22">
        <v>21.05125007629395</v>
      </c>
      <c r="L66" s="22">
        <v>21.68875007629395</v>
      </c>
      <c r="M66" s="22">
        <v>22.326250076293949</v>
      </c>
      <c r="O66" s="22">
        <v>13.425000190734867</v>
      </c>
      <c r="P66" s="22">
        <v>16.725000190734868</v>
      </c>
      <c r="Q66" s="22">
        <v>20.025000190734868</v>
      </c>
      <c r="S66" s="22">
        <v>0</v>
      </c>
      <c r="T66" s="22">
        <v>0</v>
      </c>
      <c r="U66" s="22">
        <v>0</v>
      </c>
      <c r="W66" s="22">
        <v>5.583599999999999E-2</v>
      </c>
      <c r="X66" s="42">
        <v>0.11167199999999998</v>
      </c>
      <c r="Y66" s="22">
        <v>0.16750799999999996</v>
      </c>
      <c r="AA66" s="22">
        <v>2.5000000000000001E-3</v>
      </c>
      <c r="AB66" s="22">
        <v>5.0000000000000001E-3</v>
      </c>
      <c r="AC66" s="22">
        <v>7.4999999999999997E-3</v>
      </c>
      <c r="AE66" s="22">
        <v>-0.25</v>
      </c>
      <c r="AF66" s="42">
        <v>1.5</v>
      </c>
      <c r="AG66" s="22">
        <v>0.25</v>
      </c>
      <c r="AI66" s="22">
        <v>-0.1</v>
      </c>
      <c r="AJ66" s="22">
        <v>0.3</v>
      </c>
      <c r="AK66" s="22">
        <v>0.1</v>
      </c>
      <c r="AM66" s="6">
        <v>20</v>
      </c>
      <c r="AN66" s="23">
        <v>0.4</v>
      </c>
      <c r="BE66" s="7">
        <v>38322</v>
      </c>
      <c r="BF66" s="25">
        <v>0.9</v>
      </c>
    </row>
    <row r="67" spans="1:58">
      <c r="A67" s="19">
        <v>37469</v>
      </c>
      <c r="B67" s="20">
        <v>77.699996948242188</v>
      </c>
      <c r="C67" s="432">
        <v>81.699996948242188</v>
      </c>
      <c r="D67" s="20">
        <v>86.199996948242188</v>
      </c>
      <c r="E67" s="13"/>
      <c r="F67" s="21">
        <v>14.459999084472656</v>
      </c>
      <c r="G67" s="21">
        <v>16.459999084472656</v>
      </c>
      <c r="H67" s="21">
        <v>18.459999084472656</v>
      </c>
      <c r="I67" s="6"/>
      <c r="J67" s="7">
        <v>38353</v>
      </c>
      <c r="K67" s="22">
        <v>28.548748779296876</v>
      </c>
      <c r="L67" s="22">
        <v>29.498748779296875</v>
      </c>
      <c r="M67" s="22">
        <v>30.248748779296875</v>
      </c>
      <c r="O67" s="22">
        <v>24.702500534057616</v>
      </c>
      <c r="P67" s="22">
        <v>28.002500534057617</v>
      </c>
      <c r="Q67" s="22">
        <v>31.302500534057618</v>
      </c>
      <c r="S67" s="22">
        <v>0</v>
      </c>
      <c r="T67" s="22">
        <v>0</v>
      </c>
      <c r="U67" s="22">
        <v>0</v>
      </c>
      <c r="W67" s="22">
        <v>8.5764095999999984E-2</v>
      </c>
      <c r="X67" s="42">
        <v>0.17152819199999997</v>
      </c>
      <c r="Y67" s="22">
        <v>0.25729228799999992</v>
      </c>
      <c r="AA67" s="22">
        <v>2.5000000000000001E-3</v>
      </c>
      <c r="AB67" s="22">
        <v>5.0000000000000001E-3</v>
      </c>
      <c r="AC67" s="22">
        <v>7.4999999999999997E-3</v>
      </c>
      <c r="AE67" s="22">
        <v>-0.4</v>
      </c>
      <c r="AF67" s="42">
        <v>1.875</v>
      </c>
      <c r="AG67" s="22">
        <v>0.5</v>
      </c>
      <c r="AI67" s="22">
        <v>-0.1</v>
      </c>
      <c r="AJ67" s="22">
        <v>0.3</v>
      </c>
      <c r="AK67" s="22">
        <v>0.1</v>
      </c>
      <c r="AM67" s="6">
        <v>21</v>
      </c>
      <c r="AN67" s="23">
        <v>0.4</v>
      </c>
      <c r="BE67" s="7">
        <v>38353</v>
      </c>
      <c r="BF67" s="25">
        <v>0.9</v>
      </c>
    </row>
    <row r="68" spans="1:58">
      <c r="A68" s="19">
        <v>37500</v>
      </c>
      <c r="B68" s="20">
        <v>32.024998474121098</v>
      </c>
      <c r="C68" s="432">
        <v>32.824998474121095</v>
      </c>
      <c r="D68" s="20">
        <v>34.124998474121092</v>
      </c>
      <c r="E68" s="13"/>
      <c r="F68" s="21">
        <v>16.059999084472658</v>
      </c>
      <c r="G68" s="21">
        <v>16.459999084472656</v>
      </c>
      <c r="H68" s="21">
        <v>16.859999084472655</v>
      </c>
      <c r="I68" s="6"/>
      <c r="J68" s="7">
        <v>38384</v>
      </c>
      <c r="K68" s="22">
        <v>27.546250152587891</v>
      </c>
      <c r="L68" s="22">
        <v>28.496250152587891</v>
      </c>
      <c r="M68" s="22">
        <v>29.246250152587891</v>
      </c>
      <c r="O68" s="22">
        <v>22.697499465942382</v>
      </c>
      <c r="P68" s="22">
        <v>25.997499465942383</v>
      </c>
      <c r="Q68" s="22">
        <v>29.297499465942384</v>
      </c>
      <c r="S68" s="22">
        <v>0</v>
      </c>
      <c r="T68" s="22">
        <v>0</v>
      </c>
      <c r="U68" s="22">
        <v>0</v>
      </c>
      <c r="W68" s="22">
        <v>8.5764095999999984E-2</v>
      </c>
      <c r="X68" s="42">
        <v>0.17152819199999997</v>
      </c>
      <c r="Y68" s="22">
        <v>0.25729228799999992</v>
      </c>
      <c r="AA68" s="22">
        <v>2.5000000000000001E-3</v>
      </c>
      <c r="AB68" s="22">
        <v>5.0000000000000001E-3</v>
      </c>
      <c r="AC68" s="22">
        <v>7.4999999999999997E-3</v>
      </c>
      <c r="AE68" s="22">
        <v>-0.4</v>
      </c>
      <c r="AF68" s="42">
        <v>1.875</v>
      </c>
      <c r="AG68" s="22">
        <v>0.5</v>
      </c>
      <c r="AI68" s="22">
        <v>-0.1</v>
      </c>
      <c r="AJ68" s="22">
        <v>0.3</v>
      </c>
      <c r="AK68" s="22">
        <v>0.1</v>
      </c>
      <c r="AM68" s="6">
        <v>21</v>
      </c>
      <c r="AN68" s="23">
        <v>0.4</v>
      </c>
      <c r="BE68" s="7">
        <v>38384</v>
      </c>
      <c r="BF68" s="25">
        <v>0.9</v>
      </c>
    </row>
    <row r="69" spans="1:58">
      <c r="A69" s="19">
        <v>37530</v>
      </c>
      <c r="B69" s="20">
        <v>25.825000381469728</v>
      </c>
      <c r="C69" s="432">
        <v>26.475000381469727</v>
      </c>
      <c r="D69" s="20">
        <v>27.625000381469725</v>
      </c>
      <c r="E69" s="13"/>
      <c r="F69" s="21">
        <v>15.83499984741211</v>
      </c>
      <c r="G69" s="21">
        <v>16.159999847412109</v>
      </c>
      <c r="H69" s="21">
        <v>16.484999847412109</v>
      </c>
      <c r="I69" s="6"/>
      <c r="J69" s="7">
        <v>38412</v>
      </c>
      <c r="K69" s="22">
        <v>19.634749603271491</v>
      </c>
      <c r="L69" s="22">
        <v>20.08474960327149</v>
      </c>
      <c r="M69" s="22">
        <v>20.534749603271489</v>
      </c>
      <c r="O69" s="22">
        <v>16.414498901367192</v>
      </c>
      <c r="P69" s="22">
        <v>19.714498901367193</v>
      </c>
      <c r="Q69" s="22">
        <v>23.014498901367194</v>
      </c>
      <c r="S69" s="22">
        <v>0</v>
      </c>
      <c r="T69" s="22">
        <v>0</v>
      </c>
      <c r="U69" s="22">
        <v>0</v>
      </c>
      <c r="W69" s="22">
        <v>7.1470079999999978E-2</v>
      </c>
      <c r="X69" s="42">
        <v>0.14294015999999996</v>
      </c>
      <c r="Y69" s="22">
        <v>0.21441023999999992</v>
      </c>
      <c r="AA69" s="22">
        <v>2.5000000000000001E-3</v>
      </c>
      <c r="AB69" s="22">
        <v>5.0000000000000001E-3</v>
      </c>
      <c r="AC69" s="22">
        <v>7.4999999999999997E-3</v>
      </c>
      <c r="AE69" s="22">
        <v>-0.25</v>
      </c>
      <c r="AF69" s="42">
        <v>1.1000000000000001</v>
      </c>
      <c r="AG69" s="22">
        <v>0.25</v>
      </c>
      <c r="AI69" s="22">
        <v>-0.1</v>
      </c>
      <c r="AJ69" s="22">
        <v>0.3</v>
      </c>
      <c r="AK69" s="22">
        <v>0.1</v>
      </c>
      <c r="AM69" s="6">
        <v>21</v>
      </c>
      <c r="AN69" s="23">
        <v>0.4</v>
      </c>
      <c r="BE69" s="7">
        <v>38412</v>
      </c>
      <c r="BF69" s="25">
        <v>0.9</v>
      </c>
    </row>
    <row r="70" spans="1:58">
      <c r="A70" s="19">
        <v>37561</v>
      </c>
      <c r="B70" s="20">
        <v>25.497499084472658</v>
      </c>
      <c r="C70" s="432">
        <v>26.147499084472656</v>
      </c>
      <c r="D70" s="20">
        <v>27.297499084472655</v>
      </c>
      <c r="E70" s="13"/>
      <c r="F70" s="21">
        <v>14.08499984741211</v>
      </c>
      <c r="G70" s="21">
        <v>14.409999847412109</v>
      </c>
      <c r="H70" s="21">
        <v>14.734999847412109</v>
      </c>
      <c r="I70" s="6"/>
      <c r="J70" s="7">
        <v>38443</v>
      </c>
      <c r="K70" s="22">
        <v>20.430000305175788</v>
      </c>
      <c r="L70" s="22">
        <v>20.767500305175787</v>
      </c>
      <c r="M70" s="22">
        <v>21.105000305175786</v>
      </c>
      <c r="O70" s="22">
        <v>16.184999084472661</v>
      </c>
      <c r="P70" s="22">
        <v>19.484999084472662</v>
      </c>
      <c r="Q70" s="22">
        <v>22.784999084472663</v>
      </c>
      <c r="S70" s="22">
        <v>0</v>
      </c>
      <c r="T70" s="22">
        <v>0</v>
      </c>
      <c r="U70" s="22">
        <v>0</v>
      </c>
      <c r="W70" s="22">
        <v>6.7896576E-2</v>
      </c>
      <c r="X70" s="42">
        <v>0.135793152</v>
      </c>
      <c r="Y70" s="22">
        <v>0.20368972800000001</v>
      </c>
      <c r="AA70" s="22">
        <v>2.5000000000000001E-3</v>
      </c>
      <c r="AB70" s="22">
        <v>5.0000000000000001E-3</v>
      </c>
      <c r="AC70" s="22">
        <v>7.4999999999999997E-3</v>
      </c>
      <c r="AE70" s="22">
        <v>-0.25</v>
      </c>
      <c r="AF70" s="42">
        <v>1.2</v>
      </c>
      <c r="AG70" s="22">
        <v>0.25</v>
      </c>
      <c r="AI70" s="22">
        <v>-0.1</v>
      </c>
      <c r="AJ70" s="22">
        <v>0.3</v>
      </c>
      <c r="AK70" s="22">
        <v>0.1</v>
      </c>
      <c r="AM70" s="6">
        <v>22</v>
      </c>
      <c r="AN70" s="23">
        <v>0.4</v>
      </c>
      <c r="BE70" s="7">
        <v>38443</v>
      </c>
      <c r="BF70" s="25">
        <v>0.9</v>
      </c>
    </row>
    <row r="71" spans="1:58">
      <c r="A71" s="19">
        <v>37591</v>
      </c>
      <c r="B71" s="20">
        <v>27.249999618530275</v>
      </c>
      <c r="C71" s="432">
        <v>27.899999618530273</v>
      </c>
      <c r="D71" s="20">
        <v>29.049999618530272</v>
      </c>
      <c r="E71" s="13"/>
      <c r="F71" s="21">
        <v>14.935000228881837</v>
      </c>
      <c r="G71" s="21">
        <v>15.260000228881836</v>
      </c>
      <c r="H71" s="21">
        <v>15.585000228881835</v>
      </c>
      <c r="I71" s="6"/>
      <c r="J71" s="7">
        <v>38473</v>
      </c>
      <c r="K71" s="22">
        <v>19.74250007629395</v>
      </c>
      <c r="L71" s="22">
        <v>20.882500076293951</v>
      </c>
      <c r="M71" s="22">
        <v>22.022500076293952</v>
      </c>
      <c r="O71" s="22">
        <v>16.714999771118169</v>
      </c>
      <c r="P71" s="22">
        <v>20.01499977111817</v>
      </c>
      <c r="Q71" s="22">
        <v>23.31499977111817</v>
      </c>
      <c r="S71" s="22">
        <v>0</v>
      </c>
      <c r="T71" s="22">
        <v>0</v>
      </c>
      <c r="U71" s="22">
        <v>0</v>
      </c>
      <c r="W71" s="22">
        <v>7.5043583999999983E-2</v>
      </c>
      <c r="X71" s="42">
        <v>0.15008716799999997</v>
      </c>
      <c r="Y71" s="22">
        <v>0.22513075199999993</v>
      </c>
      <c r="AA71" s="22">
        <v>2.5000000000000001E-3</v>
      </c>
      <c r="AB71" s="22">
        <v>5.0000000000000001E-3</v>
      </c>
      <c r="AC71" s="22">
        <v>7.4999999999999997E-3</v>
      </c>
      <c r="AE71" s="22">
        <v>-0.25</v>
      </c>
      <c r="AF71" s="42">
        <v>2</v>
      </c>
      <c r="AG71" s="22">
        <v>0.25</v>
      </c>
      <c r="AI71" s="22">
        <v>-0.1</v>
      </c>
      <c r="AJ71" s="22">
        <v>0.3</v>
      </c>
      <c r="AK71" s="22">
        <v>0.1</v>
      </c>
      <c r="AM71" s="6">
        <v>22</v>
      </c>
      <c r="AN71" s="23">
        <v>0.4</v>
      </c>
      <c r="BE71" s="7">
        <v>38473</v>
      </c>
      <c r="BF71" s="25">
        <v>0.9</v>
      </c>
    </row>
    <row r="72" spans="1:58">
      <c r="A72" s="19">
        <v>37622</v>
      </c>
      <c r="B72" s="20">
        <v>35.524998474121091</v>
      </c>
      <c r="C72" s="432">
        <v>36.324998474121088</v>
      </c>
      <c r="D72" s="20">
        <v>37.624998474121085</v>
      </c>
      <c r="E72" s="13"/>
      <c r="F72" s="21">
        <v>19.16499755859375</v>
      </c>
      <c r="G72" s="21">
        <v>19.564997558593749</v>
      </c>
      <c r="H72" s="21">
        <v>19.964997558593748</v>
      </c>
      <c r="I72" s="6"/>
      <c r="J72" s="7">
        <v>38504</v>
      </c>
      <c r="K72" s="22">
        <v>22.158750152587896</v>
      </c>
      <c r="L72" s="22">
        <v>25.458750152587896</v>
      </c>
      <c r="M72" s="22">
        <v>28.758750152587897</v>
      </c>
      <c r="O72" s="22">
        <v>15.642499542236333</v>
      </c>
      <c r="P72" s="22">
        <v>18.942499542236334</v>
      </c>
      <c r="Q72" s="22">
        <v>22.242499542236335</v>
      </c>
      <c r="S72" s="22">
        <v>0</v>
      </c>
      <c r="T72" s="22">
        <v>0</v>
      </c>
      <c r="U72" s="22">
        <v>0</v>
      </c>
      <c r="W72" s="22">
        <v>9.6484607999999986E-2</v>
      </c>
      <c r="X72" s="42">
        <v>0.19296921599999997</v>
      </c>
      <c r="Y72" s="22">
        <v>0.28945382399999997</v>
      </c>
      <c r="AA72" s="22">
        <v>2.5000000000000001E-3</v>
      </c>
      <c r="AB72" s="22">
        <v>5.0000000000000001E-3</v>
      </c>
      <c r="AC72" s="22">
        <v>7.4999999999999997E-3</v>
      </c>
      <c r="AE72" s="22">
        <v>-0.75</v>
      </c>
      <c r="AF72" s="42">
        <v>2.25</v>
      </c>
      <c r="AG72" s="22">
        <v>0.75</v>
      </c>
      <c r="AI72" s="22">
        <v>-0.1</v>
      </c>
      <c r="AJ72" s="22">
        <v>0.3</v>
      </c>
      <c r="AK72" s="22">
        <v>0.1</v>
      </c>
      <c r="AM72" s="6">
        <v>22</v>
      </c>
      <c r="AN72" s="23">
        <v>0.4</v>
      </c>
      <c r="BE72" s="7">
        <v>38504</v>
      </c>
      <c r="BF72" s="25">
        <v>0.9</v>
      </c>
    </row>
    <row r="73" spans="1:58">
      <c r="A73" s="19">
        <v>37653</v>
      </c>
      <c r="B73" s="20">
        <v>35.524998474121091</v>
      </c>
      <c r="C73" s="432">
        <v>36.324998474121088</v>
      </c>
      <c r="D73" s="20">
        <v>37.624998474121085</v>
      </c>
      <c r="E73" s="13"/>
      <c r="F73" s="21">
        <v>19.314997177124024</v>
      </c>
      <c r="G73" s="21">
        <v>19.714997177124022</v>
      </c>
      <c r="H73" s="21">
        <v>20.114997177124021</v>
      </c>
      <c r="I73" s="6"/>
      <c r="J73" s="7">
        <v>38534</v>
      </c>
      <c r="K73" s="22">
        <v>36.911249542236334</v>
      </c>
      <c r="L73" s="22">
        <v>39.911249542236334</v>
      </c>
      <c r="M73" s="22">
        <v>42.911249542236334</v>
      </c>
      <c r="O73" s="22">
        <v>26.097499465942388</v>
      </c>
      <c r="P73" s="22">
        <v>29.397499465942388</v>
      </c>
      <c r="Q73" s="22">
        <v>32.697499465942386</v>
      </c>
      <c r="S73" s="22">
        <v>0</v>
      </c>
      <c r="T73" s="22">
        <v>0</v>
      </c>
      <c r="U73" s="22">
        <v>0</v>
      </c>
      <c r="W73" s="22">
        <v>0.11792563199999999</v>
      </c>
      <c r="X73" s="42">
        <v>0.23585126399999998</v>
      </c>
      <c r="Y73" s="22">
        <v>0.35377689599999995</v>
      </c>
      <c r="AA73" s="22">
        <v>2.5000000000000001E-3</v>
      </c>
      <c r="AB73" s="22">
        <v>5.0000000000000001E-3</v>
      </c>
      <c r="AC73" s="22">
        <v>7.4999999999999997E-3</v>
      </c>
      <c r="AE73" s="22">
        <v>-1</v>
      </c>
      <c r="AF73" s="42">
        <v>3</v>
      </c>
      <c r="AG73" s="22">
        <v>1</v>
      </c>
      <c r="AI73" s="22">
        <v>-0.1</v>
      </c>
      <c r="AJ73" s="22">
        <v>0.3</v>
      </c>
      <c r="AK73" s="22">
        <v>0.1</v>
      </c>
      <c r="AM73" s="6">
        <v>23</v>
      </c>
      <c r="AN73" s="23">
        <v>0.4</v>
      </c>
      <c r="BE73" s="7">
        <v>38534</v>
      </c>
      <c r="BF73" s="25">
        <v>0.9</v>
      </c>
    </row>
    <row r="74" spans="1:58">
      <c r="A74" s="19">
        <v>37681</v>
      </c>
      <c r="B74" s="20">
        <v>25.700000762939453</v>
      </c>
      <c r="C74" s="432">
        <v>26.200000762939453</v>
      </c>
      <c r="D74" s="20">
        <v>27.200000762939453</v>
      </c>
      <c r="E74" s="13"/>
      <c r="F74" s="21">
        <v>16.714999084472655</v>
      </c>
      <c r="G74" s="21">
        <v>16.964999084472655</v>
      </c>
      <c r="H74" s="21">
        <v>17.214999084472655</v>
      </c>
      <c r="I74" s="6"/>
      <c r="J74" s="7">
        <v>38565</v>
      </c>
      <c r="K74" s="22">
        <v>39.172499084472662</v>
      </c>
      <c r="L74" s="22">
        <v>42.172499084472662</v>
      </c>
      <c r="M74" s="22">
        <v>45.172499084472662</v>
      </c>
      <c r="O74" s="22">
        <v>27.595000839233403</v>
      </c>
      <c r="P74" s="22">
        <v>30.895000839233404</v>
      </c>
      <c r="Q74" s="22">
        <v>34.195000839233401</v>
      </c>
      <c r="S74" s="22">
        <v>0</v>
      </c>
      <c r="T74" s="22">
        <v>0</v>
      </c>
      <c r="U74" s="22">
        <v>0</v>
      </c>
      <c r="W74" s="22">
        <v>0.11792563199999999</v>
      </c>
      <c r="X74" s="42">
        <v>0.23585126399999998</v>
      </c>
      <c r="Y74" s="22">
        <v>0.35377689599999995</v>
      </c>
      <c r="AA74" s="22">
        <v>2.5000000000000001E-3</v>
      </c>
      <c r="AB74" s="22">
        <v>5.0000000000000001E-3</v>
      </c>
      <c r="AC74" s="22">
        <v>7.4999999999999997E-3</v>
      </c>
      <c r="AE74" s="22">
        <v>-1</v>
      </c>
      <c r="AF74" s="42">
        <v>3</v>
      </c>
      <c r="AG74" s="22">
        <v>1</v>
      </c>
      <c r="AI74" s="22">
        <v>-0.1</v>
      </c>
      <c r="AJ74" s="22">
        <v>0.3</v>
      </c>
      <c r="AK74" s="22">
        <v>0.1</v>
      </c>
      <c r="AM74" s="6">
        <v>23</v>
      </c>
      <c r="AN74" s="23">
        <v>0.4</v>
      </c>
      <c r="BE74" s="7">
        <v>38565</v>
      </c>
      <c r="BF74" s="25">
        <v>0.9</v>
      </c>
    </row>
    <row r="75" spans="1:58">
      <c r="A75" s="19">
        <v>37712</v>
      </c>
      <c r="B75" s="20">
        <v>25.62500076293945</v>
      </c>
      <c r="C75" s="432">
        <v>25.975000762939452</v>
      </c>
      <c r="D75" s="20">
        <v>26.825000762939453</v>
      </c>
      <c r="E75" s="13"/>
      <c r="F75" s="21">
        <v>17.039999084472655</v>
      </c>
      <c r="G75" s="21">
        <v>17.214999084472655</v>
      </c>
      <c r="H75" s="21">
        <v>17.389999084472656</v>
      </c>
      <c r="I75" s="6"/>
      <c r="J75" s="7">
        <v>38596</v>
      </c>
      <c r="K75" s="22">
        <v>18.554999542236335</v>
      </c>
      <c r="L75" s="22">
        <v>19.379999542236334</v>
      </c>
      <c r="M75" s="22">
        <v>20.204999542236333</v>
      </c>
      <c r="O75" s="22">
        <v>12.660000419616697</v>
      </c>
      <c r="P75" s="22">
        <v>15.960000419616698</v>
      </c>
      <c r="Q75" s="22">
        <v>19.260000419616699</v>
      </c>
      <c r="S75" s="22">
        <v>0</v>
      </c>
      <c r="T75" s="22">
        <v>0</v>
      </c>
      <c r="U75" s="22">
        <v>0</v>
      </c>
      <c r="W75" s="22">
        <v>7.5801599999999983E-2</v>
      </c>
      <c r="X75" s="42">
        <v>0.15160319999999997</v>
      </c>
      <c r="Y75" s="22">
        <v>0.22740479999999996</v>
      </c>
      <c r="AA75" s="22">
        <v>2.5000000000000001E-3</v>
      </c>
      <c r="AB75" s="22">
        <v>5.0000000000000001E-3</v>
      </c>
      <c r="AC75" s="22">
        <v>7.4999999999999997E-3</v>
      </c>
      <c r="AE75" s="22">
        <v>-0.4</v>
      </c>
      <c r="AF75" s="42">
        <v>1.75</v>
      </c>
      <c r="AG75" s="22">
        <v>0.5</v>
      </c>
      <c r="AI75" s="22">
        <v>-0.1</v>
      </c>
      <c r="AJ75" s="22">
        <v>0.3</v>
      </c>
      <c r="AK75" s="22">
        <v>0.1</v>
      </c>
      <c r="AM75" s="6">
        <v>23</v>
      </c>
      <c r="AN75" s="23">
        <v>0.4</v>
      </c>
      <c r="BE75" s="7">
        <v>38596</v>
      </c>
      <c r="BF75" s="25">
        <v>0.9</v>
      </c>
    </row>
    <row r="76" spans="1:58">
      <c r="A76" s="19">
        <v>37742</v>
      </c>
      <c r="B76" s="20">
        <v>29.725000000000001</v>
      </c>
      <c r="C76" s="432">
        <v>30.975000000000001</v>
      </c>
      <c r="D76" s="20">
        <v>32.725000000000001</v>
      </c>
      <c r="E76" s="13"/>
      <c r="F76" s="21">
        <v>16.039999847412108</v>
      </c>
      <c r="G76" s="21">
        <v>16.664999847412108</v>
      </c>
      <c r="H76" s="21">
        <v>17.289999847412108</v>
      </c>
      <c r="I76" s="6"/>
      <c r="J76" s="7">
        <v>38626</v>
      </c>
      <c r="K76" s="22">
        <v>17.719499588012702</v>
      </c>
      <c r="L76" s="22">
        <v>18.431999588012701</v>
      </c>
      <c r="M76" s="22">
        <v>19.1444995880127</v>
      </c>
      <c r="O76" s="22">
        <v>12.804000473022459</v>
      </c>
      <c r="P76" s="22">
        <v>16.10400047302246</v>
      </c>
      <c r="Q76" s="22">
        <v>19.40400047302246</v>
      </c>
      <c r="S76" s="22">
        <v>0</v>
      </c>
      <c r="T76" s="22">
        <v>0</v>
      </c>
      <c r="U76" s="22">
        <v>0</v>
      </c>
      <c r="W76" s="22">
        <v>5.3602559999999987E-2</v>
      </c>
      <c r="X76" s="42">
        <v>0.10720511999999997</v>
      </c>
      <c r="Y76" s="22">
        <v>0.16080767999999995</v>
      </c>
      <c r="AA76" s="22">
        <v>2.5000000000000001E-3</v>
      </c>
      <c r="AB76" s="22">
        <v>5.0000000000000001E-3</v>
      </c>
      <c r="AC76" s="22">
        <v>7.4999999999999997E-3</v>
      </c>
      <c r="AE76" s="22">
        <v>-0.25</v>
      </c>
      <c r="AF76" s="42">
        <v>1.5</v>
      </c>
      <c r="AG76" s="22">
        <v>0.25</v>
      </c>
      <c r="AI76" s="22">
        <v>-0.1</v>
      </c>
      <c r="AJ76" s="22">
        <v>0.3</v>
      </c>
      <c r="AK76" s="22">
        <v>0.1</v>
      </c>
      <c r="AM76" s="6">
        <v>24</v>
      </c>
      <c r="AN76" s="23">
        <v>0.4</v>
      </c>
      <c r="BE76" s="7">
        <v>38626</v>
      </c>
      <c r="BF76" s="25">
        <v>0.9</v>
      </c>
    </row>
    <row r="77" spans="1:58">
      <c r="A77" s="19">
        <v>37773</v>
      </c>
      <c r="B77" s="20">
        <v>51.469998474121091</v>
      </c>
      <c r="C77" s="432">
        <v>55.099998474121094</v>
      </c>
      <c r="D77" s="20">
        <v>59.229998474121096</v>
      </c>
      <c r="E77" s="13"/>
      <c r="F77" s="21">
        <v>14.910001220703125</v>
      </c>
      <c r="G77" s="21">
        <v>16.725001220703124</v>
      </c>
      <c r="H77" s="21">
        <v>18.540001220703125</v>
      </c>
      <c r="I77" s="6"/>
      <c r="J77" s="7">
        <v>38657</v>
      </c>
      <c r="K77" s="22">
        <v>17.181249618530281</v>
      </c>
      <c r="L77" s="22">
        <v>17.893749618530279</v>
      </c>
      <c r="M77" s="22">
        <v>18.606249618530278</v>
      </c>
      <c r="O77" s="22">
        <v>13.325000381469728</v>
      </c>
      <c r="P77" s="22">
        <v>16.625000381469729</v>
      </c>
      <c r="Q77" s="22">
        <v>19.925000381469729</v>
      </c>
      <c r="S77" s="22">
        <v>0</v>
      </c>
      <c r="T77" s="22">
        <v>0</v>
      </c>
      <c r="U77" s="22">
        <v>0</v>
      </c>
      <c r="W77" s="22">
        <v>5.3602559999999987E-2</v>
      </c>
      <c r="X77" s="42">
        <v>0.10720511999999997</v>
      </c>
      <c r="Y77" s="22">
        <v>0.16080767999999995</v>
      </c>
      <c r="AA77" s="22">
        <v>2.5000000000000001E-3</v>
      </c>
      <c r="AB77" s="22">
        <v>5.0000000000000001E-3</v>
      </c>
      <c r="AC77" s="22">
        <v>7.4999999999999997E-3</v>
      </c>
      <c r="AE77" s="22">
        <v>-0.25</v>
      </c>
      <c r="AF77" s="42">
        <v>1.5</v>
      </c>
      <c r="AG77" s="22">
        <v>0.25</v>
      </c>
      <c r="AI77" s="22">
        <v>-0.1</v>
      </c>
      <c r="AJ77" s="22">
        <v>0.3</v>
      </c>
      <c r="AK77" s="22">
        <v>0.1</v>
      </c>
      <c r="AM77" s="6">
        <v>24</v>
      </c>
      <c r="AN77" s="23">
        <v>0.4</v>
      </c>
      <c r="BE77" s="7">
        <v>38657</v>
      </c>
      <c r="BF77" s="25">
        <v>0.9</v>
      </c>
    </row>
    <row r="78" spans="1:58">
      <c r="A78" s="19">
        <v>37803</v>
      </c>
      <c r="B78" s="20">
        <v>90.199996948242188</v>
      </c>
      <c r="C78" s="432">
        <v>94.199996948242188</v>
      </c>
      <c r="D78" s="20">
        <v>98.699996948242188</v>
      </c>
      <c r="E78" s="13"/>
      <c r="F78" s="21">
        <v>14.414999847412108</v>
      </c>
      <c r="G78" s="21">
        <v>16.414999847412108</v>
      </c>
      <c r="H78" s="21">
        <v>18.414999847412108</v>
      </c>
      <c r="I78" s="6"/>
      <c r="J78" s="7">
        <v>38687</v>
      </c>
      <c r="K78" s="22">
        <v>21.326250076293952</v>
      </c>
      <c r="L78" s="22">
        <v>22.038750076293951</v>
      </c>
      <c r="M78" s="22">
        <v>22.75125007629395</v>
      </c>
      <c r="O78" s="22">
        <v>13.775000190734868</v>
      </c>
      <c r="P78" s="22">
        <v>17.075000190734869</v>
      </c>
      <c r="Q78" s="22">
        <v>20.37500019073487</v>
      </c>
      <c r="S78" s="22">
        <v>0</v>
      </c>
      <c r="T78" s="22">
        <v>0</v>
      </c>
      <c r="U78" s="22">
        <v>0</v>
      </c>
      <c r="W78" s="22">
        <v>5.3602559999999987E-2</v>
      </c>
      <c r="X78" s="42">
        <v>0.10720511999999997</v>
      </c>
      <c r="Y78" s="22">
        <v>0.16080767999999995</v>
      </c>
      <c r="AA78" s="22">
        <v>2.5000000000000001E-3</v>
      </c>
      <c r="AB78" s="22">
        <v>5.0000000000000001E-3</v>
      </c>
      <c r="AC78" s="22">
        <v>7.4999999999999997E-3</v>
      </c>
      <c r="AE78" s="22">
        <v>-0.25</v>
      </c>
      <c r="AF78" s="42">
        <v>1.5</v>
      </c>
      <c r="AG78" s="22">
        <v>0.25</v>
      </c>
      <c r="AI78" s="22">
        <v>-0.1</v>
      </c>
      <c r="AJ78" s="22">
        <v>0.3</v>
      </c>
      <c r="AK78" s="22">
        <v>0.1</v>
      </c>
      <c r="AM78" s="6">
        <v>24</v>
      </c>
      <c r="AN78" s="23">
        <v>0.4</v>
      </c>
      <c r="BE78" s="7">
        <v>38687</v>
      </c>
      <c r="BF78" s="25">
        <v>0.9</v>
      </c>
    </row>
    <row r="79" spans="1:58">
      <c r="A79" s="19">
        <v>37834</v>
      </c>
      <c r="B79" s="20">
        <v>77.199996948242188</v>
      </c>
      <c r="C79" s="432">
        <v>81.199996948242188</v>
      </c>
      <c r="D79" s="20">
        <v>85.699996948242188</v>
      </c>
      <c r="E79" s="13"/>
      <c r="F79" s="21">
        <v>14.464999084472655</v>
      </c>
      <c r="G79" s="21">
        <v>16.464999084472655</v>
      </c>
      <c r="H79" s="21">
        <v>18.464999084472655</v>
      </c>
      <c r="I79" s="6"/>
      <c r="J79" s="7">
        <v>38718</v>
      </c>
      <c r="K79" s="22">
        <v>29.473748779296876</v>
      </c>
      <c r="L79" s="22">
        <v>30.498748779296875</v>
      </c>
      <c r="M79" s="22">
        <v>31.323748779296874</v>
      </c>
      <c r="O79" s="22">
        <v>25.702500534057616</v>
      </c>
      <c r="P79" s="22">
        <v>29.002500534057617</v>
      </c>
      <c r="Q79" s="22">
        <v>32.302500534057614</v>
      </c>
      <c r="S79" s="22">
        <v>0</v>
      </c>
      <c r="T79" s="22">
        <v>0</v>
      </c>
      <c r="U79" s="22">
        <v>0</v>
      </c>
      <c r="W79" s="22">
        <v>8.2333532159999986E-2</v>
      </c>
      <c r="X79" s="42">
        <v>0.16466706431999997</v>
      </c>
      <c r="Y79" s="22">
        <v>0.24700059647999995</v>
      </c>
      <c r="AA79" s="22">
        <v>2.5000000000000001E-3</v>
      </c>
      <c r="AB79" s="22">
        <v>5.0000000000000001E-3</v>
      </c>
      <c r="AC79" s="22">
        <v>7.4999999999999997E-3</v>
      </c>
      <c r="AE79" s="22">
        <v>-0.4</v>
      </c>
      <c r="AF79" s="42">
        <v>1.875</v>
      </c>
      <c r="AG79" s="22">
        <v>0.5</v>
      </c>
      <c r="AI79" s="22">
        <v>-0.1</v>
      </c>
      <c r="AJ79" s="22">
        <v>0.3</v>
      </c>
      <c r="AK79" s="22">
        <v>0.1</v>
      </c>
      <c r="AM79" s="6">
        <v>25</v>
      </c>
      <c r="AN79" s="23">
        <v>0.4</v>
      </c>
      <c r="BE79" s="7">
        <v>38718</v>
      </c>
      <c r="BF79" s="25">
        <v>0.9</v>
      </c>
    </row>
    <row r="80" spans="1:58">
      <c r="A80" s="19">
        <v>37865</v>
      </c>
      <c r="B80" s="20">
        <v>32.174998474121097</v>
      </c>
      <c r="C80" s="432">
        <v>33.074998474121095</v>
      </c>
      <c r="D80" s="20">
        <v>34.474998474121094</v>
      </c>
      <c r="E80" s="13"/>
      <c r="F80" s="21">
        <v>16.014999084472656</v>
      </c>
      <c r="G80" s="21">
        <v>16.464999084472655</v>
      </c>
      <c r="H80" s="21">
        <v>16.914999084472655</v>
      </c>
      <c r="I80" s="6"/>
      <c r="J80" s="7">
        <v>38749</v>
      </c>
      <c r="K80" s="22">
        <v>28.471250152587892</v>
      </c>
      <c r="L80" s="22">
        <v>29.496250152587891</v>
      </c>
      <c r="M80" s="22">
        <v>30.32125015258789</v>
      </c>
      <c r="O80" s="22">
        <v>23.697499465942382</v>
      </c>
      <c r="P80" s="22">
        <v>26.997499465942383</v>
      </c>
      <c r="Q80" s="22">
        <v>30.297499465942384</v>
      </c>
      <c r="S80" s="22">
        <v>0</v>
      </c>
      <c r="T80" s="22">
        <v>0</v>
      </c>
      <c r="U80" s="22">
        <v>0</v>
      </c>
      <c r="W80" s="22">
        <v>8.2333532159999986E-2</v>
      </c>
      <c r="X80" s="42">
        <v>0.16466706431999997</v>
      </c>
      <c r="Y80" s="22">
        <v>0.24700059647999995</v>
      </c>
      <c r="AA80" s="22">
        <v>2.5000000000000001E-3</v>
      </c>
      <c r="AB80" s="22">
        <v>5.0000000000000001E-3</v>
      </c>
      <c r="AC80" s="22">
        <v>7.4999999999999997E-3</v>
      </c>
      <c r="AE80" s="22">
        <v>-0.4</v>
      </c>
      <c r="AF80" s="42">
        <v>1.875</v>
      </c>
      <c r="AG80" s="22">
        <v>0.5</v>
      </c>
      <c r="AI80" s="22">
        <v>-0.1</v>
      </c>
      <c r="AJ80" s="22">
        <v>0.3</v>
      </c>
      <c r="AK80" s="22">
        <v>0.1</v>
      </c>
      <c r="AM80" s="6">
        <v>25</v>
      </c>
      <c r="AN80" s="23">
        <v>0.4</v>
      </c>
      <c r="BE80" s="7">
        <v>38749</v>
      </c>
      <c r="BF80" s="25">
        <v>0.9</v>
      </c>
    </row>
    <row r="81" spans="1:58">
      <c r="A81" s="19">
        <v>37895</v>
      </c>
      <c r="B81" s="20">
        <v>25.975000381469727</v>
      </c>
      <c r="C81" s="432">
        <v>26.725000381469727</v>
      </c>
      <c r="D81" s="20">
        <v>27.975000381469727</v>
      </c>
      <c r="E81" s="13"/>
      <c r="F81" s="21">
        <v>15.789999847412108</v>
      </c>
      <c r="G81" s="21">
        <v>16.164999847412108</v>
      </c>
      <c r="H81" s="21">
        <v>16.539999847412108</v>
      </c>
      <c r="I81" s="6"/>
      <c r="J81" s="7">
        <v>38777</v>
      </c>
      <c r="K81" s="22">
        <v>19.947249603271491</v>
      </c>
      <c r="L81" s="22">
        <v>20.434749603271491</v>
      </c>
      <c r="M81" s="22">
        <v>20.922249603271492</v>
      </c>
      <c r="O81" s="22">
        <v>16.764498901367194</v>
      </c>
      <c r="P81" s="22">
        <v>20.064498901367195</v>
      </c>
      <c r="Q81" s="22">
        <v>23.364498901367195</v>
      </c>
      <c r="S81" s="22">
        <v>0</v>
      </c>
      <c r="T81" s="22">
        <v>0</v>
      </c>
      <c r="U81" s="22">
        <v>0</v>
      </c>
      <c r="W81" s="22">
        <v>6.8611276799999982E-2</v>
      </c>
      <c r="X81" s="42">
        <v>0.13722255359999996</v>
      </c>
      <c r="Y81" s="22">
        <v>0.20583383039999995</v>
      </c>
      <c r="AA81" s="22">
        <v>2.5000000000000001E-3</v>
      </c>
      <c r="AB81" s="22">
        <v>5.0000000000000001E-3</v>
      </c>
      <c r="AC81" s="22">
        <v>7.4999999999999997E-3</v>
      </c>
      <c r="AE81" s="22">
        <v>-0.25</v>
      </c>
      <c r="AF81" s="42">
        <v>1.1000000000000001</v>
      </c>
      <c r="AG81" s="22">
        <v>0.25</v>
      </c>
      <c r="AI81" s="22">
        <v>-0.1</v>
      </c>
      <c r="AJ81" s="22">
        <v>0.3</v>
      </c>
      <c r="AK81" s="22">
        <v>0.1</v>
      </c>
      <c r="AM81" s="6">
        <v>25</v>
      </c>
      <c r="AN81" s="23">
        <v>0.4</v>
      </c>
      <c r="BE81" s="7">
        <v>38777</v>
      </c>
      <c r="BF81" s="25">
        <v>0.9</v>
      </c>
    </row>
    <row r="82" spans="1:58">
      <c r="A82" s="19">
        <v>37926</v>
      </c>
      <c r="B82" s="20">
        <v>25.647499084472656</v>
      </c>
      <c r="C82" s="432">
        <v>26.397499084472656</v>
      </c>
      <c r="D82" s="20">
        <v>27.647499084472656</v>
      </c>
      <c r="E82" s="13"/>
      <c r="F82" s="21">
        <v>14.03999984741211</v>
      </c>
      <c r="G82" s="21">
        <v>14.41499984741211</v>
      </c>
      <c r="H82" s="21">
        <v>14.78999984741211</v>
      </c>
      <c r="I82" s="6"/>
      <c r="J82" s="7">
        <v>38808</v>
      </c>
      <c r="K82" s="22">
        <v>20.742500305175788</v>
      </c>
      <c r="L82" s="22">
        <v>21.117500305175788</v>
      </c>
      <c r="M82" s="22">
        <v>21.492500305175788</v>
      </c>
      <c r="O82" s="22">
        <v>16.534999084472663</v>
      </c>
      <c r="P82" s="22">
        <v>19.834999084472663</v>
      </c>
      <c r="Q82" s="22">
        <v>23.134999084472664</v>
      </c>
      <c r="S82" s="22">
        <v>0</v>
      </c>
      <c r="T82" s="22">
        <v>0</v>
      </c>
      <c r="U82" s="22">
        <v>0</v>
      </c>
      <c r="W82" s="22">
        <v>6.5180712959999998E-2</v>
      </c>
      <c r="X82" s="42">
        <v>0.13036142592</v>
      </c>
      <c r="Y82" s="22">
        <v>0.19554213887999999</v>
      </c>
      <c r="AA82" s="22">
        <v>2.5000000000000001E-3</v>
      </c>
      <c r="AB82" s="22">
        <v>5.0000000000000001E-3</v>
      </c>
      <c r="AC82" s="22">
        <v>7.4999999999999997E-3</v>
      </c>
      <c r="AE82" s="22">
        <v>-0.25</v>
      </c>
      <c r="AF82" s="42">
        <v>1.2</v>
      </c>
      <c r="AG82" s="22">
        <v>0.25</v>
      </c>
      <c r="AI82" s="22">
        <v>-0.1</v>
      </c>
      <c r="AJ82" s="22">
        <v>0.3</v>
      </c>
      <c r="AK82" s="22">
        <v>0.1</v>
      </c>
      <c r="AM82" s="6">
        <v>26</v>
      </c>
      <c r="AN82" s="23">
        <v>0.4</v>
      </c>
      <c r="BE82" s="7">
        <v>38808</v>
      </c>
      <c r="BF82" s="25">
        <v>0.9</v>
      </c>
    </row>
    <row r="83" spans="1:58">
      <c r="A83" s="19">
        <v>37956</v>
      </c>
      <c r="B83" s="20">
        <v>27.399999618530273</v>
      </c>
      <c r="C83" s="432">
        <v>28.149999618530273</v>
      </c>
      <c r="D83" s="20">
        <v>29.399999618530273</v>
      </c>
      <c r="E83" s="13"/>
      <c r="F83" s="21">
        <v>14.890000228881837</v>
      </c>
      <c r="G83" s="21">
        <v>15.265000228881837</v>
      </c>
      <c r="H83" s="21">
        <v>15.640000228881837</v>
      </c>
      <c r="I83" s="6"/>
      <c r="J83" s="7">
        <v>38838</v>
      </c>
      <c r="K83" s="22">
        <v>19.972500076293951</v>
      </c>
      <c r="L83" s="22">
        <v>21.232500076293952</v>
      </c>
      <c r="M83" s="22">
        <v>22.492500076293954</v>
      </c>
      <c r="O83" s="22">
        <v>17.06499977111817</v>
      </c>
      <c r="P83" s="22">
        <v>20.364999771118171</v>
      </c>
      <c r="Q83" s="22">
        <v>23.664999771118172</v>
      </c>
      <c r="S83" s="22">
        <v>0</v>
      </c>
      <c r="T83" s="22">
        <v>0</v>
      </c>
      <c r="U83" s="22">
        <v>0</v>
      </c>
      <c r="W83" s="22">
        <v>7.2041840639999979E-2</v>
      </c>
      <c r="X83" s="42">
        <v>0.14408368127999996</v>
      </c>
      <c r="Y83" s="22">
        <v>0.21612552191999995</v>
      </c>
      <c r="AA83" s="22">
        <v>2.5000000000000001E-3</v>
      </c>
      <c r="AB83" s="22">
        <v>5.0000000000000001E-3</v>
      </c>
      <c r="AC83" s="22">
        <v>7.4999999999999997E-3</v>
      </c>
      <c r="AE83" s="22">
        <v>-0.25</v>
      </c>
      <c r="AF83" s="42">
        <v>2</v>
      </c>
      <c r="AG83" s="22">
        <v>0.25</v>
      </c>
      <c r="AI83" s="22">
        <v>-0.1</v>
      </c>
      <c r="AJ83" s="22">
        <v>0.3</v>
      </c>
      <c r="AK83" s="22">
        <v>0.1</v>
      </c>
      <c r="AM83" s="6">
        <v>26</v>
      </c>
      <c r="AN83" s="23">
        <v>0.4</v>
      </c>
      <c r="BE83" s="7">
        <v>38838</v>
      </c>
      <c r="BF83" s="25">
        <v>0.9</v>
      </c>
    </row>
    <row r="84" spans="1:58">
      <c r="A84" s="19">
        <v>37987</v>
      </c>
      <c r="B84" s="20">
        <v>35.924998474121089</v>
      </c>
      <c r="C84" s="432">
        <v>36.824998474121088</v>
      </c>
      <c r="D84" s="20">
        <v>38.224998474121087</v>
      </c>
      <c r="E84" s="13"/>
      <c r="F84" s="21">
        <v>19.214997558593751</v>
      </c>
      <c r="G84" s="21">
        <v>19.66499755859375</v>
      </c>
      <c r="H84" s="21">
        <v>20.11499755859375</v>
      </c>
      <c r="I84" s="6"/>
      <c r="J84" s="7">
        <v>38869</v>
      </c>
      <c r="K84" s="22">
        <v>22.178750152587899</v>
      </c>
      <c r="L84" s="22">
        <v>25.808750152587898</v>
      </c>
      <c r="M84" s="22">
        <v>29.438750152587897</v>
      </c>
      <c r="O84" s="22">
        <v>15.992499542236335</v>
      </c>
      <c r="P84" s="22">
        <v>19.292499542236335</v>
      </c>
      <c r="Q84" s="22">
        <v>22.592499542236336</v>
      </c>
      <c r="S84" s="22">
        <v>0</v>
      </c>
      <c r="T84" s="22">
        <v>0</v>
      </c>
      <c r="U84" s="22">
        <v>0</v>
      </c>
      <c r="W84" s="22">
        <v>9.262522367999998E-2</v>
      </c>
      <c r="X84" s="42">
        <v>0.18525044735999996</v>
      </c>
      <c r="Y84" s="22">
        <v>0.27787567103999994</v>
      </c>
      <c r="AA84" s="22">
        <v>2.5000000000000001E-3</v>
      </c>
      <c r="AB84" s="22">
        <v>5.0000000000000001E-3</v>
      </c>
      <c r="AC84" s="22">
        <v>7.4999999999999997E-3</v>
      </c>
      <c r="AE84" s="22">
        <v>-0.75</v>
      </c>
      <c r="AF84" s="42">
        <v>2.25</v>
      </c>
      <c r="AG84" s="22">
        <v>0.75</v>
      </c>
      <c r="AI84" s="22">
        <v>-0.1</v>
      </c>
      <c r="AJ84" s="22">
        <v>0.3</v>
      </c>
      <c r="AK84" s="22">
        <v>0.1</v>
      </c>
      <c r="AM84" s="6">
        <v>26</v>
      </c>
      <c r="AN84" s="23">
        <v>0.4</v>
      </c>
      <c r="BE84" s="7">
        <v>38869</v>
      </c>
      <c r="BF84" s="25">
        <v>0.9</v>
      </c>
    </row>
    <row r="85" spans="1:58">
      <c r="A85" s="19">
        <v>38018</v>
      </c>
      <c r="B85" s="20">
        <v>35.924998474121089</v>
      </c>
      <c r="C85" s="432">
        <v>36.824998474121088</v>
      </c>
      <c r="D85" s="20">
        <v>38.224998474121087</v>
      </c>
      <c r="E85" s="13"/>
      <c r="F85" s="21">
        <v>19.364997177124025</v>
      </c>
      <c r="G85" s="21">
        <v>19.814997177124024</v>
      </c>
      <c r="H85" s="21">
        <v>20.264997177124023</v>
      </c>
      <c r="I85" s="6"/>
      <c r="J85" s="7">
        <v>38899</v>
      </c>
      <c r="K85" s="22">
        <v>37.261249542236335</v>
      </c>
      <c r="L85" s="22">
        <v>40.261249542236335</v>
      </c>
      <c r="M85" s="22">
        <v>43.261249542236335</v>
      </c>
      <c r="O85" s="22">
        <v>26.447499465942389</v>
      </c>
      <c r="P85" s="22">
        <v>29.74749946594239</v>
      </c>
      <c r="Q85" s="22">
        <v>33.047499465942387</v>
      </c>
      <c r="S85" s="22">
        <v>0</v>
      </c>
      <c r="T85" s="22">
        <v>0</v>
      </c>
      <c r="U85" s="22">
        <v>0</v>
      </c>
      <c r="W85" s="22">
        <v>0.11320860671999998</v>
      </c>
      <c r="X85" s="42">
        <v>0.22641721343999996</v>
      </c>
      <c r="Y85" s="22">
        <v>0.33962582015999992</v>
      </c>
      <c r="AA85" s="22">
        <v>2.5000000000000001E-3</v>
      </c>
      <c r="AB85" s="22">
        <v>5.0000000000000001E-3</v>
      </c>
      <c r="AC85" s="22">
        <v>7.4999999999999997E-3</v>
      </c>
      <c r="AE85" s="22">
        <v>-1</v>
      </c>
      <c r="AF85" s="42">
        <v>3</v>
      </c>
      <c r="AG85" s="22">
        <v>1</v>
      </c>
      <c r="AI85" s="22">
        <v>-0.1</v>
      </c>
      <c r="AJ85" s="22">
        <v>0.3</v>
      </c>
      <c r="AK85" s="22">
        <v>0.1</v>
      </c>
      <c r="AM85" s="6">
        <v>27</v>
      </c>
      <c r="AN85" s="23">
        <v>0.4</v>
      </c>
      <c r="BE85" s="7">
        <v>38899</v>
      </c>
      <c r="BF85" s="25">
        <v>0.9</v>
      </c>
    </row>
    <row r="86" spans="1:58">
      <c r="A86" s="19">
        <v>38047</v>
      </c>
      <c r="B86" s="20">
        <v>26.000000762939454</v>
      </c>
      <c r="C86" s="432">
        <v>26.550000762939455</v>
      </c>
      <c r="D86" s="20">
        <v>27.600000762939455</v>
      </c>
      <c r="E86" s="13"/>
      <c r="F86" s="21">
        <v>16.789999084472658</v>
      </c>
      <c r="G86" s="21">
        <v>17.064999084472657</v>
      </c>
      <c r="H86" s="21">
        <v>17.339999084472655</v>
      </c>
      <c r="I86" s="6"/>
      <c r="J86" s="7">
        <v>38930</v>
      </c>
      <c r="K86" s="22">
        <v>39.522499084472663</v>
      </c>
      <c r="L86" s="22">
        <v>42.522499084472663</v>
      </c>
      <c r="M86" s="22">
        <v>45.522499084472663</v>
      </c>
      <c r="O86" s="22">
        <v>27.945000839233405</v>
      </c>
      <c r="P86" s="22">
        <v>31.245000839233406</v>
      </c>
      <c r="Q86" s="22">
        <v>34.545000839233403</v>
      </c>
      <c r="S86" s="22">
        <v>0</v>
      </c>
      <c r="T86" s="22">
        <v>0</v>
      </c>
      <c r="U86" s="22">
        <v>0</v>
      </c>
      <c r="W86" s="22">
        <v>0.11320860671999998</v>
      </c>
      <c r="X86" s="42">
        <v>0.22641721343999996</v>
      </c>
      <c r="Y86" s="22">
        <v>0.33962582015999992</v>
      </c>
      <c r="AA86" s="22">
        <v>2.5000000000000001E-3</v>
      </c>
      <c r="AB86" s="22">
        <v>5.0000000000000001E-3</v>
      </c>
      <c r="AC86" s="22">
        <v>7.4999999999999997E-3</v>
      </c>
      <c r="AE86" s="22">
        <v>-1</v>
      </c>
      <c r="AF86" s="42">
        <v>3</v>
      </c>
      <c r="AG86" s="22">
        <v>1</v>
      </c>
      <c r="AI86" s="22">
        <v>-0.1</v>
      </c>
      <c r="AJ86" s="22">
        <v>0.3</v>
      </c>
      <c r="AK86" s="22">
        <v>0.1</v>
      </c>
      <c r="AM86" s="6">
        <v>27</v>
      </c>
      <c r="AN86" s="23">
        <v>0.4</v>
      </c>
      <c r="BE86" s="7">
        <v>38930</v>
      </c>
      <c r="BF86" s="25">
        <v>0.9</v>
      </c>
    </row>
    <row r="87" spans="1:58">
      <c r="A87" s="19">
        <v>38078</v>
      </c>
      <c r="B87" s="20">
        <v>25.925000762939455</v>
      </c>
      <c r="C87" s="432">
        <v>26.325000762939453</v>
      </c>
      <c r="D87" s="20">
        <v>27.225000762939452</v>
      </c>
      <c r="E87" s="13"/>
      <c r="F87" s="21">
        <v>17.114999084472657</v>
      </c>
      <c r="G87" s="21">
        <v>17.314999084472657</v>
      </c>
      <c r="H87" s="21">
        <v>17.514999084472656</v>
      </c>
      <c r="I87" s="6"/>
      <c r="J87" s="7">
        <v>38961</v>
      </c>
      <c r="K87" s="22">
        <v>18.829999542236337</v>
      </c>
      <c r="L87" s="22">
        <v>19.729999542236335</v>
      </c>
      <c r="M87" s="22">
        <v>20.629999542236334</v>
      </c>
      <c r="O87" s="22">
        <v>13.010000419616699</v>
      </c>
      <c r="P87" s="22">
        <v>16.310000419616699</v>
      </c>
      <c r="Q87" s="22">
        <v>19.6100004196167</v>
      </c>
      <c r="S87" s="22">
        <v>0</v>
      </c>
      <c r="T87" s="22">
        <v>0</v>
      </c>
      <c r="U87" s="22">
        <v>0</v>
      </c>
      <c r="W87" s="22">
        <v>7.2769535999999982E-2</v>
      </c>
      <c r="X87" s="42">
        <v>0.14553907199999996</v>
      </c>
      <c r="Y87" s="22">
        <v>0.21830860799999996</v>
      </c>
      <c r="AA87" s="22">
        <v>2.5000000000000001E-3</v>
      </c>
      <c r="AB87" s="22">
        <v>5.0000000000000001E-3</v>
      </c>
      <c r="AC87" s="22">
        <v>7.4999999999999997E-3</v>
      </c>
      <c r="AE87" s="22">
        <v>-0.4</v>
      </c>
      <c r="AF87" s="42">
        <v>1.75</v>
      </c>
      <c r="AG87" s="22">
        <v>0.5</v>
      </c>
      <c r="AI87" s="22">
        <v>-0.1</v>
      </c>
      <c r="AJ87" s="22">
        <v>0.3</v>
      </c>
      <c r="AK87" s="22">
        <v>0.1</v>
      </c>
      <c r="AM87" s="6">
        <v>27</v>
      </c>
      <c r="AN87" s="23">
        <v>0.4</v>
      </c>
      <c r="BE87" s="7">
        <v>38961</v>
      </c>
      <c r="BF87" s="25">
        <v>0.9</v>
      </c>
    </row>
    <row r="88" spans="1:58">
      <c r="A88" s="19">
        <v>38108</v>
      </c>
      <c r="B88" s="20">
        <v>29.945</v>
      </c>
      <c r="C88" s="432">
        <v>31.324999999999999</v>
      </c>
      <c r="D88" s="20">
        <v>33.204999999999998</v>
      </c>
      <c r="E88" s="13"/>
      <c r="F88" s="21">
        <v>16.074999847412109</v>
      </c>
      <c r="G88" s="21">
        <v>16.76499984741211</v>
      </c>
      <c r="H88" s="21">
        <v>17.454999847412111</v>
      </c>
      <c r="I88" s="6"/>
      <c r="J88" s="7">
        <v>38991</v>
      </c>
      <c r="K88" s="22">
        <v>17.994499588012701</v>
      </c>
      <c r="L88" s="22">
        <v>18.781999588012702</v>
      </c>
      <c r="M88" s="22">
        <v>19.569499588012704</v>
      </c>
      <c r="O88" s="22">
        <v>13.15400047302246</v>
      </c>
      <c r="P88" s="22">
        <v>16.454000473022461</v>
      </c>
      <c r="Q88" s="22">
        <v>19.754000473022462</v>
      </c>
      <c r="S88" s="22">
        <v>0</v>
      </c>
      <c r="T88" s="22">
        <v>0</v>
      </c>
      <c r="U88" s="22">
        <v>0</v>
      </c>
      <c r="W88" s="22">
        <v>5.1458457599999986E-2</v>
      </c>
      <c r="X88" s="42">
        <v>0.10291691519999997</v>
      </c>
      <c r="Y88" s="22">
        <v>0.15437537279999997</v>
      </c>
      <c r="AA88" s="22">
        <v>2.5000000000000001E-3</v>
      </c>
      <c r="AB88" s="22">
        <v>5.0000000000000001E-3</v>
      </c>
      <c r="AC88" s="22">
        <v>7.4999999999999997E-3</v>
      </c>
      <c r="AE88" s="22">
        <v>-0.25</v>
      </c>
      <c r="AF88" s="42">
        <v>1.5</v>
      </c>
      <c r="AG88" s="22">
        <v>0.25</v>
      </c>
      <c r="AI88" s="22">
        <v>-0.1</v>
      </c>
      <c r="AJ88" s="22">
        <v>0.3</v>
      </c>
      <c r="AK88" s="22">
        <v>0.1</v>
      </c>
      <c r="AM88" s="6">
        <v>28</v>
      </c>
      <c r="AN88" s="23">
        <v>0.4</v>
      </c>
      <c r="BE88" s="7">
        <v>38991</v>
      </c>
      <c r="BF88" s="25">
        <v>0.9</v>
      </c>
    </row>
    <row r="89" spans="1:58">
      <c r="A89" s="19">
        <v>38139</v>
      </c>
      <c r="B89" s="20">
        <v>51.599998474121094</v>
      </c>
      <c r="C89" s="432">
        <v>55.599998474121094</v>
      </c>
      <c r="D89" s="20">
        <v>60.099998474121094</v>
      </c>
      <c r="E89" s="13"/>
      <c r="F89" s="21">
        <v>14.825001220703125</v>
      </c>
      <c r="G89" s="21">
        <v>16.825001220703125</v>
      </c>
      <c r="H89" s="21">
        <v>18.825001220703125</v>
      </c>
      <c r="I89" s="6"/>
      <c r="J89" s="7">
        <v>39022</v>
      </c>
      <c r="K89" s="22">
        <v>17.456249618530279</v>
      </c>
      <c r="L89" s="22">
        <v>18.243749618530281</v>
      </c>
      <c r="M89" s="22">
        <v>19.031249618530282</v>
      </c>
      <c r="O89" s="22">
        <v>13.675000381469729</v>
      </c>
      <c r="P89" s="22">
        <v>16.97500038146973</v>
      </c>
      <c r="Q89" s="22">
        <v>20.275000381469731</v>
      </c>
      <c r="S89" s="22">
        <v>0</v>
      </c>
      <c r="T89" s="22">
        <v>0</v>
      </c>
      <c r="U89" s="22">
        <v>0</v>
      </c>
      <c r="W89" s="22">
        <v>5.1458457599999986E-2</v>
      </c>
      <c r="X89" s="42">
        <v>0.10291691519999997</v>
      </c>
      <c r="Y89" s="22">
        <v>0.15437537279999997</v>
      </c>
      <c r="AA89" s="22">
        <v>2.5000000000000001E-3</v>
      </c>
      <c r="AB89" s="22">
        <v>5.0000000000000001E-3</v>
      </c>
      <c r="AC89" s="22">
        <v>7.4999999999999997E-3</v>
      </c>
      <c r="AE89" s="22">
        <v>-0.25</v>
      </c>
      <c r="AF89" s="42">
        <v>1.5</v>
      </c>
      <c r="AG89" s="22">
        <v>0.25</v>
      </c>
      <c r="AI89" s="22">
        <v>-0.1</v>
      </c>
      <c r="AJ89" s="22">
        <v>0.3</v>
      </c>
      <c r="AK89" s="22">
        <v>0.1</v>
      </c>
      <c r="AM89" s="6">
        <v>28</v>
      </c>
      <c r="AN89" s="23">
        <v>0.4</v>
      </c>
      <c r="BE89" s="7">
        <v>39022</v>
      </c>
      <c r="BF89" s="25">
        <v>0.9</v>
      </c>
    </row>
    <row r="90" spans="1:58">
      <c r="A90" s="19">
        <v>38169</v>
      </c>
      <c r="B90" s="20">
        <v>90.449996948242188</v>
      </c>
      <c r="C90" s="432">
        <v>94.449996948242188</v>
      </c>
      <c r="D90" s="20">
        <v>98.949996948242188</v>
      </c>
      <c r="E90" s="13"/>
      <c r="F90" s="21">
        <v>14.51499984741211</v>
      </c>
      <c r="G90" s="21">
        <v>16.51499984741211</v>
      </c>
      <c r="H90" s="21">
        <v>18.51499984741211</v>
      </c>
      <c r="I90" s="6"/>
      <c r="J90" s="7">
        <v>39052</v>
      </c>
      <c r="K90" s="22">
        <v>21.601250076293951</v>
      </c>
      <c r="L90" s="22">
        <v>22.388750076293952</v>
      </c>
      <c r="M90" s="22">
        <v>23.176250076293954</v>
      </c>
      <c r="O90" s="22">
        <v>14.12500019073487</v>
      </c>
      <c r="P90" s="22">
        <v>17.42500019073487</v>
      </c>
      <c r="Q90" s="22">
        <v>20.725000190734871</v>
      </c>
      <c r="S90" s="22">
        <v>0</v>
      </c>
      <c r="T90" s="22">
        <v>0</v>
      </c>
      <c r="U90" s="22">
        <v>0</v>
      </c>
      <c r="W90" s="22">
        <v>5.1458457599999986E-2</v>
      </c>
      <c r="X90" s="42">
        <v>0.10291691519999997</v>
      </c>
      <c r="Y90" s="22">
        <v>0.15437537279999997</v>
      </c>
      <c r="AA90" s="22">
        <v>2.5000000000000001E-3</v>
      </c>
      <c r="AB90" s="22">
        <v>5.0000000000000001E-3</v>
      </c>
      <c r="AC90" s="22">
        <v>7.4999999999999997E-3</v>
      </c>
      <c r="AE90" s="22">
        <v>-0.25</v>
      </c>
      <c r="AF90" s="42">
        <v>1.5</v>
      </c>
      <c r="AG90" s="22">
        <v>0.25</v>
      </c>
      <c r="AI90" s="22">
        <v>-0.1</v>
      </c>
      <c r="AJ90" s="22">
        <v>0.3</v>
      </c>
      <c r="AK90" s="22">
        <v>0.1</v>
      </c>
      <c r="AM90" s="6">
        <v>28</v>
      </c>
      <c r="AN90" s="23">
        <v>0.4</v>
      </c>
      <c r="BE90" s="7">
        <v>39052</v>
      </c>
      <c r="BF90" s="25">
        <v>0.9</v>
      </c>
    </row>
    <row r="91" spans="1:58">
      <c r="A91" s="19">
        <v>38200</v>
      </c>
      <c r="B91" s="20">
        <v>77.449996948242188</v>
      </c>
      <c r="C91" s="432">
        <v>81.449996948242188</v>
      </c>
      <c r="D91" s="20">
        <v>85.949996948242188</v>
      </c>
      <c r="E91" s="13"/>
      <c r="F91" s="21">
        <v>14.564999084472657</v>
      </c>
      <c r="G91" s="21">
        <v>16.564999084472657</v>
      </c>
      <c r="H91" s="21">
        <v>18.564999084472657</v>
      </c>
      <c r="I91" s="6"/>
      <c r="J91" s="7">
        <v>39083</v>
      </c>
      <c r="K91" s="22">
        <v>30.398748779296874</v>
      </c>
      <c r="L91" s="22">
        <v>31.498748779296875</v>
      </c>
      <c r="M91" s="22">
        <v>32.398748779296874</v>
      </c>
      <c r="O91" s="22">
        <v>26.702500534057616</v>
      </c>
      <c r="P91" s="22">
        <v>30.002500534057617</v>
      </c>
      <c r="Q91" s="22">
        <v>33.302500534057614</v>
      </c>
      <c r="S91" s="22">
        <v>0</v>
      </c>
      <c r="T91" s="22">
        <v>0</v>
      </c>
      <c r="U91" s="22">
        <v>0</v>
      </c>
      <c r="W91" s="22">
        <v>7.904019087359998E-2</v>
      </c>
      <c r="X91" s="42">
        <v>0.15808038174719996</v>
      </c>
      <c r="Y91" s="22">
        <v>0.23712057262079994</v>
      </c>
      <c r="AA91" s="22">
        <v>2.5000000000000001E-3</v>
      </c>
      <c r="AB91" s="22">
        <v>5.0000000000000001E-3</v>
      </c>
      <c r="AC91" s="22">
        <v>7.4999999999999997E-3</v>
      </c>
      <c r="AE91" s="22">
        <v>-0.4</v>
      </c>
      <c r="AF91" s="42">
        <v>1.75</v>
      </c>
      <c r="AG91" s="22">
        <v>0.5</v>
      </c>
      <c r="AI91" s="22">
        <v>-0.1</v>
      </c>
      <c r="AJ91" s="22">
        <v>0.3</v>
      </c>
      <c r="AK91" s="22">
        <v>0.1</v>
      </c>
      <c r="AM91" s="6">
        <v>29</v>
      </c>
      <c r="AN91" s="23">
        <v>0.4</v>
      </c>
      <c r="BE91" s="7">
        <v>39083</v>
      </c>
      <c r="BF91" s="25">
        <v>0.9</v>
      </c>
    </row>
    <row r="92" spans="1:58">
      <c r="A92" s="19">
        <v>38231</v>
      </c>
      <c r="B92" s="20">
        <v>32.424998474121097</v>
      </c>
      <c r="C92" s="432">
        <v>33.424998474121097</v>
      </c>
      <c r="D92" s="20">
        <v>34.924998474121097</v>
      </c>
      <c r="E92" s="13"/>
      <c r="F92" s="21">
        <v>16.064999084472657</v>
      </c>
      <c r="G92" s="21">
        <v>16.564999084472657</v>
      </c>
      <c r="H92" s="21">
        <v>17.064999084472657</v>
      </c>
      <c r="I92" s="6"/>
      <c r="J92" s="7">
        <v>39114</v>
      </c>
      <c r="K92" s="22">
        <v>29.396250152587889</v>
      </c>
      <c r="L92" s="22">
        <v>30.496250152587891</v>
      </c>
      <c r="M92" s="22">
        <v>31.396250152587889</v>
      </c>
      <c r="O92" s="22">
        <v>24.697499465942382</v>
      </c>
      <c r="P92" s="22">
        <v>27.997499465942383</v>
      </c>
      <c r="Q92" s="22">
        <v>31.297499465942384</v>
      </c>
      <c r="S92" s="22">
        <v>0</v>
      </c>
      <c r="T92" s="22">
        <v>0</v>
      </c>
      <c r="U92" s="22">
        <v>0</v>
      </c>
      <c r="W92" s="22">
        <v>7.904019087359998E-2</v>
      </c>
      <c r="X92" s="42">
        <v>0.15808038174719996</v>
      </c>
      <c r="Y92" s="22">
        <v>0.23712057262079994</v>
      </c>
      <c r="AA92" s="22">
        <v>2.5000000000000001E-3</v>
      </c>
      <c r="AB92" s="22">
        <v>5.0000000000000001E-3</v>
      </c>
      <c r="AC92" s="22">
        <v>7.4999999999999997E-3</v>
      </c>
      <c r="AE92" s="22">
        <v>-0.4</v>
      </c>
      <c r="AF92" s="42">
        <v>1.75</v>
      </c>
      <c r="AG92" s="22">
        <v>0.5</v>
      </c>
      <c r="AI92" s="22">
        <v>-0.1</v>
      </c>
      <c r="AJ92" s="22">
        <v>0.3</v>
      </c>
      <c r="AK92" s="22">
        <v>0.1</v>
      </c>
      <c r="AM92" s="6">
        <v>29</v>
      </c>
      <c r="AN92" s="23">
        <v>0.4</v>
      </c>
      <c r="BE92" s="7">
        <v>39114</v>
      </c>
      <c r="BF92" s="25">
        <v>0.9</v>
      </c>
    </row>
    <row r="93" spans="1:58">
      <c r="A93" s="19">
        <v>38261</v>
      </c>
      <c r="B93" s="20">
        <v>26.225000381469727</v>
      </c>
      <c r="C93" s="432">
        <v>27.075000381469728</v>
      </c>
      <c r="D93" s="20">
        <v>28.425000381469729</v>
      </c>
      <c r="E93" s="13"/>
      <c r="F93" s="21">
        <v>15.839999847412109</v>
      </c>
      <c r="G93" s="21">
        <v>16.26499984741211</v>
      </c>
      <c r="H93" s="21">
        <v>16.689999847412111</v>
      </c>
      <c r="I93" s="6"/>
      <c r="J93" s="7">
        <v>39142</v>
      </c>
      <c r="K93" s="22">
        <v>20.259749603271494</v>
      </c>
      <c r="L93" s="22">
        <v>20.784749603271493</v>
      </c>
      <c r="M93" s="22">
        <v>21.309749603271491</v>
      </c>
      <c r="O93" s="22">
        <v>17.114498901367195</v>
      </c>
      <c r="P93" s="22">
        <v>20.414498901367196</v>
      </c>
      <c r="Q93" s="22">
        <v>23.714498901367197</v>
      </c>
      <c r="S93" s="22">
        <v>0</v>
      </c>
      <c r="T93" s="22">
        <v>0</v>
      </c>
      <c r="U93" s="22">
        <v>0</v>
      </c>
      <c r="W93" s="22">
        <v>6.5866825727999984E-2</v>
      </c>
      <c r="X93" s="42">
        <v>0.13173365145599997</v>
      </c>
      <c r="Y93" s="22">
        <v>0.19760047718399995</v>
      </c>
      <c r="AA93" s="22">
        <v>2.5000000000000001E-3</v>
      </c>
      <c r="AB93" s="22">
        <v>5.0000000000000001E-3</v>
      </c>
      <c r="AC93" s="22">
        <v>7.4999999999999997E-3</v>
      </c>
      <c r="AE93" s="22">
        <v>-0.25</v>
      </c>
      <c r="AF93" s="42">
        <v>1.1000000000000001</v>
      </c>
      <c r="AG93" s="22">
        <v>0.25</v>
      </c>
      <c r="AI93" s="22">
        <v>-0.1</v>
      </c>
      <c r="AJ93" s="22">
        <v>0.3</v>
      </c>
      <c r="AK93" s="22">
        <v>0.1</v>
      </c>
      <c r="AM93" s="6">
        <v>29</v>
      </c>
      <c r="AN93" s="23">
        <v>0.4</v>
      </c>
      <c r="BE93" s="7">
        <v>39142</v>
      </c>
      <c r="BF93" s="25">
        <v>0.9</v>
      </c>
    </row>
    <row r="94" spans="1:58">
      <c r="A94" s="19">
        <v>38292</v>
      </c>
      <c r="B94" s="20">
        <v>25.897499084472656</v>
      </c>
      <c r="C94" s="432">
        <v>26.747499084472658</v>
      </c>
      <c r="D94" s="20">
        <v>28.097499084472659</v>
      </c>
      <c r="E94" s="13"/>
      <c r="F94" s="21">
        <v>14.089999847412109</v>
      </c>
      <c r="G94" s="21">
        <v>14.51499984741211</v>
      </c>
      <c r="H94" s="21">
        <v>14.939999847412111</v>
      </c>
      <c r="I94" s="6"/>
      <c r="J94" s="7">
        <v>39173</v>
      </c>
      <c r="K94" s="22">
        <v>21.055000305175788</v>
      </c>
      <c r="L94" s="22">
        <v>21.46750030517579</v>
      </c>
      <c r="M94" s="22">
        <v>21.880000305175791</v>
      </c>
      <c r="O94" s="22">
        <v>16.884999084472664</v>
      </c>
      <c r="P94" s="22">
        <v>20.184999084472665</v>
      </c>
      <c r="Q94" s="22">
        <v>23.484999084472665</v>
      </c>
      <c r="S94" s="22">
        <v>0</v>
      </c>
      <c r="T94" s="22">
        <v>0</v>
      </c>
      <c r="U94" s="22">
        <v>0</v>
      </c>
      <c r="W94" s="22">
        <v>6.2573484441599991E-2</v>
      </c>
      <c r="X94" s="42">
        <v>0.12514696888319998</v>
      </c>
      <c r="Y94" s="22">
        <v>0.18772045332479997</v>
      </c>
      <c r="AA94" s="22">
        <v>2.5000000000000001E-3</v>
      </c>
      <c r="AB94" s="22">
        <v>5.0000000000000001E-3</v>
      </c>
      <c r="AC94" s="22">
        <v>7.4999999999999997E-3</v>
      </c>
      <c r="AE94" s="22">
        <v>-0.25</v>
      </c>
      <c r="AF94" s="42">
        <v>1.2</v>
      </c>
      <c r="AG94" s="22">
        <v>0.25</v>
      </c>
      <c r="AI94" s="22">
        <v>-0.1</v>
      </c>
      <c r="AJ94" s="22">
        <v>0.3</v>
      </c>
      <c r="AK94" s="22">
        <v>0.1</v>
      </c>
      <c r="AM94" s="6">
        <v>30</v>
      </c>
      <c r="AN94" s="23">
        <v>0.4</v>
      </c>
      <c r="BE94" s="7">
        <v>39173</v>
      </c>
      <c r="BF94" s="25">
        <v>0.9</v>
      </c>
    </row>
    <row r="95" spans="1:58">
      <c r="A95" s="19">
        <v>38322</v>
      </c>
      <c r="B95" s="20">
        <v>27.649999618530273</v>
      </c>
      <c r="C95" s="432">
        <v>28.499999618530275</v>
      </c>
      <c r="D95" s="20">
        <v>29.849999618530276</v>
      </c>
      <c r="E95" s="13"/>
      <c r="F95" s="21">
        <v>14.940000228881836</v>
      </c>
      <c r="G95" s="21">
        <v>15.365000228881836</v>
      </c>
      <c r="H95" s="21">
        <v>15.790000228881837</v>
      </c>
      <c r="I95" s="6"/>
      <c r="J95" s="7">
        <v>39203</v>
      </c>
      <c r="K95" s="22">
        <v>20.195000076293955</v>
      </c>
      <c r="L95" s="22">
        <v>21.582500076293954</v>
      </c>
      <c r="M95" s="22">
        <v>22.970000076293953</v>
      </c>
      <c r="O95" s="22">
        <v>17.414999771118172</v>
      </c>
      <c r="P95" s="22">
        <v>20.714999771118173</v>
      </c>
      <c r="Q95" s="22">
        <v>24.014999771118173</v>
      </c>
      <c r="S95" s="22">
        <v>0</v>
      </c>
      <c r="T95" s="22">
        <v>0</v>
      </c>
      <c r="U95" s="22">
        <v>0</v>
      </c>
      <c r="W95" s="22">
        <v>6.9160167014399976E-2</v>
      </c>
      <c r="X95" s="42">
        <v>0.13832033402879995</v>
      </c>
      <c r="Y95" s="22">
        <v>0.20748050104319993</v>
      </c>
      <c r="AA95" s="22">
        <v>2.5000000000000001E-3</v>
      </c>
      <c r="AB95" s="22">
        <v>5.0000000000000001E-3</v>
      </c>
      <c r="AC95" s="22">
        <v>7.4999999999999997E-3</v>
      </c>
      <c r="AE95" s="22">
        <v>-0.25</v>
      </c>
      <c r="AF95" s="42">
        <v>2</v>
      </c>
      <c r="AG95" s="22">
        <v>0.25</v>
      </c>
      <c r="AI95" s="22">
        <v>-0.1</v>
      </c>
      <c r="AJ95" s="22">
        <v>0.3</v>
      </c>
      <c r="AK95" s="22">
        <v>0.1</v>
      </c>
      <c r="AM95" s="6">
        <v>30</v>
      </c>
      <c r="AN95" s="23">
        <v>0.4</v>
      </c>
      <c r="BE95" s="7">
        <v>39203</v>
      </c>
      <c r="BF95" s="25">
        <v>0.9</v>
      </c>
    </row>
    <row r="96" spans="1:58">
      <c r="A96" s="19">
        <v>38353</v>
      </c>
      <c r="B96" s="20">
        <v>36.324998474121088</v>
      </c>
      <c r="C96" s="432">
        <v>37.324998474121088</v>
      </c>
      <c r="D96" s="20">
        <v>38.824998474121088</v>
      </c>
      <c r="E96" s="13"/>
      <c r="F96" s="21">
        <v>19.314997558593749</v>
      </c>
      <c r="G96" s="21">
        <v>19.814997558593749</v>
      </c>
      <c r="H96" s="21">
        <v>20.314997558593749</v>
      </c>
      <c r="I96" s="6"/>
      <c r="J96" s="7">
        <v>39234</v>
      </c>
      <c r="K96" s="22">
        <v>22.1612501525879</v>
      </c>
      <c r="L96" s="22">
        <v>26.158750152587899</v>
      </c>
      <c r="M96" s="22">
        <v>30.156250152587898</v>
      </c>
      <c r="O96" s="22">
        <v>16.342499542236336</v>
      </c>
      <c r="P96" s="22">
        <v>19.642499542236337</v>
      </c>
      <c r="Q96" s="22">
        <v>22.942499542236337</v>
      </c>
      <c r="S96" s="22">
        <v>0</v>
      </c>
      <c r="T96" s="22">
        <v>0</v>
      </c>
      <c r="U96" s="22">
        <v>0</v>
      </c>
      <c r="W96" s="22">
        <v>8.8920214732799971E-2</v>
      </c>
      <c r="X96" s="42">
        <v>0.17784042946559994</v>
      </c>
      <c r="Y96" s="22">
        <v>0.2667606441983999</v>
      </c>
      <c r="AA96" s="22">
        <v>2.5000000000000001E-3</v>
      </c>
      <c r="AB96" s="22">
        <v>5.0000000000000001E-3</v>
      </c>
      <c r="AC96" s="22">
        <v>7.4999999999999997E-3</v>
      </c>
      <c r="AE96" s="22">
        <v>-0.75</v>
      </c>
      <c r="AF96" s="42">
        <v>2.25</v>
      </c>
      <c r="AG96" s="22">
        <v>0.75</v>
      </c>
      <c r="AI96" s="22">
        <v>-0.1</v>
      </c>
      <c r="AJ96" s="22">
        <v>0.3</v>
      </c>
      <c r="AK96" s="22">
        <v>0.1</v>
      </c>
      <c r="AM96" s="6">
        <v>30</v>
      </c>
      <c r="AN96" s="23">
        <v>0.4</v>
      </c>
      <c r="BE96" s="7">
        <v>39234</v>
      </c>
      <c r="BF96" s="25">
        <v>0.9</v>
      </c>
    </row>
    <row r="97" spans="1:58">
      <c r="A97" s="19">
        <v>38384</v>
      </c>
      <c r="B97" s="20">
        <v>36.324998474121088</v>
      </c>
      <c r="C97" s="432">
        <v>37.324998474121088</v>
      </c>
      <c r="D97" s="20">
        <v>38.824998474121088</v>
      </c>
      <c r="E97" s="13"/>
      <c r="F97" s="21">
        <v>19.464997177124022</v>
      </c>
      <c r="G97" s="21">
        <v>19.964997177124022</v>
      </c>
      <c r="H97" s="21">
        <v>20.464997177124022</v>
      </c>
      <c r="I97" s="6"/>
      <c r="J97" s="7">
        <v>39264</v>
      </c>
      <c r="K97" s="22">
        <v>36.861249542236337</v>
      </c>
      <c r="L97" s="22">
        <v>40.611249542236337</v>
      </c>
      <c r="M97" s="22">
        <v>44.361249542236337</v>
      </c>
      <c r="O97" s="22">
        <v>26.797499465942391</v>
      </c>
      <c r="P97" s="22">
        <v>30.097499465942391</v>
      </c>
      <c r="Q97" s="22">
        <v>33.397499465942388</v>
      </c>
      <c r="S97" s="22">
        <v>0</v>
      </c>
      <c r="T97" s="22">
        <v>0</v>
      </c>
      <c r="U97" s="22">
        <v>0</v>
      </c>
      <c r="W97" s="22">
        <v>0.10868026245119998</v>
      </c>
      <c r="X97" s="42">
        <v>0.21736052490239996</v>
      </c>
      <c r="Y97" s="22">
        <v>0.32604078735359993</v>
      </c>
      <c r="AA97" s="22">
        <v>2.5000000000000001E-3</v>
      </c>
      <c r="AB97" s="22">
        <v>5.0000000000000001E-3</v>
      </c>
      <c r="AC97" s="22">
        <v>7.4999999999999997E-3</v>
      </c>
      <c r="AE97" s="22">
        <v>-1</v>
      </c>
      <c r="AF97" s="42">
        <v>3</v>
      </c>
      <c r="AG97" s="22">
        <v>1</v>
      </c>
      <c r="AI97" s="22">
        <v>-0.1</v>
      </c>
      <c r="AJ97" s="22">
        <v>0.3</v>
      </c>
      <c r="AK97" s="22">
        <v>0.1</v>
      </c>
      <c r="AM97" s="6">
        <v>31</v>
      </c>
      <c r="AN97" s="23">
        <v>0.4</v>
      </c>
      <c r="BE97" s="7">
        <v>39264</v>
      </c>
      <c r="BF97" s="25">
        <v>0.9</v>
      </c>
    </row>
    <row r="98" spans="1:58">
      <c r="A98" s="19">
        <v>38412</v>
      </c>
      <c r="B98" s="20">
        <v>26.450000762939453</v>
      </c>
      <c r="C98" s="432">
        <v>27.050000762939455</v>
      </c>
      <c r="D98" s="20">
        <v>28.150000762939456</v>
      </c>
      <c r="E98" s="13"/>
      <c r="F98" s="21">
        <v>16.914999084472655</v>
      </c>
      <c r="G98" s="21">
        <v>17.214999084472655</v>
      </c>
      <c r="H98" s="21">
        <v>17.514999084472656</v>
      </c>
      <c r="I98" s="6"/>
      <c r="J98" s="7">
        <v>39295</v>
      </c>
      <c r="K98" s="22">
        <v>39.122499084472665</v>
      </c>
      <c r="L98" s="22">
        <v>42.872499084472665</v>
      </c>
      <c r="M98" s="22">
        <v>46.622499084472665</v>
      </c>
      <c r="O98" s="22">
        <v>28.295000839233406</v>
      </c>
      <c r="P98" s="22">
        <v>31.595000839233407</v>
      </c>
      <c r="Q98" s="22">
        <v>34.895000839233404</v>
      </c>
      <c r="S98" s="22">
        <v>0</v>
      </c>
      <c r="T98" s="22">
        <v>0</v>
      </c>
      <c r="U98" s="22">
        <v>0</v>
      </c>
      <c r="W98" s="22">
        <v>0.10868026245119998</v>
      </c>
      <c r="X98" s="42">
        <v>0.21736052490239996</v>
      </c>
      <c r="Y98" s="22">
        <v>0.32604078735359993</v>
      </c>
      <c r="AA98" s="22">
        <v>2.5000000000000001E-3</v>
      </c>
      <c r="AB98" s="22">
        <v>5.0000000000000001E-3</v>
      </c>
      <c r="AC98" s="22">
        <v>7.4999999999999997E-3</v>
      </c>
      <c r="AE98" s="22">
        <v>-1</v>
      </c>
      <c r="AF98" s="42">
        <v>3</v>
      </c>
      <c r="AG98" s="22">
        <v>1</v>
      </c>
      <c r="AI98" s="22">
        <v>-0.1</v>
      </c>
      <c r="AJ98" s="22">
        <v>0.3</v>
      </c>
      <c r="AK98" s="22">
        <v>0.1</v>
      </c>
      <c r="AM98" s="6">
        <v>31</v>
      </c>
      <c r="AN98" s="23">
        <v>0.4</v>
      </c>
      <c r="BE98" s="7">
        <v>39295</v>
      </c>
      <c r="BF98" s="25">
        <v>0.9</v>
      </c>
    </row>
    <row r="99" spans="1:58">
      <c r="A99" s="19">
        <v>38443</v>
      </c>
      <c r="B99" s="20">
        <v>26.375000762939454</v>
      </c>
      <c r="C99" s="432">
        <v>26.825000762939453</v>
      </c>
      <c r="D99" s="20">
        <v>27.775000762939452</v>
      </c>
      <c r="E99" s="13"/>
      <c r="F99" s="21">
        <v>17.239999084472654</v>
      </c>
      <c r="G99" s="21">
        <v>17.464999084472655</v>
      </c>
      <c r="H99" s="21">
        <v>17.689999084472657</v>
      </c>
      <c r="I99" s="6"/>
      <c r="J99" s="7">
        <v>39326</v>
      </c>
      <c r="K99" s="22">
        <v>19.104999542236335</v>
      </c>
      <c r="L99" s="22">
        <v>20.079999542236337</v>
      </c>
      <c r="M99" s="22">
        <v>21.054999542236338</v>
      </c>
      <c r="O99" s="22">
        <v>13.3600004196167</v>
      </c>
      <c r="P99" s="22">
        <v>16.660000419616701</v>
      </c>
      <c r="Q99" s="22">
        <v>19.960000419616701</v>
      </c>
      <c r="S99" s="22">
        <v>0</v>
      </c>
      <c r="T99" s="22">
        <v>0</v>
      </c>
      <c r="U99" s="22">
        <v>0</v>
      </c>
      <c r="W99" s="22">
        <v>6.9858754559999986E-2</v>
      </c>
      <c r="X99" s="42">
        <v>0.13971750911999997</v>
      </c>
      <c r="Y99" s="22">
        <v>0.20957626367999996</v>
      </c>
      <c r="AA99" s="22">
        <v>2.5000000000000001E-3</v>
      </c>
      <c r="AB99" s="22">
        <v>5.0000000000000001E-3</v>
      </c>
      <c r="AC99" s="22">
        <v>7.4999999999999997E-3</v>
      </c>
      <c r="AE99" s="22">
        <v>-0.4</v>
      </c>
      <c r="AF99" s="42">
        <v>1.75</v>
      </c>
      <c r="AG99" s="22">
        <v>0.5</v>
      </c>
      <c r="AI99" s="22">
        <v>-0.1</v>
      </c>
      <c r="AJ99" s="22">
        <v>0.3</v>
      </c>
      <c r="AK99" s="22">
        <v>0.1</v>
      </c>
      <c r="AM99" s="6">
        <v>31</v>
      </c>
      <c r="AN99" s="23">
        <v>0.4</v>
      </c>
      <c r="BE99" s="7">
        <v>39326</v>
      </c>
      <c r="BF99" s="25">
        <v>0.9</v>
      </c>
    </row>
    <row r="100" spans="1:58">
      <c r="A100" s="19">
        <v>38473</v>
      </c>
      <c r="B100" s="20">
        <v>30.305</v>
      </c>
      <c r="C100" s="432">
        <v>31.824999999999999</v>
      </c>
      <c r="D100" s="20">
        <v>33.844999999999999</v>
      </c>
      <c r="E100" s="13"/>
      <c r="F100" s="21">
        <v>16.154999847412107</v>
      </c>
      <c r="G100" s="21">
        <v>16.914999847412108</v>
      </c>
      <c r="H100" s="21">
        <v>17.67499984741211</v>
      </c>
      <c r="I100" s="6"/>
      <c r="J100" s="7">
        <v>39356</v>
      </c>
      <c r="K100" s="22">
        <v>18.269499588012703</v>
      </c>
      <c r="L100" s="22">
        <v>19.131999588012704</v>
      </c>
      <c r="M100" s="22">
        <v>19.994499588012705</v>
      </c>
      <c r="O100" s="22">
        <v>13.504000473022462</v>
      </c>
      <c r="P100" s="22">
        <v>16.804000473022462</v>
      </c>
      <c r="Q100" s="22">
        <v>20.104000473022463</v>
      </c>
      <c r="S100" s="22">
        <v>0</v>
      </c>
      <c r="T100" s="22">
        <v>0</v>
      </c>
      <c r="U100" s="22">
        <v>0</v>
      </c>
      <c r="W100" s="22">
        <v>4.9400119295999988E-2</v>
      </c>
      <c r="X100" s="42">
        <v>9.8800238591999975E-2</v>
      </c>
      <c r="Y100" s="22">
        <v>0.14820035788799996</v>
      </c>
      <c r="AA100" s="22">
        <v>2.5000000000000001E-3</v>
      </c>
      <c r="AB100" s="22">
        <v>5.0000000000000001E-3</v>
      </c>
      <c r="AC100" s="22">
        <v>7.4999999999999997E-3</v>
      </c>
      <c r="AE100" s="22">
        <v>-0.25</v>
      </c>
      <c r="AF100" s="42">
        <v>1.5</v>
      </c>
      <c r="AG100" s="22">
        <v>0.25</v>
      </c>
      <c r="AI100" s="22">
        <v>-0.1</v>
      </c>
      <c r="AJ100" s="22">
        <v>0.3</v>
      </c>
      <c r="AK100" s="22">
        <v>0.1</v>
      </c>
      <c r="AM100" s="6">
        <v>32</v>
      </c>
      <c r="AN100" s="23">
        <v>0.4</v>
      </c>
      <c r="BE100" s="7">
        <v>39356</v>
      </c>
      <c r="BF100" s="25">
        <v>0.9</v>
      </c>
    </row>
    <row r="101" spans="1:58">
      <c r="A101" s="19">
        <v>38504</v>
      </c>
      <c r="B101" s="20">
        <v>51.949998474121095</v>
      </c>
      <c r="C101" s="432">
        <v>56.349998474121094</v>
      </c>
      <c r="D101" s="20">
        <v>61.249998474121092</v>
      </c>
      <c r="E101" s="13"/>
      <c r="F101" s="21">
        <v>14.775001220703125</v>
      </c>
      <c r="G101" s="21">
        <v>16.975001220703124</v>
      </c>
      <c r="H101" s="21">
        <v>19.175001220703123</v>
      </c>
      <c r="I101" s="6"/>
      <c r="J101" s="7">
        <v>39387</v>
      </c>
      <c r="K101" s="22">
        <v>17.731249618530281</v>
      </c>
      <c r="L101" s="22">
        <v>18.593749618530282</v>
      </c>
      <c r="M101" s="22">
        <v>19.456249618530283</v>
      </c>
      <c r="O101" s="22">
        <v>14.025000381469731</v>
      </c>
      <c r="P101" s="22">
        <v>17.325000381469732</v>
      </c>
      <c r="Q101" s="22">
        <v>20.625000381469732</v>
      </c>
      <c r="S101" s="22">
        <v>0</v>
      </c>
      <c r="T101" s="22">
        <v>0</v>
      </c>
      <c r="U101" s="22">
        <v>0</v>
      </c>
      <c r="W101" s="22">
        <v>4.9400119295999988E-2</v>
      </c>
      <c r="X101" s="42">
        <v>9.8800238591999975E-2</v>
      </c>
      <c r="Y101" s="22">
        <v>0.14820035788799996</v>
      </c>
      <c r="AA101" s="22">
        <v>2.5000000000000001E-3</v>
      </c>
      <c r="AB101" s="22">
        <v>5.0000000000000001E-3</v>
      </c>
      <c r="AC101" s="22">
        <v>7.4999999999999997E-3</v>
      </c>
      <c r="AE101" s="22">
        <v>-0.25</v>
      </c>
      <c r="AF101" s="42">
        <v>1.5</v>
      </c>
      <c r="AG101" s="22">
        <v>0.25</v>
      </c>
      <c r="AI101" s="22">
        <v>-0.1</v>
      </c>
      <c r="AJ101" s="22">
        <v>0.3</v>
      </c>
      <c r="AK101" s="22">
        <v>0.1</v>
      </c>
      <c r="AM101" s="6">
        <v>32</v>
      </c>
      <c r="AN101" s="23">
        <v>0.4</v>
      </c>
      <c r="BE101" s="7">
        <v>39387</v>
      </c>
      <c r="BF101" s="25">
        <v>0.9</v>
      </c>
    </row>
    <row r="102" spans="1:58">
      <c r="A102" s="19">
        <v>38534</v>
      </c>
      <c r="B102" s="20">
        <v>91.699996948242188</v>
      </c>
      <c r="C102" s="432">
        <v>95.699996948242188</v>
      </c>
      <c r="D102" s="20">
        <v>100.19999694824219</v>
      </c>
      <c r="E102" s="13"/>
      <c r="F102" s="21">
        <v>14.664999847412108</v>
      </c>
      <c r="G102" s="21">
        <v>16.664999847412108</v>
      </c>
      <c r="H102" s="21">
        <v>18.664999847412108</v>
      </c>
      <c r="I102" s="6"/>
      <c r="J102" s="7">
        <v>39417</v>
      </c>
      <c r="K102" s="22">
        <v>21.876250076293953</v>
      </c>
      <c r="L102" s="22">
        <v>22.738750076293954</v>
      </c>
      <c r="M102" s="22">
        <v>23.601250076293955</v>
      </c>
      <c r="O102" s="22">
        <v>14.475000190734871</v>
      </c>
      <c r="P102" s="22">
        <v>17.775000190734872</v>
      </c>
      <c r="Q102" s="22">
        <v>21.075000190734873</v>
      </c>
      <c r="S102" s="22">
        <v>0</v>
      </c>
      <c r="T102" s="22">
        <v>0</v>
      </c>
      <c r="U102" s="22">
        <v>0</v>
      </c>
      <c r="W102" s="22">
        <v>4.9400119295999988E-2</v>
      </c>
      <c r="X102" s="42">
        <v>9.8800238591999975E-2</v>
      </c>
      <c r="Y102" s="22">
        <v>0.14820035788799996</v>
      </c>
      <c r="AA102" s="22">
        <v>2.5000000000000001E-3</v>
      </c>
      <c r="AB102" s="22">
        <v>5.0000000000000001E-3</v>
      </c>
      <c r="AC102" s="22">
        <v>7.4999999999999997E-3</v>
      </c>
      <c r="AE102" s="22">
        <v>-0.25</v>
      </c>
      <c r="AF102" s="42">
        <v>1.5</v>
      </c>
      <c r="AG102" s="22">
        <v>0.25</v>
      </c>
      <c r="AI102" s="22">
        <v>-0.1</v>
      </c>
      <c r="AJ102" s="22">
        <v>0.3</v>
      </c>
      <c r="AK102" s="22">
        <v>0.1</v>
      </c>
      <c r="AM102" s="6">
        <v>32</v>
      </c>
      <c r="AN102" s="23">
        <v>0.4</v>
      </c>
      <c r="BE102" s="7">
        <v>39417</v>
      </c>
      <c r="BF102" s="25">
        <v>0.9</v>
      </c>
    </row>
    <row r="103" spans="1:58">
      <c r="A103" s="19">
        <v>38565</v>
      </c>
      <c r="B103" s="20">
        <v>78.699996948242188</v>
      </c>
      <c r="C103" s="432">
        <v>82.699996948242188</v>
      </c>
      <c r="D103" s="20">
        <v>87.199996948242188</v>
      </c>
      <c r="E103" s="13"/>
      <c r="F103" s="21">
        <v>14.714999084472655</v>
      </c>
      <c r="G103" s="21">
        <v>16.714999084472655</v>
      </c>
      <c r="H103" s="21">
        <v>18.714999084472655</v>
      </c>
      <c r="I103" s="6"/>
      <c r="J103" s="7">
        <v>39448</v>
      </c>
      <c r="K103" s="22">
        <v>31.323748779296874</v>
      </c>
      <c r="L103" s="22">
        <v>32.498748779296875</v>
      </c>
      <c r="M103" s="22">
        <v>33.473748779296876</v>
      </c>
      <c r="O103" s="22">
        <v>27.702500534057616</v>
      </c>
      <c r="P103" s="22">
        <v>31.002500534057617</v>
      </c>
      <c r="Q103" s="22">
        <v>34.302500534057614</v>
      </c>
      <c r="S103" s="22">
        <v>0</v>
      </c>
      <c r="T103" s="22">
        <v>0</v>
      </c>
      <c r="U103" s="22">
        <v>0</v>
      </c>
      <c r="W103" s="22">
        <v>7.5878583238655983E-2</v>
      </c>
      <c r="X103" s="42">
        <v>0.15175716647731197</v>
      </c>
      <c r="Y103" s="22">
        <v>0.22763574971596795</v>
      </c>
      <c r="AA103" s="22">
        <v>2.5000000000000001E-3</v>
      </c>
      <c r="AB103" s="22">
        <v>5.0000000000000001E-3</v>
      </c>
      <c r="AC103" s="22">
        <v>7.4999999999999997E-3</v>
      </c>
      <c r="AE103" s="22">
        <v>-0.4</v>
      </c>
      <c r="AF103" s="42">
        <v>1.75</v>
      </c>
      <c r="AG103" s="22">
        <v>0.5</v>
      </c>
      <c r="AI103" s="22">
        <v>-0.1</v>
      </c>
      <c r="AJ103" s="22">
        <v>0.3</v>
      </c>
      <c r="AK103" s="22">
        <v>0.1</v>
      </c>
      <c r="AM103" s="6">
        <v>33</v>
      </c>
      <c r="AN103" s="23">
        <v>0.4</v>
      </c>
      <c r="BE103" s="7">
        <v>39448</v>
      </c>
      <c r="BF103" s="25">
        <v>0.9</v>
      </c>
    </row>
    <row r="104" spans="1:58">
      <c r="A104" s="19">
        <v>38596</v>
      </c>
      <c r="B104" s="20">
        <v>32.824998474121095</v>
      </c>
      <c r="C104" s="432">
        <v>33.924998474121097</v>
      </c>
      <c r="D104" s="20">
        <v>35.524998474121098</v>
      </c>
      <c r="E104" s="13"/>
      <c r="F104" s="21">
        <v>16.164999084472655</v>
      </c>
      <c r="G104" s="21">
        <v>16.714999084472655</v>
      </c>
      <c r="H104" s="21">
        <v>17.264999084472656</v>
      </c>
      <c r="I104" s="6"/>
      <c r="J104" s="7">
        <v>39479</v>
      </c>
      <c r="K104" s="22">
        <v>30.32125015258789</v>
      </c>
      <c r="L104" s="22">
        <v>31.496250152587891</v>
      </c>
      <c r="M104" s="22">
        <v>32.471250152587892</v>
      </c>
      <c r="O104" s="22">
        <v>25.697499465942382</v>
      </c>
      <c r="P104" s="22">
        <v>28.997499465942383</v>
      </c>
      <c r="Q104" s="22">
        <v>32.29749946594238</v>
      </c>
      <c r="S104" s="22">
        <v>0</v>
      </c>
      <c r="T104" s="22">
        <v>0</v>
      </c>
      <c r="U104" s="22">
        <v>0</v>
      </c>
      <c r="W104" s="22">
        <v>7.5878583238655983E-2</v>
      </c>
      <c r="X104" s="42">
        <v>0.15175716647731197</v>
      </c>
      <c r="Y104" s="22">
        <v>0.22763574971596795</v>
      </c>
      <c r="AA104" s="22">
        <v>2.5000000000000001E-3</v>
      </c>
      <c r="AB104" s="22">
        <v>5.0000000000000001E-3</v>
      </c>
      <c r="AC104" s="22">
        <v>7.4999999999999997E-3</v>
      </c>
      <c r="AE104" s="22">
        <v>-0.4</v>
      </c>
      <c r="AF104" s="42">
        <v>1.75</v>
      </c>
      <c r="AG104" s="22">
        <v>0.5</v>
      </c>
      <c r="AI104" s="22">
        <v>-0.1</v>
      </c>
      <c r="AJ104" s="22">
        <v>0.3</v>
      </c>
      <c r="AK104" s="22">
        <v>0.1</v>
      </c>
      <c r="AM104" s="6">
        <v>33</v>
      </c>
      <c r="AN104" s="23">
        <v>0.4</v>
      </c>
      <c r="BE104" s="7">
        <v>39479</v>
      </c>
      <c r="BF104" s="25">
        <v>0.9</v>
      </c>
    </row>
    <row r="105" spans="1:58">
      <c r="A105" s="19">
        <v>38626</v>
      </c>
      <c r="B105" s="20">
        <v>26.625000381469729</v>
      </c>
      <c r="C105" s="432">
        <v>27.575000381469728</v>
      </c>
      <c r="D105" s="20">
        <v>29.025000381469727</v>
      </c>
      <c r="E105" s="13"/>
      <c r="F105" s="21">
        <v>15.939999847412109</v>
      </c>
      <c r="G105" s="21">
        <v>16.414999847412108</v>
      </c>
      <c r="H105" s="21">
        <v>16.88999984741211</v>
      </c>
      <c r="I105" s="6"/>
      <c r="J105" s="7">
        <v>39508</v>
      </c>
      <c r="K105" s="22">
        <v>20.572249603271494</v>
      </c>
      <c r="L105" s="22">
        <v>21.134749603271494</v>
      </c>
      <c r="M105" s="22">
        <v>21.697249603271494</v>
      </c>
      <c r="O105" s="22">
        <v>17.464498901367197</v>
      </c>
      <c r="P105" s="22">
        <v>20.764498901367197</v>
      </c>
      <c r="Q105" s="22">
        <v>24.064498901367198</v>
      </c>
      <c r="S105" s="22">
        <v>0</v>
      </c>
      <c r="T105" s="22">
        <v>0</v>
      </c>
      <c r="U105" s="22">
        <v>0</v>
      </c>
      <c r="W105" s="22">
        <v>6.3232152698879981E-2</v>
      </c>
      <c r="X105" s="42">
        <v>0.12646430539775996</v>
      </c>
      <c r="Y105" s="22">
        <v>0.18969645809663993</v>
      </c>
      <c r="AA105" s="22">
        <v>2.5000000000000001E-3</v>
      </c>
      <c r="AB105" s="22">
        <v>5.0000000000000001E-3</v>
      </c>
      <c r="AC105" s="22">
        <v>7.4999999999999997E-3</v>
      </c>
      <c r="AE105" s="22">
        <v>-0.25</v>
      </c>
      <c r="AF105" s="42">
        <v>1.1000000000000001</v>
      </c>
      <c r="AG105" s="22">
        <v>0.25</v>
      </c>
      <c r="AI105" s="22">
        <v>-0.1</v>
      </c>
      <c r="AJ105" s="22">
        <v>0.3</v>
      </c>
      <c r="AK105" s="22">
        <v>0.1</v>
      </c>
      <c r="AM105" s="6">
        <v>33</v>
      </c>
      <c r="AN105" s="23">
        <v>0.4</v>
      </c>
      <c r="BE105" s="7">
        <v>39508</v>
      </c>
      <c r="BF105" s="25">
        <v>0.9</v>
      </c>
    </row>
    <row r="106" spans="1:58">
      <c r="A106" s="19">
        <v>38657</v>
      </c>
      <c r="B106" s="20">
        <v>26.297499084472658</v>
      </c>
      <c r="C106" s="432">
        <v>27.247499084472658</v>
      </c>
      <c r="D106" s="20">
        <v>28.697499084472657</v>
      </c>
      <c r="E106" s="13"/>
      <c r="F106" s="21">
        <v>14.189999847412111</v>
      </c>
      <c r="G106" s="21">
        <v>14.66499984741211</v>
      </c>
      <c r="H106" s="21">
        <v>15.13999984741211</v>
      </c>
      <c r="I106" s="6"/>
      <c r="J106" s="7">
        <v>39539</v>
      </c>
      <c r="K106" s="22">
        <v>21.367500305175792</v>
      </c>
      <c r="L106" s="22">
        <v>21.817500305175791</v>
      </c>
      <c r="M106" s="22">
        <v>22.26750030517579</v>
      </c>
      <c r="O106" s="22">
        <v>17.234999084472665</v>
      </c>
      <c r="P106" s="22">
        <v>20.534999084472666</v>
      </c>
      <c r="Q106" s="22">
        <v>23.834999084472667</v>
      </c>
      <c r="S106" s="22">
        <v>0</v>
      </c>
      <c r="T106" s="22">
        <v>0</v>
      </c>
      <c r="U106" s="22">
        <v>0</v>
      </c>
      <c r="W106" s="22">
        <v>6.0070545063935991E-2</v>
      </c>
      <c r="X106" s="42">
        <v>0.12014109012787198</v>
      </c>
      <c r="Y106" s="22">
        <v>0.18021163519180797</v>
      </c>
      <c r="AA106" s="22">
        <v>2.5000000000000001E-3</v>
      </c>
      <c r="AB106" s="22">
        <v>5.0000000000000001E-3</v>
      </c>
      <c r="AC106" s="22">
        <v>7.4999999999999997E-3</v>
      </c>
      <c r="AE106" s="22">
        <v>-0.25</v>
      </c>
      <c r="AF106" s="42">
        <v>1.2</v>
      </c>
      <c r="AG106" s="22">
        <v>0.25</v>
      </c>
      <c r="AI106" s="22">
        <v>-0.1</v>
      </c>
      <c r="AJ106" s="22">
        <v>0.3</v>
      </c>
      <c r="AK106" s="22">
        <v>0.1</v>
      </c>
      <c r="AM106" s="6">
        <v>34</v>
      </c>
      <c r="AN106" s="23">
        <v>0.4</v>
      </c>
      <c r="BE106" s="7">
        <v>39539</v>
      </c>
      <c r="BF106" s="25">
        <v>0.9</v>
      </c>
    </row>
    <row r="107" spans="1:58">
      <c r="A107" s="19">
        <v>38687</v>
      </c>
      <c r="B107" s="20">
        <v>28.049999618530276</v>
      </c>
      <c r="C107" s="432">
        <v>28.999999618530275</v>
      </c>
      <c r="D107" s="20">
        <v>30.449999618530274</v>
      </c>
      <c r="E107" s="13"/>
      <c r="F107" s="21">
        <v>15.040000228881837</v>
      </c>
      <c r="G107" s="21">
        <v>15.515000228881837</v>
      </c>
      <c r="H107" s="21">
        <v>15.990000228881836</v>
      </c>
      <c r="I107" s="6"/>
      <c r="J107" s="7">
        <v>39569</v>
      </c>
      <c r="K107" s="22">
        <v>20.402500076293954</v>
      </c>
      <c r="L107" s="22">
        <v>21.932500076293955</v>
      </c>
      <c r="M107" s="22">
        <v>23.462500076293956</v>
      </c>
      <c r="O107" s="22">
        <v>17.764999771118173</v>
      </c>
      <c r="P107" s="22">
        <v>21.064999771118174</v>
      </c>
      <c r="Q107" s="22">
        <v>24.364999771118175</v>
      </c>
      <c r="S107" s="22">
        <v>0</v>
      </c>
      <c r="T107" s="22">
        <v>0</v>
      </c>
      <c r="U107" s="22">
        <v>0</v>
      </c>
      <c r="W107" s="22">
        <v>6.6393760333823978E-2</v>
      </c>
      <c r="X107" s="42">
        <v>0.13278752066764796</v>
      </c>
      <c r="Y107" s="22">
        <v>0.19918128100147192</v>
      </c>
      <c r="AA107" s="22">
        <v>2.5000000000000001E-3</v>
      </c>
      <c r="AB107" s="22">
        <v>5.0000000000000001E-3</v>
      </c>
      <c r="AC107" s="22">
        <v>7.4999999999999997E-3</v>
      </c>
      <c r="AE107" s="22">
        <v>-0.25</v>
      </c>
      <c r="AF107" s="42">
        <v>2</v>
      </c>
      <c r="AG107" s="22">
        <v>0.25</v>
      </c>
      <c r="AI107" s="22">
        <v>-0.1</v>
      </c>
      <c r="AJ107" s="22">
        <v>0.3</v>
      </c>
      <c r="AK107" s="22">
        <v>0.1</v>
      </c>
      <c r="AM107" s="6">
        <v>34</v>
      </c>
      <c r="AN107" s="23">
        <v>0.4</v>
      </c>
      <c r="BE107" s="7">
        <v>39569</v>
      </c>
      <c r="BF107" s="25">
        <v>0.9</v>
      </c>
    </row>
    <row r="108" spans="1:58">
      <c r="A108" s="19">
        <v>38718</v>
      </c>
      <c r="B108" s="20">
        <v>36.724998474121087</v>
      </c>
      <c r="C108" s="432">
        <v>37.824998474121088</v>
      </c>
      <c r="D108" s="20">
        <v>39.424998474121089</v>
      </c>
      <c r="E108" s="13"/>
      <c r="F108" s="21">
        <v>19.464997558593748</v>
      </c>
      <c r="G108" s="21">
        <v>20.014997558593748</v>
      </c>
      <c r="H108" s="21">
        <v>20.564997558593749</v>
      </c>
      <c r="I108" s="6"/>
      <c r="J108" s="7">
        <v>39600</v>
      </c>
      <c r="K108" s="22">
        <v>22.106250152587901</v>
      </c>
      <c r="L108" s="22">
        <v>26.508750152587901</v>
      </c>
      <c r="M108" s="22">
        <v>30.9112501525879</v>
      </c>
      <c r="O108" s="22">
        <v>16.692499542236337</v>
      </c>
      <c r="P108" s="22">
        <v>19.992499542236338</v>
      </c>
      <c r="Q108" s="22">
        <v>23.292499542236339</v>
      </c>
      <c r="S108" s="22">
        <v>0</v>
      </c>
      <c r="T108" s="22">
        <v>0</v>
      </c>
      <c r="U108" s="22">
        <v>0</v>
      </c>
      <c r="W108" s="22">
        <v>8.5363406143487974E-2</v>
      </c>
      <c r="X108" s="42">
        <v>0.17072681228697595</v>
      </c>
      <c r="Y108" s="22">
        <v>0.25609021843046392</v>
      </c>
      <c r="AA108" s="22">
        <v>2.5000000000000001E-3</v>
      </c>
      <c r="AB108" s="22">
        <v>5.0000000000000001E-3</v>
      </c>
      <c r="AC108" s="22">
        <v>7.4999999999999997E-3</v>
      </c>
      <c r="AE108" s="22">
        <v>-0.75</v>
      </c>
      <c r="AF108" s="42">
        <v>2.25</v>
      </c>
      <c r="AG108" s="22">
        <v>0.75</v>
      </c>
      <c r="AI108" s="22">
        <v>-0.1</v>
      </c>
      <c r="AJ108" s="22">
        <v>0.3</v>
      </c>
      <c r="AK108" s="22">
        <v>0.1</v>
      </c>
      <c r="AM108" s="6">
        <v>34</v>
      </c>
      <c r="AN108" s="23">
        <v>0.4</v>
      </c>
      <c r="BE108" s="7">
        <v>39600</v>
      </c>
      <c r="BF108" s="25">
        <v>0.9</v>
      </c>
    </row>
    <row r="109" spans="1:58">
      <c r="A109" s="19">
        <v>38749</v>
      </c>
      <c r="B109" s="20">
        <v>36.724998474121087</v>
      </c>
      <c r="C109" s="432">
        <v>37.824998474121088</v>
      </c>
      <c r="D109" s="20">
        <v>39.424998474121089</v>
      </c>
      <c r="E109" s="13"/>
      <c r="F109" s="21">
        <v>19.614997177124021</v>
      </c>
      <c r="G109" s="21">
        <v>20.164997177124022</v>
      </c>
      <c r="H109" s="21">
        <v>20.714997177124022</v>
      </c>
      <c r="I109" s="6"/>
      <c r="J109" s="7">
        <v>39630</v>
      </c>
      <c r="K109" s="22">
        <v>37.211249542236338</v>
      </c>
      <c r="L109" s="22">
        <v>40.961249542236338</v>
      </c>
      <c r="M109" s="22">
        <v>44.711249542236338</v>
      </c>
      <c r="O109" s="22">
        <v>27.147499465942392</v>
      </c>
      <c r="P109" s="22">
        <v>30.447499465942393</v>
      </c>
      <c r="Q109" s="22">
        <v>33.74749946594239</v>
      </c>
      <c r="S109" s="22">
        <v>0</v>
      </c>
      <c r="T109" s="22">
        <v>0</v>
      </c>
      <c r="U109" s="22">
        <v>0</v>
      </c>
      <c r="W109" s="22">
        <v>0.10433305195315197</v>
      </c>
      <c r="X109" s="42">
        <v>0.20866610390630394</v>
      </c>
      <c r="Y109" s="22">
        <v>0.31299915585945592</v>
      </c>
      <c r="AA109" s="22">
        <v>2.5000000000000001E-3</v>
      </c>
      <c r="AB109" s="22">
        <v>5.0000000000000001E-3</v>
      </c>
      <c r="AC109" s="22">
        <v>7.4999999999999997E-3</v>
      </c>
      <c r="AE109" s="22">
        <v>-1</v>
      </c>
      <c r="AF109" s="42">
        <v>3</v>
      </c>
      <c r="AG109" s="22">
        <v>1</v>
      </c>
      <c r="AI109" s="22">
        <v>-0.1</v>
      </c>
      <c r="AJ109" s="22">
        <v>0.3</v>
      </c>
      <c r="AK109" s="22">
        <v>0.1</v>
      </c>
      <c r="AM109" s="6">
        <v>35</v>
      </c>
      <c r="AN109" s="23">
        <v>0.4</v>
      </c>
      <c r="BE109" s="7">
        <v>39630</v>
      </c>
      <c r="BF109" s="25">
        <v>0.9</v>
      </c>
    </row>
    <row r="110" spans="1:58">
      <c r="A110" s="19">
        <v>38777</v>
      </c>
      <c r="B110" s="20">
        <v>26.900000762939456</v>
      </c>
      <c r="C110" s="432">
        <v>27.550000762939455</v>
      </c>
      <c r="D110" s="20">
        <v>28.700000762939453</v>
      </c>
      <c r="E110" s="13"/>
      <c r="F110" s="21">
        <v>17.089999084472655</v>
      </c>
      <c r="G110" s="21">
        <v>17.414999084472655</v>
      </c>
      <c r="H110" s="21">
        <v>17.739999084472654</v>
      </c>
      <c r="I110" s="6"/>
      <c r="J110" s="7">
        <v>39661</v>
      </c>
      <c r="K110" s="22">
        <v>39.472499084472666</v>
      </c>
      <c r="L110" s="22">
        <v>43.222499084472666</v>
      </c>
      <c r="M110" s="22">
        <v>46.972499084472666</v>
      </c>
      <c r="O110" s="22">
        <v>28.645000839233408</v>
      </c>
      <c r="P110" s="22">
        <v>31.945000839233408</v>
      </c>
      <c r="Q110" s="22">
        <v>35.245000839233406</v>
      </c>
      <c r="S110" s="22">
        <v>0</v>
      </c>
      <c r="T110" s="22">
        <v>0</v>
      </c>
      <c r="U110" s="22">
        <v>0</v>
      </c>
      <c r="W110" s="22">
        <v>0.10433305195315197</v>
      </c>
      <c r="X110" s="42">
        <v>0.20866610390630394</v>
      </c>
      <c r="Y110" s="22">
        <v>0.31299915585945592</v>
      </c>
      <c r="AA110" s="22">
        <v>2.5000000000000001E-3</v>
      </c>
      <c r="AB110" s="22">
        <v>5.0000000000000001E-3</v>
      </c>
      <c r="AC110" s="22">
        <v>7.4999999999999997E-3</v>
      </c>
      <c r="AE110" s="22">
        <v>-1</v>
      </c>
      <c r="AF110" s="42">
        <v>3</v>
      </c>
      <c r="AG110" s="22">
        <v>1</v>
      </c>
      <c r="AI110" s="22">
        <v>-0.1</v>
      </c>
      <c r="AJ110" s="22">
        <v>0.3</v>
      </c>
      <c r="AK110" s="22">
        <v>0.1</v>
      </c>
      <c r="AM110" s="6">
        <v>35</v>
      </c>
      <c r="AN110" s="23">
        <v>0.4</v>
      </c>
      <c r="BE110" s="7">
        <v>39661</v>
      </c>
      <c r="BF110" s="25">
        <v>0.9</v>
      </c>
    </row>
    <row r="111" spans="1:58">
      <c r="A111" s="19">
        <v>38808</v>
      </c>
      <c r="B111" s="20">
        <v>26.825000762939453</v>
      </c>
      <c r="C111" s="432">
        <v>27.325000762939453</v>
      </c>
      <c r="D111" s="20">
        <v>28.325000762939453</v>
      </c>
      <c r="E111" s="13"/>
      <c r="F111" s="21">
        <v>17.414999084472655</v>
      </c>
      <c r="G111" s="21">
        <v>17.664999084472655</v>
      </c>
      <c r="H111" s="21">
        <v>17.914999084472655</v>
      </c>
      <c r="I111" s="6"/>
      <c r="J111" s="7">
        <v>39692</v>
      </c>
      <c r="K111" s="22">
        <v>19.379999542236337</v>
      </c>
      <c r="L111" s="22">
        <v>20.429999542236338</v>
      </c>
      <c r="M111" s="22">
        <v>21.479999542236339</v>
      </c>
      <c r="O111" s="22">
        <v>13.710000419616701</v>
      </c>
      <c r="P111" s="22">
        <v>17.010000419616702</v>
      </c>
      <c r="Q111" s="22">
        <v>20.310000419616703</v>
      </c>
      <c r="S111" s="22">
        <v>0</v>
      </c>
      <c r="T111" s="22">
        <v>0</v>
      </c>
      <c r="U111" s="22">
        <v>0</v>
      </c>
      <c r="W111" s="22">
        <v>6.7064404377599987E-2</v>
      </c>
      <c r="X111" s="42">
        <v>0.13412880875519997</v>
      </c>
      <c r="Y111" s="22">
        <v>0.20119321313279998</v>
      </c>
      <c r="AA111" s="22">
        <v>2.5000000000000001E-3</v>
      </c>
      <c r="AB111" s="22">
        <v>5.0000000000000001E-3</v>
      </c>
      <c r="AC111" s="22">
        <v>7.4999999999999997E-3</v>
      </c>
      <c r="AE111" s="22">
        <v>-0.4</v>
      </c>
      <c r="AF111" s="42">
        <v>1.75</v>
      </c>
      <c r="AG111" s="22">
        <v>0.5</v>
      </c>
      <c r="AI111" s="22">
        <v>-0.1</v>
      </c>
      <c r="AJ111" s="22">
        <v>0.3</v>
      </c>
      <c r="AK111" s="22">
        <v>0.1</v>
      </c>
      <c r="AM111" s="6">
        <v>35</v>
      </c>
      <c r="AN111" s="23">
        <v>0.4</v>
      </c>
      <c r="BE111" s="7">
        <v>39692</v>
      </c>
      <c r="BF111" s="25">
        <v>0.9</v>
      </c>
    </row>
    <row r="112" spans="1:58">
      <c r="A112" s="19">
        <v>38838</v>
      </c>
      <c r="B112" s="20">
        <v>30.895</v>
      </c>
      <c r="C112" s="432">
        <v>32.575000000000003</v>
      </c>
      <c r="D112" s="20">
        <v>34.755000000000003</v>
      </c>
      <c r="E112" s="13"/>
      <c r="F112" s="21">
        <v>16.274999847412108</v>
      </c>
      <c r="G112" s="21">
        <v>17.114999847412108</v>
      </c>
      <c r="H112" s="21">
        <v>17.954999847412108</v>
      </c>
      <c r="I112" s="6"/>
      <c r="J112" s="7">
        <v>39722</v>
      </c>
      <c r="K112" s="22">
        <v>18.544499588012705</v>
      </c>
      <c r="L112" s="22">
        <v>19.481999588012705</v>
      </c>
      <c r="M112" s="22">
        <v>20.419499588012705</v>
      </c>
      <c r="O112" s="22">
        <v>13.854000473022463</v>
      </c>
      <c r="P112" s="22">
        <v>17.154000473022464</v>
      </c>
      <c r="Q112" s="22">
        <v>20.454000473022464</v>
      </c>
      <c r="S112" s="22">
        <v>0</v>
      </c>
      <c r="T112" s="22">
        <v>0</v>
      </c>
      <c r="U112" s="22">
        <v>0</v>
      </c>
      <c r="W112" s="22">
        <v>4.742411452415999E-2</v>
      </c>
      <c r="X112" s="42">
        <v>9.4848229048319979E-2</v>
      </c>
      <c r="Y112" s="22">
        <v>0.14227234357247998</v>
      </c>
      <c r="AA112" s="22">
        <v>2.5000000000000001E-3</v>
      </c>
      <c r="AB112" s="22">
        <v>5.0000000000000001E-3</v>
      </c>
      <c r="AC112" s="22">
        <v>7.4999999999999997E-3</v>
      </c>
      <c r="AE112" s="22">
        <v>-0.25</v>
      </c>
      <c r="AF112" s="42">
        <v>1.5</v>
      </c>
      <c r="AG112" s="22">
        <v>0.25</v>
      </c>
      <c r="AI112" s="22">
        <v>-0.1</v>
      </c>
      <c r="AJ112" s="22">
        <v>0.3</v>
      </c>
      <c r="AK112" s="22">
        <v>0.1</v>
      </c>
      <c r="AM112" s="6">
        <v>36</v>
      </c>
      <c r="AN112" s="23">
        <v>0.4</v>
      </c>
      <c r="BE112" s="7">
        <v>39722</v>
      </c>
      <c r="BF112" s="25">
        <v>0.9</v>
      </c>
    </row>
    <row r="113" spans="1:58">
      <c r="A113" s="19">
        <v>38869</v>
      </c>
      <c r="B113" s="20">
        <v>52.50999847412109</v>
      </c>
      <c r="C113" s="432">
        <v>57.349998474121094</v>
      </c>
      <c r="D113" s="20">
        <v>62.689998474121097</v>
      </c>
      <c r="E113" s="13"/>
      <c r="F113" s="21">
        <v>14.755001220703123</v>
      </c>
      <c r="G113" s="21">
        <v>17.175001220703123</v>
      </c>
      <c r="H113" s="21">
        <v>19.595001220703125</v>
      </c>
      <c r="I113" s="6"/>
      <c r="J113" s="7">
        <v>39753</v>
      </c>
      <c r="K113" s="22">
        <v>18.006249618530283</v>
      </c>
      <c r="L113" s="22">
        <v>18.943749618530283</v>
      </c>
      <c r="M113" s="22">
        <v>19.881249618530283</v>
      </c>
      <c r="O113" s="22">
        <v>14.375000381469732</v>
      </c>
      <c r="P113" s="22">
        <v>17.675000381469733</v>
      </c>
      <c r="Q113" s="22">
        <v>20.975000381469734</v>
      </c>
      <c r="S113" s="22">
        <v>0</v>
      </c>
      <c r="T113" s="22">
        <v>0</v>
      </c>
      <c r="U113" s="22">
        <v>0</v>
      </c>
      <c r="W113" s="22">
        <v>4.742411452415999E-2</v>
      </c>
      <c r="X113" s="42">
        <v>9.4848229048319979E-2</v>
      </c>
      <c r="Y113" s="22">
        <v>0.14227234357247998</v>
      </c>
      <c r="AA113" s="22">
        <v>2.5000000000000001E-3</v>
      </c>
      <c r="AB113" s="22">
        <v>5.0000000000000001E-3</v>
      </c>
      <c r="AC113" s="22">
        <v>7.4999999999999997E-3</v>
      </c>
      <c r="AE113" s="22">
        <v>-0.25</v>
      </c>
      <c r="AF113" s="42">
        <v>1.5</v>
      </c>
      <c r="AG113" s="22">
        <v>0.25</v>
      </c>
      <c r="AI113" s="22">
        <v>-0.1</v>
      </c>
      <c r="AJ113" s="22">
        <v>0.3</v>
      </c>
      <c r="AK113" s="22">
        <v>0.1</v>
      </c>
      <c r="AM113" s="6">
        <v>36</v>
      </c>
      <c r="AN113" s="23">
        <v>0.4</v>
      </c>
      <c r="BE113" s="7">
        <v>39753</v>
      </c>
      <c r="BF113" s="25">
        <v>0.9</v>
      </c>
    </row>
    <row r="114" spans="1:58">
      <c r="A114" s="19">
        <v>38899</v>
      </c>
      <c r="B114" s="20">
        <v>93.949996948242188</v>
      </c>
      <c r="C114" s="432">
        <v>97.949996948242188</v>
      </c>
      <c r="D114" s="20">
        <v>102.44999694824219</v>
      </c>
      <c r="E114" s="13"/>
      <c r="F114" s="21">
        <v>14.864999847412108</v>
      </c>
      <c r="G114" s="21">
        <v>16.864999847412108</v>
      </c>
      <c r="H114" s="21">
        <v>18.864999847412108</v>
      </c>
      <c r="I114" s="6"/>
      <c r="J114" s="7">
        <v>39783</v>
      </c>
      <c r="K114" s="22">
        <v>22.151250076293955</v>
      </c>
      <c r="L114" s="22">
        <v>23.088750076293955</v>
      </c>
      <c r="M114" s="22">
        <v>24.026250076293955</v>
      </c>
      <c r="O114" s="22">
        <v>14.825000190734873</v>
      </c>
      <c r="P114" s="22">
        <v>18.125000190734873</v>
      </c>
      <c r="Q114" s="22">
        <v>21.425000190734874</v>
      </c>
      <c r="S114" s="22">
        <v>0</v>
      </c>
      <c r="T114" s="22">
        <v>0</v>
      </c>
      <c r="U114" s="22">
        <v>0</v>
      </c>
      <c r="W114" s="22">
        <v>4.742411452415999E-2</v>
      </c>
      <c r="X114" s="42">
        <v>9.4848229048319979E-2</v>
      </c>
      <c r="Y114" s="22">
        <v>0.14227234357247998</v>
      </c>
      <c r="AA114" s="22">
        <v>2.5000000000000001E-3</v>
      </c>
      <c r="AB114" s="22">
        <v>5.0000000000000001E-3</v>
      </c>
      <c r="AC114" s="22">
        <v>7.4999999999999997E-3</v>
      </c>
      <c r="AE114" s="22">
        <v>-0.25</v>
      </c>
      <c r="AF114" s="42">
        <v>1.5</v>
      </c>
      <c r="AG114" s="22">
        <v>0.25</v>
      </c>
      <c r="AI114" s="22">
        <v>-0.1</v>
      </c>
      <c r="AJ114" s="22">
        <v>0.3</v>
      </c>
      <c r="AK114" s="22">
        <v>0.1</v>
      </c>
      <c r="AM114" s="6">
        <v>36</v>
      </c>
      <c r="AN114" s="23">
        <v>0.4</v>
      </c>
      <c r="BE114" s="7">
        <v>39783</v>
      </c>
      <c r="BF114" s="25">
        <v>0.9</v>
      </c>
    </row>
    <row r="115" spans="1:58">
      <c r="A115" s="19">
        <v>38930</v>
      </c>
      <c r="B115" s="20">
        <v>80.949996948242188</v>
      </c>
      <c r="C115" s="432">
        <v>84.949996948242188</v>
      </c>
      <c r="D115" s="20">
        <v>89.449996948242188</v>
      </c>
      <c r="E115" s="13"/>
      <c r="F115" s="21">
        <v>14.914999084472655</v>
      </c>
      <c r="G115" s="21">
        <v>16.914999084472655</v>
      </c>
      <c r="H115" s="21">
        <v>18.914999084472655</v>
      </c>
      <c r="I115" s="6"/>
      <c r="J115" s="7">
        <v>39814</v>
      </c>
      <c r="K115" s="22">
        <v>32.248748779296875</v>
      </c>
      <c r="L115" s="22">
        <v>33.498748779296875</v>
      </c>
      <c r="M115" s="22">
        <v>34.548748779296872</v>
      </c>
      <c r="O115" s="22">
        <v>28.702500534057616</v>
      </c>
      <c r="P115" s="22">
        <v>32.002500534057617</v>
      </c>
      <c r="Q115" s="22">
        <v>35.302500534057614</v>
      </c>
      <c r="S115" s="22">
        <v>0</v>
      </c>
      <c r="T115" s="22">
        <v>0</v>
      </c>
      <c r="U115" s="22">
        <v>0</v>
      </c>
      <c r="W115" s="22">
        <v>7.2843439909109742E-2</v>
      </c>
      <c r="X115" s="42">
        <v>0.14568687981821948</v>
      </c>
      <c r="Y115" s="22">
        <v>0.21853031972732923</v>
      </c>
      <c r="AA115" s="22">
        <v>2.5000000000000001E-3</v>
      </c>
      <c r="AB115" s="22">
        <v>5.0000000000000001E-3</v>
      </c>
      <c r="AC115" s="22">
        <v>7.4999999999999997E-3</v>
      </c>
      <c r="AE115" s="22">
        <v>-0.4</v>
      </c>
      <c r="AF115" s="42">
        <v>1.75</v>
      </c>
      <c r="AG115" s="22">
        <v>0.5</v>
      </c>
      <c r="AI115" s="22">
        <v>-0.1</v>
      </c>
      <c r="AJ115" s="22">
        <v>0.3</v>
      </c>
      <c r="AK115" s="22">
        <v>0.1</v>
      </c>
      <c r="AM115" s="6">
        <v>37</v>
      </c>
      <c r="AN115" s="23">
        <v>0.4</v>
      </c>
      <c r="BE115" s="7">
        <v>39814</v>
      </c>
      <c r="BF115" s="25">
        <v>0.9</v>
      </c>
    </row>
    <row r="116" spans="1:58">
      <c r="A116" s="19">
        <v>38961</v>
      </c>
      <c r="B116" s="20">
        <v>33.224998474121094</v>
      </c>
      <c r="C116" s="432">
        <v>34.424998474121097</v>
      </c>
      <c r="D116" s="20">
        <v>36.124998474121099</v>
      </c>
      <c r="E116" s="13"/>
      <c r="F116" s="21">
        <v>16.314999084472653</v>
      </c>
      <c r="G116" s="21">
        <v>16.914999084472655</v>
      </c>
      <c r="H116" s="21">
        <v>17.514999084472656</v>
      </c>
      <c r="I116" s="6"/>
      <c r="J116" s="7">
        <v>39845</v>
      </c>
      <c r="K116" s="22">
        <v>31.246250152587891</v>
      </c>
      <c r="L116" s="22">
        <v>32.496250152587891</v>
      </c>
      <c r="M116" s="22">
        <v>33.546250152587888</v>
      </c>
      <c r="O116" s="22">
        <v>26.697499465942382</v>
      </c>
      <c r="P116" s="22">
        <v>29.997499465942383</v>
      </c>
      <c r="Q116" s="22">
        <v>33.29749946594238</v>
      </c>
      <c r="S116" s="22">
        <v>0</v>
      </c>
      <c r="T116" s="22">
        <v>0</v>
      </c>
      <c r="U116" s="22">
        <v>0</v>
      </c>
      <c r="W116" s="22">
        <v>7.2843439909109742E-2</v>
      </c>
      <c r="X116" s="42">
        <v>0.14568687981821948</v>
      </c>
      <c r="Y116" s="22">
        <v>0.21853031972732923</v>
      </c>
      <c r="AA116" s="22">
        <v>2.5000000000000001E-3</v>
      </c>
      <c r="AB116" s="22">
        <v>5.0000000000000001E-3</v>
      </c>
      <c r="AC116" s="22">
        <v>7.4999999999999997E-3</v>
      </c>
      <c r="AE116" s="22">
        <v>-0.4</v>
      </c>
      <c r="AF116" s="42">
        <v>1.75</v>
      </c>
      <c r="AG116" s="22">
        <v>0.5</v>
      </c>
      <c r="AI116" s="22">
        <v>-0.1</v>
      </c>
      <c r="AJ116" s="22">
        <v>0.3</v>
      </c>
      <c r="AK116" s="22">
        <v>0.1</v>
      </c>
      <c r="AM116" s="6">
        <v>37</v>
      </c>
      <c r="AN116" s="23">
        <v>0.4</v>
      </c>
      <c r="BE116" s="7">
        <v>39845</v>
      </c>
      <c r="BF116" s="25">
        <v>0.9</v>
      </c>
    </row>
    <row r="117" spans="1:58">
      <c r="A117" s="19">
        <v>38991</v>
      </c>
      <c r="B117" s="20">
        <v>27.025000381469727</v>
      </c>
      <c r="C117" s="432">
        <v>28.075000381469728</v>
      </c>
      <c r="D117" s="20">
        <v>29.625000381469729</v>
      </c>
      <c r="E117" s="13"/>
      <c r="F117" s="21">
        <v>16.089999847412109</v>
      </c>
      <c r="G117" s="21">
        <v>16.614999847412108</v>
      </c>
      <c r="H117" s="21">
        <v>17.139999847412106</v>
      </c>
      <c r="I117" s="6"/>
      <c r="J117" s="7">
        <v>39873</v>
      </c>
      <c r="K117" s="22">
        <v>20.884749603271494</v>
      </c>
      <c r="L117" s="22">
        <v>21.484749603271496</v>
      </c>
      <c r="M117" s="22">
        <v>22.084749603271497</v>
      </c>
      <c r="O117" s="22">
        <v>17.814498901367198</v>
      </c>
      <c r="P117" s="22">
        <v>21.114498901367199</v>
      </c>
      <c r="Q117" s="22">
        <v>24.4144989013672</v>
      </c>
      <c r="S117" s="22">
        <v>0</v>
      </c>
      <c r="T117" s="22">
        <v>0</v>
      </c>
      <c r="U117" s="22">
        <v>0</v>
      </c>
      <c r="W117" s="22">
        <v>6.0702866590924782E-2</v>
      </c>
      <c r="X117" s="42">
        <v>0.12140573318184956</v>
      </c>
      <c r="Y117" s="22">
        <v>0.18210859977277435</v>
      </c>
      <c r="AA117" s="22">
        <v>2.5000000000000001E-3</v>
      </c>
      <c r="AB117" s="22">
        <v>5.0000000000000001E-3</v>
      </c>
      <c r="AC117" s="22">
        <v>7.4999999999999997E-3</v>
      </c>
      <c r="AE117" s="22">
        <v>-0.25</v>
      </c>
      <c r="AF117" s="42">
        <v>1.1000000000000001</v>
      </c>
      <c r="AG117" s="22">
        <v>0.25</v>
      </c>
      <c r="AI117" s="22">
        <v>-0.1</v>
      </c>
      <c r="AJ117" s="22">
        <v>0.3</v>
      </c>
      <c r="AK117" s="22">
        <v>0.1</v>
      </c>
      <c r="AM117" s="6">
        <v>37</v>
      </c>
      <c r="AN117" s="23">
        <v>0.4</v>
      </c>
      <c r="BE117" s="7">
        <v>39873</v>
      </c>
      <c r="BF117" s="25">
        <v>0.9</v>
      </c>
    </row>
    <row r="118" spans="1:58">
      <c r="A118" s="19">
        <v>39022</v>
      </c>
      <c r="B118" s="20">
        <v>26.697499084472657</v>
      </c>
      <c r="C118" s="432">
        <v>27.747499084472658</v>
      </c>
      <c r="D118" s="20">
        <v>29.297499084472658</v>
      </c>
      <c r="E118" s="13"/>
      <c r="F118" s="21">
        <v>14.339999847412109</v>
      </c>
      <c r="G118" s="21">
        <v>14.864999847412109</v>
      </c>
      <c r="H118" s="21">
        <v>15.38999984741211</v>
      </c>
      <c r="I118" s="6"/>
      <c r="J118" s="7">
        <v>39904</v>
      </c>
      <c r="K118" s="22">
        <v>21.680000305175792</v>
      </c>
      <c r="L118" s="22">
        <v>22.167500305175793</v>
      </c>
      <c r="M118" s="22">
        <v>22.655000305175793</v>
      </c>
      <c r="O118" s="22">
        <v>17.584999084472667</v>
      </c>
      <c r="P118" s="22">
        <v>20.884999084472668</v>
      </c>
      <c r="Q118" s="22">
        <v>24.184999084472668</v>
      </c>
      <c r="S118" s="22">
        <v>0</v>
      </c>
      <c r="T118" s="22">
        <v>0</v>
      </c>
      <c r="U118" s="22">
        <v>0</v>
      </c>
      <c r="W118" s="22">
        <v>5.7667723261378548E-2</v>
      </c>
      <c r="X118" s="42">
        <v>0.1153354465227571</v>
      </c>
      <c r="Y118" s="22">
        <v>0.17300316978413566</v>
      </c>
      <c r="AA118" s="22">
        <v>2.5000000000000001E-3</v>
      </c>
      <c r="AB118" s="22">
        <v>5.0000000000000001E-3</v>
      </c>
      <c r="AC118" s="22">
        <v>7.4999999999999997E-3</v>
      </c>
      <c r="AE118" s="22">
        <v>-0.25</v>
      </c>
      <c r="AF118" s="42">
        <v>1.2</v>
      </c>
      <c r="AG118" s="22">
        <v>0.25</v>
      </c>
      <c r="AI118" s="22">
        <v>-0.1</v>
      </c>
      <c r="AJ118" s="22">
        <v>0.3</v>
      </c>
      <c r="AK118" s="22">
        <v>0.1</v>
      </c>
      <c r="AM118" s="6">
        <v>38</v>
      </c>
      <c r="AN118" s="23">
        <v>0.4</v>
      </c>
      <c r="BE118" s="7">
        <v>39904</v>
      </c>
      <c r="BF118" s="25">
        <v>0.9</v>
      </c>
    </row>
    <row r="119" spans="1:58">
      <c r="A119" s="19">
        <v>39052</v>
      </c>
      <c r="B119" s="20">
        <v>28.449999618530274</v>
      </c>
      <c r="C119" s="432">
        <v>29.499999618530275</v>
      </c>
      <c r="D119" s="20">
        <v>31.049999618530276</v>
      </c>
      <c r="E119" s="13"/>
      <c r="F119" s="21">
        <v>15.190000228881836</v>
      </c>
      <c r="G119" s="21">
        <v>15.715000228881836</v>
      </c>
      <c r="H119" s="21">
        <v>16.240000228881836</v>
      </c>
      <c r="I119" s="6"/>
      <c r="J119" s="7">
        <v>39934</v>
      </c>
      <c r="K119" s="22">
        <v>20.595000076293957</v>
      </c>
      <c r="L119" s="22">
        <v>22.282500076293957</v>
      </c>
      <c r="M119" s="22">
        <v>23.970000076293957</v>
      </c>
      <c r="O119" s="22">
        <v>18.114999771118175</v>
      </c>
      <c r="P119" s="22">
        <v>21.414999771118175</v>
      </c>
      <c r="Q119" s="22">
        <v>24.714999771118176</v>
      </c>
      <c r="S119" s="22">
        <v>0</v>
      </c>
      <c r="T119" s="22">
        <v>0</v>
      </c>
      <c r="U119" s="22">
        <v>0</v>
      </c>
      <c r="W119" s="22">
        <v>6.3738009920471017E-2</v>
      </c>
      <c r="X119" s="42">
        <v>0.12747601984094203</v>
      </c>
      <c r="Y119" s="22">
        <v>0.19121402976141305</v>
      </c>
      <c r="AA119" s="22">
        <v>2.5000000000000001E-3</v>
      </c>
      <c r="AB119" s="22">
        <v>5.0000000000000001E-3</v>
      </c>
      <c r="AC119" s="22">
        <v>7.4999999999999997E-3</v>
      </c>
      <c r="AE119" s="22">
        <v>-0.25</v>
      </c>
      <c r="AF119" s="42">
        <v>2</v>
      </c>
      <c r="AG119" s="22">
        <v>0.25</v>
      </c>
      <c r="AI119" s="22">
        <v>-0.1</v>
      </c>
      <c r="AJ119" s="22">
        <v>0.3</v>
      </c>
      <c r="AK119" s="22">
        <v>0.1</v>
      </c>
      <c r="AM119" s="6">
        <v>38</v>
      </c>
      <c r="AN119" s="23">
        <v>0.4</v>
      </c>
      <c r="BE119" s="7">
        <v>39934</v>
      </c>
      <c r="BF119" s="25">
        <v>0.9</v>
      </c>
    </row>
    <row r="120" spans="1:58">
      <c r="A120" s="19">
        <v>39083</v>
      </c>
      <c r="B120" s="20">
        <v>37.124998474121085</v>
      </c>
      <c r="C120" s="432">
        <v>38.324998474121088</v>
      </c>
      <c r="D120" s="20">
        <v>40.024998474121091</v>
      </c>
      <c r="E120" s="13"/>
      <c r="F120" s="21">
        <v>19.664997558593747</v>
      </c>
      <c r="G120" s="21">
        <v>20.264997558593748</v>
      </c>
      <c r="H120" s="21">
        <v>20.86499755859375</v>
      </c>
      <c r="I120" s="6"/>
      <c r="J120" s="7">
        <v>39965</v>
      </c>
      <c r="K120" s="22">
        <v>22.013750152587903</v>
      </c>
      <c r="L120" s="22">
        <v>26.858750152587902</v>
      </c>
      <c r="M120" s="22">
        <v>31.703750152587901</v>
      </c>
      <c r="O120" s="22">
        <v>17.042499542236339</v>
      </c>
      <c r="P120" s="22">
        <v>20.342499542236339</v>
      </c>
      <c r="Q120" s="22">
        <v>23.64249954223634</v>
      </c>
      <c r="S120" s="22">
        <v>0</v>
      </c>
      <c r="T120" s="22">
        <v>0</v>
      </c>
      <c r="U120" s="22">
        <v>0</v>
      </c>
      <c r="W120" s="22">
        <v>8.1948869897748453E-2</v>
      </c>
      <c r="X120" s="42">
        <v>0.16389773979549691</v>
      </c>
      <c r="Y120" s="22">
        <v>0.24584660969324534</v>
      </c>
      <c r="AA120" s="22">
        <v>2.5000000000000001E-3</v>
      </c>
      <c r="AB120" s="22">
        <v>5.0000000000000001E-3</v>
      </c>
      <c r="AC120" s="22">
        <v>7.4999999999999997E-3</v>
      </c>
      <c r="AE120" s="22">
        <v>-0.75</v>
      </c>
      <c r="AF120" s="42">
        <v>2.25</v>
      </c>
      <c r="AG120" s="22">
        <v>0.75</v>
      </c>
      <c r="AI120" s="22">
        <v>-0.1</v>
      </c>
      <c r="AJ120" s="22">
        <v>0.3</v>
      </c>
      <c r="AK120" s="22">
        <v>0.1</v>
      </c>
      <c r="AM120" s="6">
        <v>38</v>
      </c>
      <c r="AN120" s="23">
        <v>0.4</v>
      </c>
      <c r="BE120" s="7">
        <v>39965</v>
      </c>
      <c r="BF120" s="25">
        <v>0.9</v>
      </c>
    </row>
    <row r="121" spans="1:58">
      <c r="A121" s="19">
        <v>39114</v>
      </c>
      <c r="B121" s="20">
        <v>37.124998474121085</v>
      </c>
      <c r="C121" s="432">
        <v>38.324998474121088</v>
      </c>
      <c r="D121" s="20">
        <v>40.024998474121091</v>
      </c>
      <c r="E121" s="13"/>
      <c r="F121" s="21">
        <v>19.81499717712402</v>
      </c>
      <c r="G121" s="21">
        <v>20.414997177124022</v>
      </c>
      <c r="H121" s="21">
        <v>21.014997177124023</v>
      </c>
      <c r="I121" s="6"/>
      <c r="J121" s="7">
        <v>39995</v>
      </c>
      <c r="K121" s="22">
        <v>37.561249542236339</v>
      </c>
      <c r="L121" s="22">
        <v>41.311249542236339</v>
      </c>
      <c r="M121" s="22">
        <v>45.061249542236339</v>
      </c>
      <c r="O121" s="22">
        <v>27.497499465942393</v>
      </c>
      <c r="P121" s="22">
        <v>30.797499465942394</v>
      </c>
      <c r="Q121" s="22">
        <v>34.097499465942391</v>
      </c>
      <c r="S121" s="22">
        <v>0</v>
      </c>
      <c r="T121" s="22">
        <v>0</v>
      </c>
      <c r="U121" s="22">
        <v>0</v>
      </c>
      <c r="W121" s="22">
        <v>0.10015972987502589</v>
      </c>
      <c r="X121" s="42">
        <v>0.20031945975005178</v>
      </c>
      <c r="Y121" s="22">
        <v>0.30047918962507769</v>
      </c>
      <c r="AA121" s="22">
        <v>2.5000000000000001E-3</v>
      </c>
      <c r="AB121" s="22">
        <v>5.0000000000000001E-3</v>
      </c>
      <c r="AC121" s="22">
        <v>7.4999999999999997E-3</v>
      </c>
      <c r="AE121" s="22">
        <v>-1</v>
      </c>
      <c r="AF121" s="42">
        <v>3</v>
      </c>
      <c r="AG121" s="22">
        <v>1</v>
      </c>
      <c r="AI121" s="22">
        <v>-0.1</v>
      </c>
      <c r="AJ121" s="22">
        <v>0.3</v>
      </c>
      <c r="AK121" s="22">
        <v>0.1</v>
      </c>
      <c r="AM121" s="6">
        <v>39</v>
      </c>
      <c r="AN121" s="23">
        <v>0.4</v>
      </c>
      <c r="BE121" s="7">
        <v>39995</v>
      </c>
      <c r="BF121" s="25">
        <v>0.9</v>
      </c>
    </row>
    <row r="122" spans="1:58">
      <c r="A122" s="19">
        <v>39142</v>
      </c>
      <c r="B122" s="20">
        <v>27.350000762939455</v>
      </c>
      <c r="C122" s="432">
        <v>28.050000762939455</v>
      </c>
      <c r="D122" s="20">
        <v>29.250000762939454</v>
      </c>
      <c r="E122" s="13"/>
      <c r="F122" s="21">
        <v>17.314999084472653</v>
      </c>
      <c r="G122" s="21">
        <v>17.664999084472655</v>
      </c>
      <c r="H122" s="21">
        <v>18.014999084472656</v>
      </c>
      <c r="I122" s="6"/>
      <c r="J122" s="7">
        <v>40026</v>
      </c>
      <c r="K122" s="22">
        <v>39.822499084472668</v>
      </c>
      <c r="L122" s="22">
        <v>43.572499084472668</v>
      </c>
      <c r="M122" s="22">
        <v>47.322499084472668</v>
      </c>
      <c r="O122" s="22">
        <v>28.995000839233409</v>
      </c>
      <c r="P122" s="22">
        <v>32.29500083923341</v>
      </c>
      <c r="Q122" s="22">
        <v>35.595000839233407</v>
      </c>
      <c r="S122" s="22">
        <v>0</v>
      </c>
      <c r="T122" s="22">
        <v>0</v>
      </c>
      <c r="U122" s="22">
        <v>0</v>
      </c>
      <c r="W122" s="22">
        <v>0.10015972987502589</v>
      </c>
      <c r="X122" s="42">
        <v>0.20031945975005178</v>
      </c>
      <c r="Y122" s="22">
        <v>0.30047918962507769</v>
      </c>
      <c r="AA122" s="22">
        <v>2.5000000000000001E-3</v>
      </c>
      <c r="AB122" s="22">
        <v>5.0000000000000001E-3</v>
      </c>
      <c r="AC122" s="22">
        <v>7.4999999999999997E-3</v>
      </c>
      <c r="AE122" s="22">
        <v>-1</v>
      </c>
      <c r="AF122" s="42">
        <v>3</v>
      </c>
      <c r="AG122" s="22">
        <v>1</v>
      </c>
      <c r="AI122" s="22">
        <v>-0.1</v>
      </c>
      <c r="AJ122" s="22">
        <v>0.3</v>
      </c>
      <c r="AK122" s="22">
        <v>0.1</v>
      </c>
      <c r="AM122" s="6">
        <v>39</v>
      </c>
      <c r="AN122" s="23">
        <v>0.4</v>
      </c>
      <c r="BE122" s="7">
        <v>40026</v>
      </c>
      <c r="BF122" s="25">
        <v>0.9</v>
      </c>
    </row>
    <row r="123" spans="1:58">
      <c r="A123" s="19">
        <v>39173</v>
      </c>
      <c r="B123" s="20">
        <v>27.275000762939452</v>
      </c>
      <c r="C123" s="432">
        <v>27.825000762939453</v>
      </c>
      <c r="D123" s="20">
        <v>28.875000762939454</v>
      </c>
      <c r="E123" s="13"/>
      <c r="F123" s="21">
        <v>17.639999084472656</v>
      </c>
      <c r="G123" s="21">
        <v>17.914999084472655</v>
      </c>
      <c r="H123" s="21">
        <v>18.189999084472653</v>
      </c>
      <c r="I123" s="6"/>
      <c r="J123" s="7">
        <v>40057</v>
      </c>
      <c r="K123" s="22">
        <v>19.654999542236339</v>
      </c>
      <c r="L123" s="22">
        <v>20.779999542236339</v>
      </c>
      <c r="M123" s="22">
        <v>21.904999542236339</v>
      </c>
      <c r="O123" s="22">
        <v>14.060000419616703</v>
      </c>
      <c r="P123" s="22">
        <v>17.360000419616703</v>
      </c>
      <c r="Q123" s="22">
        <v>20.660000419616704</v>
      </c>
      <c r="S123" s="22">
        <v>0</v>
      </c>
      <c r="T123" s="22">
        <v>0</v>
      </c>
      <c r="U123" s="22">
        <v>0</v>
      </c>
      <c r="W123" s="22">
        <v>6.438182820249598E-2</v>
      </c>
      <c r="X123" s="42">
        <v>0.12876365640499196</v>
      </c>
      <c r="Y123" s="22">
        <v>0.19314548460748793</v>
      </c>
      <c r="AA123" s="22">
        <v>2.5000000000000001E-3</v>
      </c>
      <c r="AB123" s="22">
        <v>5.0000000000000001E-3</v>
      </c>
      <c r="AC123" s="22">
        <v>7.4999999999999997E-3</v>
      </c>
      <c r="AE123" s="22">
        <v>-0.4</v>
      </c>
      <c r="AF123" s="42">
        <v>1.75</v>
      </c>
      <c r="AG123" s="22">
        <v>0.5</v>
      </c>
      <c r="AI123" s="22">
        <v>-0.1</v>
      </c>
      <c r="AJ123" s="22">
        <v>0.3</v>
      </c>
      <c r="AK123" s="22">
        <v>0.1</v>
      </c>
      <c r="AM123" s="6">
        <v>39</v>
      </c>
      <c r="AN123" s="23">
        <v>0.4</v>
      </c>
      <c r="BE123" s="7">
        <v>40057</v>
      </c>
      <c r="BF123" s="25">
        <v>0.9</v>
      </c>
    </row>
    <row r="124" spans="1:58">
      <c r="A124" s="19">
        <v>39203</v>
      </c>
      <c r="B124" s="20">
        <v>31.725000000000001</v>
      </c>
      <c r="C124" s="432">
        <v>33.575000000000003</v>
      </c>
      <c r="D124" s="20">
        <v>35.924999999999997</v>
      </c>
      <c r="E124" s="13"/>
      <c r="F124" s="21">
        <v>16.439999847412107</v>
      </c>
      <c r="G124" s="21">
        <v>17.364999847412108</v>
      </c>
      <c r="H124" s="21">
        <v>18.289999847412108</v>
      </c>
      <c r="I124" s="6"/>
      <c r="J124" s="7">
        <v>40087</v>
      </c>
      <c r="K124" s="22">
        <v>18.819499588012707</v>
      </c>
      <c r="L124" s="22">
        <v>19.831999588012707</v>
      </c>
      <c r="M124" s="22">
        <v>20.844499588012706</v>
      </c>
      <c r="O124" s="22">
        <v>14.204000473022464</v>
      </c>
      <c r="P124" s="22">
        <v>17.504000473022465</v>
      </c>
      <c r="Q124" s="22">
        <v>20.804000473022466</v>
      </c>
      <c r="S124" s="22">
        <v>0</v>
      </c>
      <c r="T124" s="22">
        <v>0</v>
      </c>
      <c r="U124" s="22">
        <v>0</v>
      </c>
      <c r="W124" s="22">
        <v>4.5527149943193589E-2</v>
      </c>
      <c r="X124" s="42">
        <v>9.1054299886387177E-2</v>
      </c>
      <c r="Y124" s="22">
        <v>0.13658144982958076</v>
      </c>
      <c r="AA124" s="22">
        <v>2.5000000000000001E-3</v>
      </c>
      <c r="AB124" s="22">
        <v>5.0000000000000001E-3</v>
      </c>
      <c r="AC124" s="22">
        <v>7.4999999999999997E-3</v>
      </c>
      <c r="AE124" s="22">
        <v>-0.25</v>
      </c>
      <c r="AF124" s="42">
        <v>1.5</v>
      </c>
      <c r="AG124" s="22">
        <v>0.25</v>
      </c>
      <c r="AI124" s="22">
        <v>-0.1</v>
      </c>
      <c r="AJ124" s="22">
        <v>0.3</v>
      </c>
      <c r="AK124" s="22">
        <v>0.1</v>
      </c>
      <c r="AM124" s="6">
        <v>40</v>
      </c>
      <c r="AN124" s="23">
        <v>0.4</v>
      </c>
      <c r="BE124" s="7">
        <v>40087</v>
      </c>
      <c r="BF124" s="25">
        <v>0.9</v>
      </c>
    </row>
    <row r="125" spans="1:58">
      <c r="A125" s="19">
        <v>39234</v>
      </c>
      <c r="B125" s="20">
        <v>53.269998474121095</v>
      </c>
      <c r="C125" s="432">
        <v>58.599998474121094</v>
      </c>
      <c r="D125" s="20">
        <v>64.429998474121092</v>
      </c>
      <c r="E125" s="13"/>
      <c r="F125" s="21">
        <v>14.760001220703124</v>
      </c>
      <c r="G125" s="21">
        <v>17.425001220703123</v>
      </c>
      <c r="H125" s="21">
        <v>20.090001220703122</v>
      </c>
      <c r="I125" s="6"/>
      <c r="J125" s="7">
        <v>40118</v>
      </c>
      <c r="K125" s="22">
        <v>18.281249618530286</v>
      </c>
      <c r="L125" s="22">
        <v>19.293749618530285</v>
      </c>
      <c r="M125" s="22">
        <v>20.306249618530284</v>
      </c>
      <c r="O125" s="22">
        <v>14.725000381469734</v>
      </c>
      <c r="P125" s="22">
        <v>18.025000381469734</v>
      </c>
      <c r="Q125" s="22">
        <v>21.325000381469735</v>
      </c>
      <c r="S125" s="22">
        <v>0</v>
      </c>
      <c r="T125" s="22">
        <v>0</v>
      </c>
      <c r="U125" s="22">
        <v>0</v>
      </c>
      <c r="W125" s="22">
        <v>4.5527149943193589E-2</v>
      </c>
      <c r="X125" s="42">
        <v>9.1054299886387177E-2</v>
      </c>
      <c r="Y125" s="22">
        <v>0.13658144982958076</v>
      </c>
      <c r="AA125" s="22">
        <v>2.5000000000000001E-3</v>
      </c>
      <c r="AB125" s="22">
        <v>5.0000000000000001E-3</v>
      </c>
      <c r="AC125" s="22">
        <v>7.4999999999999997E-3</v>
      </c>
      <c r="AE125" s="22">
        <v>-0.25</v>
      </c>
      <c r="AF125" s="42">
        <v>1.5</v>
      </c>
      <c r="AG125" s="22">
        <v>0.25</v>
      </c>
      <c r="AI125" s="22">
        <v>-0.1</v>
      </c>
      <c r="AJ125" s="22">
        <v>0.3</v>
      </c>
      <c r="AK125" s="22">
        <v>0.1</v>
      </c>
      <c r="AM125" s="6">
        <v>40</v>
      </c>
      <c r="AN125" s="23">
        <v>0.4</v>
      </c>
      <c r="BE125" s="7">
        <v>40118</v>
      </c>
      <c r="BF125" s="25">
        <v>0.9</v>
      </c>
    </row>
    <row r="126" spans="1:58">
      <c r="A126" s="19">
        <v>39264</v>
      </c>
      <c r="B126" s="20">
        <v>95.199996948242188</v>
      </c>
      <c r="C126" s="432">
        <v>100.19999694824219</v>
      </c>
      <c r="D126" s="20">
        <v>105.69999694824219</v>
      </c>
      <c r="E126" s="13"/>
      <c r="F126" s="21">
        <v>14.614999847412108</v>
      </c>
      <c r="G126" s="21">
        <v>17.114999847412108</v>
      </c>
      <c r="H126" s="21">
        <v>19.614999847412108</v>
      </c>
      <c r="I126" s="6"/>
      <c r="J126" s="7">
        <v>40148</v>
      </c>
      <c r="K126" s="22">
        <v>22.426250076293957</v>
      </c>
      <c r="L126" s="22">
        <v>23.438750076293957</v>
      </c>
      <c r="M126" s="22">
        <v>24.451250076293956</v>
      </c>
      <c r="O126" s="22">
        <v>15.175000190734874</v>
      </c>
      <c r="P126" s="22">
        <v>18.475000190734875</v>
      </c>
      <c r="Q126" s="22">
        <v>21.775000190734875</v>
      </c>
      <c r="S126" s="22">
        <v>0</v>
      </c>
      <c r="T126" s="22">
        <v>0</v>
      </c>
      <c r="U126" s="22">
        <v>0</v>
      </c>
      <c r="W126" s="22">
        <v>4.5527149943193589E-2</v>
      </c>
      <c r="X126" s="42">
        <v>9.1054299886387177E-2</v>
      </c>
      <c r="Y126" s="22">
        <v>0.13658144982958076</v>
      </c>
      <c r="AA126" s="22">
        <v>2.5000000000000001E-3</v>
      </c>
      <c r="AB126" s="22">
        <v>5.0000000000000001E-3</v>
      </c>
      <c r="AC126" s="22">
        <v>7.4999999999999997E-3</v>
      </c>
      <c r="AE126" s="22">
        <v>-0.25</v>
      </c>
      <c r="AF126" s="42">
        <v>1.5</v>
      </c>
      <c r="AG126" s="22">
        <v>0.25</v>
      </c>
      <c r="AI126" s="22">
        <v>-0.1</v>
      </c>
      <c r="AJ126" s="22">
        <v>0.3</v>
      </c>
      <c r="AK126" s="22">
        <v>0.1</v>
      </c>
      <c r="AM126" s="6">
        <v>40</v>
      </c>
      <c r="AN126" s="23">
        <v>0.4</v>
      </c>
      <c r="BE126" s="7">
        <v>40148</v>
      </c>
      <c r="BF126" s="25">
        <v>0.9</v>
      </c>
    </row>
    <row r="127" spans="1:58">
      <c r="A127" s="19">
        <v>39295</v>
      </c>
      <c r="B127" s="20">
        <v>82.199996948242188</v>
      </c>
      <c r="C127" s="432">
        <v>87.199996948242188</v>
      </c>
      <c r="D127" s="20">
        <v>92.699996948242188</v>
      </c>
      <c r="E127" s="13"/>
      <c r="F127" s="21">
        <v>14.664999084472655</v>
      </c>
      <c r="G127" s="21">
        <v>17.164999084472655</v>
      </c>
      <c r="H127" s="21">
        <v>19.664999084472655</v>
      </c>
      <c r="I127" s="6"/>
      <c r="J127" s="7">
        <v>40179</v>
      </c>
      <c r="K127" s="22">
        <v>33.173748779296872</v>
      </c>
      <c r="L127" s="22">
        <v>34.498748779296875</v>
      </c>
      <c r="M127" s="22">
        <v>35.623748779296875</v>
      </c>
      <c r="O127" s="22">
        <v>28.702500534057616</v>
      </c>
      <c r="P127" s="22">
        <v>33.002500534057617</v>
      </c>
      <c r="Q127" s="22">
        <v>37.302500534057614</v>
      </c>
      <c r="S127" s="22">
        <v>0</v>
      </c>
      <c r="T127" s="22">
        <v>0</v>
      </c>
      <c r="U127" s="22">
        <v>0</v>
      </c>
      <c r="W127" s="22">
        <v>6.9929702312745354E-2</v>
      </c>
      <c r="X127" s="42">
        <v>0.13985940462549071</v>
      </c>
      <c r="Y127" s="22">
        <v>0.20978910693823605</v>
      </c>
      <c r="AA127" s="22">
        <v>2.5000000000000001E-3</v>
      </c>
      <c r="AB127" s="22">
        <v>5.0000000000000001E-3</v>
      </c>
      <c r="AC127" s="22">
        <v>7.4999999999999997E-3</v>
      </c>
      <c r="AE127" s="22">
        <v>-0.4</v>
      </c>
      <c r="AF127" s="42">
        <v>1.75</v>
      </c>
      <c r="AG127" s="22">
        <v>0.5</v>
      </c>
      <c r="AI127" s="22">
        <v>-0.1</v>
      </c>
      <c r="AJ127" s="22">
        <v>0.3</v>
      </c>
      <c r="AK127" s="22">
        <v>0.1</v>
      </c>
      <c r="AM127" s="6">
        <v>41</v>
      </c>
      <c r="AN127" s="23">
        <v>0.4</v>
      </c>
      <c r="BE127" s="7">
        <v>40179</v>
      </c>
      <c r="BF127" s="25">
        <v>0.9</v>
      </c>
    </row>
    <row r="128" spans="1:58">
      <c r="A128" s="19">
        <v>39326</v>
      </c>
      <c r="B128" s="20">
        <v>33.624998474121099</v>
      </c>
      <c r="C128" s="432">
        <v>34.924998474121097</v>
      </c>
      <c r="D128" s="20">
        <v>36.724998474121094</v>
      </c>
      <c r="E128" s="13"/>
      <c r="F128" s="21">
        <v>16.514999084472656</v>
      </c>
      <c r="G128" s="21">
        <v>17.164999084472655</v>
      </c>
      <c r="H128" s="21">
        <v>17.814999084472653</v>
      </c>
      <c r="I128" s="6"/>
      <c r="J128" s="7">
        <v>40210</v>
      </c>
      <c r="K128" s="22">
        <v>32.171250152587888</v>
      </c>
      <c r="L128" s="22">
        <v>33.496250152587891</v>
      </c>
      <c r="M128" s="22">
        <v>34.621250152587891</v>
      </c>
      <c r="O128" s="22">
        <v>26.697499465942382</v>
      </c>
      <c r="P128" s="22">
        <v>30.997499465942383</v>
      </c>
      <c r="Q128" s="22">
        <v>35.29749946594238</v>
      </c>
      <c r="S128" s="22">
        <v>0</v>
      </c>
      <c r="T128" s="22">
        <v>0</v>
      </c>
      <c r="U128" s="22">
        <v>0</v>
      </c>
      <c r="W128" s="22">
        <v>6.9929702312745354E-2</v>
      </c>
      <c r="X128" s="42">
        <v>0.13985940462549071</v>
      </c>
      <c r="Y128" s="22">
        <v>0.20978910693823605</v>
      </c>
      <c r="AA128" s="22">
        <v>2.5000000000000001E-3</v>
      </c>
      <c r="AB128" s="22">
        <v>5.0000000000000001E-3</v>
      </c>
      <c r="AC128" s="22">
        <v>7.4999999999999997E-3</v>
      </c>
      <c r="AE128" s="22">
        <v>-0.4</v>
      </c>
      <c r="AF128" s="42">
        <v>1.75</v>
      </c>
      <c r="AG128" s="22">
        <v>0.5</v>
      </c>
      <c r="AI128" s="22">
        <v>-0.1</v>
      </c>
      <c r="AJ128" s="22">
        <v>0.3</v>
      </c>
      <c r="AK128" s="22">
        <v>0.1</v>
      </c>
      <c r="AM128" s="6">
        <v>41</v>
      </c>
      <c r="AN128" s="23">
        <v>0.4</v>
      </c>
      <c r="BE128" s="7">
        <v>40210</v>
      </c>
      <c r="BF128" s="25">
        <v>0.9</v>
      </c>
    </row>
    <row r="129" spans="1:58">
      <c r="A129" s="19">
        <v>39356</v>
      </c>
      <c r="B129" s="20">
        <v>27.425000381469729</v>
      </c>
      <c r="C129" s="432">
        <v>28.575000381469728</v>
      </c>
      <c r="D129" s="20">
        <v>30.225000381469727</v>
      </c>
      <c r="E129" s="13"/>
      <c r="F129" s="21">
        <v>16.289999847412108</v>
      </c>
      <c r="G129" s="21">
        <v>16.864999847412108</v>
      </c>
      <c r="H129" s="21">
        <v>17.439999847412107</v>
      </c>
      <c r="I129" s="6"/>
      <c r="J129" s="7">
        <v>40238</v>
      </c>
      <c r="K129" s="22">
        <v>21.197249603271498</v>
      </c>
      <c r="L129" s="22">
        <v>21.834749603271497</v>
      </c>
      <c r="M129" s="22">
        <v>22.472249603271496</v>
      </c>
      <c r="O129" s="22">
        <v>17.1644989013672</v>
      </c>
      <c r="P129" s="22">
        <v>21.4644989013672</v>
      </c>
      <c r="Q129" s="22">
        <v>25.764498901367201</v>
      </c>
      <c r="S129" s="22">
        <v>0</v>
      </c>
      <c r="T129" s="22">
        <v>0</v>
      </c>
      <c r="U129" s="22">
        <v>0</v>
      </c>
      <c r="W129" s="22">
        <v>5.8274751927287788E-2</v>
      </c>
      <c r="X129" s="42">
        <v>0.11654950385457558</v>
      </c>
      <c r="Y129" s="22">
        <v>0.17482425578186336</v>
      </c>
      <c r="AA129" s="22">
        <v>2.5000000000000001E-3</v>
      </c>
      <c r="AB129" s="22">
        <v>5.0000000000000001E-3</v>
      </c>
      <c r="AC129" s="22">
        <v>7.4999999999999997E-3</v>
      </c>
      <c r="AE129" s="22">
        <v>-0.25</v>
      </c>
      <c r="AF129" s="42">
        <v>1.1000000000000001</v>
      </c>
      <c r="AG129" s="22">
        <v>0.25</v>
      </c>
      <c r="AI129" s="22">
        <v>-0.1</v>
      </c>
      <c r="AJ129" s="22">
        <v>0.3</v>
      </c>
      <c r="AK129" s="22">
        <v>0.1</v>
      </c>
      <c r="AM129" s="6">
        <v>41</v>
      </c>
      <c r="AN129" s="23">
        <v>0.4</v>
      </c>
      <c r="BE129" s="7">
        <v>40238</v>
      </c>
      <c r="BF129" s="25">
        <v>0.9</v>
      </c>
    </row>
    <row r="130" spans="1:58">
      <c r="A130" s="19">
        <v>39387</v>
      </c>
      <c r="B130" s="20">
        <v>27.097499084472659</v>
      </c>
      <c r="C130" s="432">
        <v>28.247499084472658</v>
      </c>
      <c r="D130" s="20">
        <v>29.897499084472656</v>
      </c>
      <c r="E130" s="13"/>
      <c r="F130" s="21">
        <v>14.53999984741211</v>
      </c>
      <c r="G130" s="21">
        <v>15.114999847412109</v>
      </c>
      <c r="H130" s="21">
        <v>15.689999847412109</v>
      </c>
      <c r="I130" s="6"/>
      <c r="J130" s="7">
        <v>40269</v>
      </c>
      <c r="K130" s="22">
        <v>21.992500305175795</v>
      </c>
      <c r="L130" s="22">
        <v>22.517500305175794</v>
      </c>
      <c r="M130" s="22">
        <v>23.042500305175793</v>
      </c>
      <c r="O130" s="22">
        <v>16.934999084472668</v>
      </c>
      <c r="P130" s="22">
        <v>21.234999084472669</v>
      </c>
      <c r="Q130" s="22">
        <v>25.53499908447267</v>
      </c>
      <c r="S130" s="22">
        <v>0</v>
      </c>
      <c r="T130" s="22">
        <v>0</v>
      </c>
      <c r="U130" s="22">
        <v>0</v>
      </c>
      <c r="W130" s="22">
        <v>5.5361014330923407E-2</v>
      </c>
      <c r="X130" s="42">
        <v>0.11072202866184681</v>
      </c>
      <c r="Y130" s="22">
        <v>0.16608304299277021</v>
      </c>
      <c r="AA130" s="22">
        <v>2.5000000000000001E-3</v>
      </c>
      <c r="AB130" s="22">
        <v>5.0000000000000001E-3</v>
      </c>
      <c r="AC130" s="22">
        <v>7.4999999999999997E-3</v>
      </c>
      <c r="AE130" s="22">
        <v>-0.25</v>
      </c>
      <c r="AF130" s="42">
        <v>1.2</v>
      </c>
      <c r="AG130" s="22">
        <v>0.25</v>
      </c>
      <c r="AI130" s="22">
        <v>-0.1</v>
      </c>
      <c r="AJ130" s="22">
        <v>0.3</v>
      </c>
      <c r="AK130" s="22">
        <v>0.1</v>
      </c>
      <c r="AM130" s="6">
        <v>42</v>
      </c>
      <c r="AN130" s="23">
        <v>0.4</v>
      </c>
      <c r="BE130" s="7">
        <v>40269</v>
      </c>
      <c r="BF130" s="25">
        <v>0.9</v>
      </c>
    </row>
    <row r="131" spans="1:58">
      <c r="A131" s="19">
        <v>39417</v>
      </c>
      <c r="B131" s="20">
        <v>28.849999618530276</v>
      </c>
      <c r="C131" s="432">
        <v>29.999999618530275</v>
      </c>
      <c r="D131" s="20">
        <v>31.649999618530273</v>
      </c>
      <c r="E131" s="13"/>
      <c r="F131" s="21">
        <v>15.390000228881837</v>
      </c>
      <c r="G131" s="21">
        <v>15.965000228881836</v>
      </c>
      <c r="H131" s="21">
        <v>16.540000228881837</v>
      </c>
      <c r="I131" s="6"/>
      <c r="J131" s="7">
        <v>40299</v>
      </c>
      <c r="K131" s="22">
        <v>20.772500076293959</v>
      </c>
      <c r="L131" s="22">
        <v>22.632500076293958</v>
      </c>
      <c r="M131" s="22">
        <v>24.492500076293958</v>
      </c>
      <c r="O131" s="22">
        <v>17.464999771118176</v>
      </c>
      <c r="P131" s="22">
        <v>21.764999771118177</v>
      </c>
      <c r="Q131" s="22">
        <v>26.064999771118178</v>
      </c>
      <c r="S131" s="22">
        <v>0</v>
      </c>
      <c r="T131" s="22">
        <v>0</v>
      </c>
      <c r="U131" s="22">
        <v>0</v>
      </c>
      <c r="W131" s="22">
        <v>6.1188489523652176E-2</v>
      </c>
      <c r="X131" s="42">
        <v>0.12237697904730435</v>
      </c>
      <c r="Y131" s="22">
        <v>0.18356546857095651</v>
      </c>
      <c r="AA131" s="22">
        <v>2.5000000000000001E-3</v>
      </c>
      <c r="AB131" s="22">
        <v>5.0000000000000001E-3</v>
      </c>
      <c r="AC131" s="22">
        <v>7.4999999999999997E-3</v>
      </c>
      <c r="AE131" s="22">
        <v>-0.25</v>
      </c>
      <c r="AF131" s="42">
        <v>2</v>
      </c>
      <c r="AG131" s="22">
        <v>0.25</v>
      </c>
      <c r="AI131" s="22">
        <v>-0.1</v>
      </c>
      <c r="AJ131" s="22">
        <v>0.3</v>
      </c>
      <c r="AK131" s="22">
        <v>0.1</v>
      </c>
      <c r="AM131" s="6">
        <v>42</v>
      </c>
      <c r="AN131" s="23">
        <v>0.4</v>
      </c>
      <c r="BE131" s="7">
        <v>40299</v>
      </c>
      <c r="BF131" s="25">
        <v>0.9</v>
      </c>
    </row>
    <row r="132" spans="1:58">
      <c r="A132" s="19">
        <v>39448</v>
      </c>
      <c r="B132" s="20">
        <v>37.524998474121091</v>
      </c>
      <c r="C132" s="432">
        <v>38.824998474121088</v>
      </c>
      <c r="D132" s="20">
        <v>40.624998474121085</v>
      </c>
      <c r="E132" s="13"/>
      <c r="F132" s="21">
        <v>19.86499755859375</v>
      </c>
      <c r="G132" s="21">
        <v>20.514997558593748</v>
      </c>
      <c r="H132" s="21">
        <v>21.164997558593747</v>
      </c>
      <c r="I132" s="6"/>
      <c r="J132" s="7">
        <v>40330</v>
      </c>
      <c r="K132" s="22">
        <v>21.876250152587904</v>
      </c>
      <c r="L132" s="22">
        <v>27.208750152587903</v>
      </c>
      <c r="M132" s="22">
        <v>32.541250152587907</v>
      </c>
      <c r="O132" s="22">
        <v>16.39249954223634</v>
      </c>
      <c r="P132" s="22">
        <v>20.692499542236341</v>
      </c>
      <c r="Q132" s="22">
        <v>24.992499542236342</v>
      </c>
      <c r="S132" s="22">
        <v>0</v>
      </c>
      <c r="T132" s="22">
        <v>0</v>
      </c>
      <c r="U132" s="22">
        <v>0</v>
      </c>
      <c r="W132" s="22">
        <v>7.8670915101838518E-2</v>
      </c>
      <c r="X132" s="42">
        <v>0.15734183020367704</v>
      </c>
      <c r="Y132" s="22">
        <v>0.23601274530551555</v>
      </c>
      <c r="AA132" s="22">
        <v>2.5000000000000001E-3</v>
      </c>
      <c r="AB132" s="22">
        <v>5.0000000000000001E-3</v>
      </c>
      <c r="AC132" s="22">
        <v>7.4999999999999997E-3</v>
      </c>
      <c r="AE132" s="22">
        <v>-0.75</v>
      </c>
      <c r="AF132" s="42">
        <v>2.25</v>
      </c>
      <c r="AG132" s="22">
        <v>0.75</v>
      </c>
      <c r="AI132" s="22">
        <v>-0.1</v>
      </c>
      <c r="AJ132" s="22">
        <v>0.3</v>
      </c>
      <c r="AK132" s="22">
        <v>0.1</v>
      </c>
      <c r="AM132" s="6">
        <v>42</v>
      </c>
      <c r="AN132" s="23">
        <v>0.4</v>
      </c>
      <c r="BE132" s="7">
        <v>40330</v>
      </c>
      <c r="BF132" s="25">
        <v>0.9</v>
      </c>
    </row>
    <row r="133" spans="1:58">
      <c r="A133" s="19">
        <v>39479</v>
      </c>
      <c r="B133" s="20">
        <v>37.524998474121091</v>
      </c>
      <c r="C133" s="432">
        <v>38.824998474121088</v>
      </c>
      <c r="D133" s="20">
        <v>40.624998474121085</v>
      </c>
      <c r="E133" s="13"/>
      <c r="F133" s="21">
        <v>20.014997177124023</v>
      </c>
      <c r="G133" s="21">
        <v>20.664997177124022</v>
      </c>
      <c r="H133" s="21">
        <v>21.31499717712402</v>
      </c>
      <c r="I133" s="6"/>
      <c r="J133" s="7">
        <v>40360</v>
      </c>
      <c r="K133" s="22">
        <v>37.911249542236341</v>
      </c>
      <c r="L133" s="22">
        <v>41.661249542236341</v>
      </c>
      <c r="M133" s="22">
        <v>45.411249542236341</v>
      </c>
      <c r="O133" s="22">
        <v>26.847499465942395</v>
      </c>
      <c r="P133" s="22">
        <v>31.147499465942396</v>
      </c>
      <c r="Q133" s="22">
        <v>35.447499465942393</v>
      </c>
      <c r="S133" s="22">
        <v>0</v>
      </c>
      <c r="T133" s="22">
        <v>0</v>
      </c>
      <c r="U133" s="22">
        <v>0</v>
      </c>
      <c r="W133" s="22">
        <v>9.6153340680024846E-2</v>
      </c>
      <c r="X133" s="42">
        <v>0.19230668136004969</v>
      </c>
      <c r="Y133" s="22">
        <v>0.28846002204007454</v>
      </c>
      <c r="AA133" s="22">
        <v>2.5000000000000001E-3</v>
      </c>
      <c r="AB133" s="22">
        <v>5.0000000000000001E-3</v>
      </c>
      <c r="AC133" s="22">
        <v>7.4999999999999997E-3</v>
      </c>
      <c r="AE133" s="22">
        <v>-1</v>
      </c>
      <c r="AF133" s="42">
        <v>3</v>
      </c>
      <c r="AG133" s="22">
        <v>1</v>
      </c>
      <c r="AI133" s="22">
        <v>-0.1</v>
      </c>
      <c r="AJ133" s="22">
        <v>0.3</v>
      </c>
      <c r="AK133" s="22">
        <v>0.1</v>
      </c>
      <c r="AM133" s="6">
        <v>43</v>
      </c>
      <c r="AN133" s="23">
        <v>0.4</v>
      </c>
      <c r="BE133" s="7">
        <v>40360</v>
      </c>
      <c r="BF133" s="25">
        <v>0.9</v>
      </c>
    </row>
    <row r="134" spans="1:58">
      <c r="A134" s="19">
        <v>39508</v>
      </c>
      <c r="B134" s="20">
        <v>27.800000762939455</v>
      </c>
      <c r="C134" s="432">
        <v>28.550000762939455</v>
      </c>
      <c r="D134" s="20">
        <v>29.800000762939455</v>
      </c>
      <c r="E134" s="13"/>
      <c r="F134" s="21">
        <v>17.539999084472655</v>
      </c>
      <c r="G134" s="21">
        <v>17.914999084472655</v>
      </c>
      <c r="H134" s="21">
        <v>18.289999084472655</v>
      </c>
      <c r="I134" s="6"/>
      <c r="J134" s="7">
        <v>40391</v>
      </c>
      <c r="K134" s="22">
        <v>40.172499084472669</v>
      </c>
      <c r="L134" s="22">
        <v>43.922499084472669</v>
      </c>
      <c r="M134" s="22">
        <v>47.672499084472669</v>
      </c>
      <c r="O134" s="22">
        <v>28.345000839233411</v>
      </c>
      <c r="P134" s="22">
        <v>32.645000839233411</v>
      </c>
      <c r="Q134" s="22">
        <v>36.945000839233408</v>
      </c>
      <c r="S134" s="22">
        <v>0</v>
      </c>
      <c r="T134" s="22">
        <v>0</v>
      </c>
      <c r="U134" s="22">
        <v>0</v>
      </c>
      <c r="W134" s="22">
        <v>9.6153340680024846E-2</v>
      </c>
      <c r="X134" s="42">
        <v>0.19230668136004969</v>
      </c>
      <c r="Y134" s="22">
        <v>0.28846002204007454</v>
      </c>
      <c r="AA134" s="22">
        <v>2.5000000000000001E-3</v>
      </c>
      <c r="AB134" s="22">
        <v>5.0000000000000001E-3</v>
      </c>
      <c r="AC134" s="22">
        <v>7.4999999999999997E-3</v>
      </c>
      <c r="AE134" s="22">
        <v>-1</v>
      </c>
      <c r="AF134" s="42">
        <v>3</v>
      </c>
      <c r="AG134" s="22">
        <v>1</v>
      </c>
      <c r="AI134" s="22">
        <v>-0.1</v>
      </c>
      <c r="AJ134" s="22">
        <v>0.3</v>
      </c>
      <c r="AK134" s="22">
        <v>0.1</v>
      </c>
      <c r="AM134" s="6">
        <v>43</v>
      </c>
      <c r="AN134" s="23">
        <v>0.4</v>
      </c>
      <c r="BE134" s="7">
        <v>40391</v>
      </c>
      <c r="BF134" s="25">
        <v>0.9</v>
      </c>
    </row>
    <row r="135" spans="1:58">
      <c r="A135" s="19">
        <v>39539</v>
      </c>
      <c r="B135" s="20">
        <v>27.725000762939452</v>
      </c>
      <c r="C135" s="432">
        <v>28.325000762939453</v>
      </c>
      <c r="D135" s="20">
        <v>29.425000762939455</v>
      </c>
      <c r="E135" s="13"/>
      <c r="F135" s="21">
        <v>17.864999084472654</v>
      </c>
      <c r="G135" s="21">
        <v>18.164999084472655</v>
      </c>
      <c r="H135" s="21">
        <v>18.464999084472655</v>
      </c>
      <c r="I135" s="6"/>
      <c r="J135" s="7">
        <v>40422</v>
      </c>
      <c r="K135" s="22">
        <v>19.929999542236342</v>
      </c>
      <c r="L135" s="22">
        <v>21.129999542236341</v>
      </c>
      <c r="M135" s="22">
        <v>22.32999954223634</v>
      </c>
      <c r="O135" s="22">
        <v>13.410000419616704</v>
      </c>
      <c r="P135" s="22">
        <v>17.710000419616705</v>
      </c>
      <c r="Q135" s="22">
        <v>22.010000419616706</v>
      </c>
      <c r="S135" s="22">
        <v>0</v>
      </c>
      <c r="T135" s="22">
        <v>0</v>
      </c>
      <c r="U135" s="22">
        <v>0</v>
      </c>
      <c r="W135" s="22">
        <v>6.1806555074396141E-2</v>
      </c>
      <c r="X135" s="42">
        <v>0.12361311014879228</v>
      </c>
      <c r="Y135" s="22">
        <v>0.18541966522318842</v>
      </c>
      <c r="AA135" s="22">
        <v>2.5000000000000001E-3</v>
      </c>
      <c r="AB135" s="22">
        <v>5.0000000000000001E-3</v>
      </c>
      <c r="AC135" s="22">
        <v>7.4999999999999997E-3</v>
      </c>
      <c r="AE135" s="22">
        <v>-0.4</v>
      </c>
      <c r="AF135" s="42">
        <v>1.75</v>
      </c>
      <c r="AG135" s="22">
        <v>0.5</v>
      </c>
      <c r="AI135" s="22">
        <v>-0.1</v>
      </c>
      <c r="AJ135" s="22">
        <v>0.3</v>
      </c>
      <c r="AK135" s="22">
        <v>0.1</v>
      </c>
      <c r="AM135" s="6">
        <v>43</v>
      </c>
      <c r="AN135" s="23">
        <v>0.4</v>
      </c>
      <c r="BE135" s="7">
        <v>40422</v>
      </c>
      <c r="BF135" s="25">
        <v>0.9</v>
      </c>
    </row>
    <row r="136" spans="1:58">
      <c r="A136" s="19">
        <v>39569</v>
      </c>
      <c r="B136" s="20">
        <v>32.784999999999997</v>
      </c>
      <c r="C136" s="432">
        <v>34.825000000000003</v>
      </c>
      <c r="D136" s="20">
        <v>37.365000000000002</v>
      </c>
      <c r="E136" s="13"/>
      <c r="F136" s="21">
        <v>16.594999847412108</v>
      </c>
      <c r="G136" s="21">
        <v>17.614999847412108</v>
      </c>
      <c r="H136" s="21">
        <v>18.634999847412107</v>
      </c>
      <c r="I136" s="6"/>
      <c r="J136" s="7">
        <v>40452</v>
      </c>
      <c r="K136" s="22">
        <v>19.09449958801271</v>
      </c>
      <c r="L136" s="22">
        <v>20.181999588012708</v>
      </c>
      <c r="M136" s="22">
        <v>21.269499588012707</v>
      </c>
      <c r="O136" s="22">
        <v>13.554000473022466</v>
      </c>
      <c r="P136" s="22">
        <v>17.854000473022467</v>
      </c>
      <c r="Q136" s="22">
        <v>22.154000473022467</v>
      </c>
      <c r="S136" s="22">
        <v>0</v>
      </c>
      <c r="T136" s="22">
        <v>0</v>
      </c>
      <c r="U136" s="22">
        <v>0</v>
      </c>
      <c r="W136" s="22">
        <v>4.3706063945465841E-2</v>
      </c>
      <c r="X136" s="42">
        <v>8.7412127890931682E-2</v>
      </c>
      <c r="Y136" s="22">
        <v>0.13111819183639753</v>
      </c>
      <c r="AA136" s="22">
        <v>2.5000000000000001E-3</v>
      </c>
      <c r="AB136" s="22">
        <v>5.0000000000000001E-3</v>
      </c>
      <c r="AC136" s="22">
        <v>7.4999999999999997E-3</v>
      </c>
      <c r="AE136" s="22">
        <v>-0.25</v>
      </c>
      <c r="AF136" s="42">
        <v>1.5</v>
      </c>
      <c r="AG136" s="22">
        <v>0.25</v>
      </c>
      <c r="AI136" s="22">
        <v>-0.1</v>
      </c>
      <c r="AJ136" s="22">
        <v>0.3</v>
      </c>
      <c r="AK136" s="22">
        <v>0.1</v>
      </c>
      <c r="AM136" s="6">
        <v>44</v>
      </c>
      <c r="AN136" s="23">
        <v>0.4</v>
      </c>
      <c r="BE136" s="7">
        <v>40452</v>
      </c>
      <c r="BF136" s="25">
        <v>0.9</v>
      </c>
    </row>
    <row r="137" spans="1:58">
      <c r="A137" s="19">
        <v>39600</v>
      </c>
      <c r="B137" s="20">
        <v>53.979998474121096</v>
      </c>
      <c r="C137" s="432">
        <v>59.849998474121094</v>
      </c>
      <c r="D137" s="20">
        <v>66.219998474121098</v>
      </c>
      <c r="E137" s="13"/>
      <c r="F137" s="21">
        <v>14.740001220703123</v>
      </c>
      <c r="G137" s="21">
        <v>17.675001220703123</v>
      </c>
      <c r="H137" s="21">
        <v>20.610001220703122</v>
      </c>
      <c r="I137" s="6"/>
      <c r="J137" s="7">
        <v>40483</v>
      </c>
      <c r="K137" s="22">
        <v>18.556249618530288</v>
      </c>
      <c r="L137" s="22">
        <v>19.643749618530286</v>
      </c>
      <c r="M137" s="22">
        <v>20.731249618530285</v>
      </c>
      <c r="O137" s="22">
        <v>14.075000381469735</v>
      </c>
      <c r="P137" s="22">
        <v>18.375000381469736</v>
      </c>
      <c r="Q137" s="22">
        <v>22.675000381469737</v>
      </c>
      <c r="S137" s="22">
        <v>0</v>
      </c>
      <c r="T137" s="22">
        <v>0</v>
      </c>
      <c r="U137" s="22">
        <v>0</v>
      </c>
      <c r="W137" s="22">
        <v>4.3706063945465841E-2</v>
      </c>
      <c r="X137" s="42">
        <v>8.7412127890931682E-2</v>
      </c>
      <c r="Y137" s="22">
        <v>0.13111819183639753</v>
      </c>
      <c r="AA137" s="22">
        <v>2.5000000000000001E-3</v>
      </c>
      <c r="AB137" s="22">
        <v>5.0000000000000001E-3</v>
      </c>
      <c r="AC137" s="22">
        <v>7.4999999999999997E-3</v>
      </c>
      <c r="AE137" s="22">
        <v>-0.25</v>
      </c>
      <c r="AF137" s="42">
        <v>1.5</v>
      </c>
      <c r="AG137" s="22">
        <v>0.25</v>
      </c>
      <c r="AI137" s="22">
        <v>-0.1</v>
      </c>
      <c r="AJ137" s="22">
        <v>0.3</v>
      </c>
      <c r="AK137" s="22">
        <v>0.1</v>
      </c>
      <c r="AM137" s="6">
        <v>44</v>
      </c>
      <c r="AN137" s="23">
        <v>0.4</v>
      </c>
      <c r="BE137" s="7">
        <v>40483</v>
      </c>
      <c r="BF137" s="25">
        <v>0.9</v>
      </c>
    </row>
    <row r="138" spans="1:58">
      <c r="A138" s="19">
        <v>39630</v>
      </c>
      <c r="B138" s="20">
        <v>97.449996948242188</v>
      </c>
      <c r="C138" s="432">
        <v>102.44999694824219</v>
      </c>
      <c r="D138" s="20">
        <v>107.94999694824219</v>
      </c>
      <c r="E138" s="13"/>
      <c r="F138" s="21">
        <v>14.864999847412108</v>
      </c>
      <c r="G138" s="21">
        <v>17.364999847412108</v>
      </c>
      <c r="H138" s="21">
        <v>19.864999847412108</v>
      </c>
      <c r="I138" s="6"/>
      <c r="J138" s="7">
        <v>40513</v>
      </c>
      <c r="K138" s="22">
        <v>22.70125007629396</v>
      </c>
      <c r="L138" s="22">
        <v>23.788750076293958</v>
      </c>
      <c r="M138" s="22">
        <v>24.876250076293957</v>
      </c>
      <c r="O138" s="22">
        <v>14.525000190734875</v>
      </c>
      <c r="P138" s="22">
        <v>18.825000190734876</v>
      </c>
      <c r="Q138" s="22">
        <v>23.125000190734877</v>
      </c>
      <c r="S138" s="22">
        <v>0</v>
      </c>
      <c r="T138" s="22">
        <v>0</v>
      </c>
      <c r="U138" s="22">
        <v>0</v>
      </c>
      <c r="W138" s="22">
        <v>4.3706063945465841E-2</v>
      </c>
      <c r="X138" s="42">
        <v>8.7412127890931682E-2</v>
      </c>
      <c r="Y138" s="22">
        <v>0.13111819183639753</v>
      </c>
      <c r="AA138" s="22">
        <v>2.5000000000000001E-3</v>
      </c>
      <c r="AB138" s="22">
        <v>5.0000000000000001E-3</v>
      </c>
      <c r="AC138" s="22">
        <v>7.4999999999999997E-3</v>
      </c>
      <c r="AE138" s="22">
        <v>-0.25</v>
      </c>
      <c r="AF138" s="42">
        <v>1.5</v>
      </c>
      <c r="AG138" s="22">
        <v>0.25</v>
      </c>
      <c r="AI138" s="22">
        <v>-0.1</v>
      </c>
      <c r="AJ138" s="22">
        <v>0.3</v>
      </c>
      <c r="AK138" s="22">
        <v>0.1</v>
      </c>
      <c r="AM138" s="6">
        <v>44</v>
      </c>
      <c r="AN138" s="23">
        <v>0.4</v>
      </c>
      <c r="BE138" s="7">
        <v>40513</v>
      </c>
      <c r="BF138" s="25">
        <v>0.9</v>
      </c>
    </row>
    <row r="139" spans="1:58">
      <c r="A139" s="19">
        <v>39661</v>
      </c>
      <c r="B139" s="20">
        <v>84.449996948242188</v>
      </c>
      <c r="C139" s="432">
        <v>89.449996948242188</v>
      </c>
      <c r="D139" s="20">
        <v>94.949996948242188</v>
      </c>
      <c r="E139" s="13"/>
      <c r="F139" s="21">
        <v>14.914999084472655</v>
      </c>
      <c r="G139" s="21">
        <v>17.414999084472655</v>
      </c>
      <c r="H139" s="21">
        <v>19.914999084472655</v>
      </c>
      <c r="I139" s="6"/>
      <c r="J139" s="7">
        <v>40544</v>
      </c>
      <c r="K139" s="22">
        <v>33.098748779296876</v>
      </c>
      <c r="L139" s="22">
        <v>34.498748779296875</v>
      </c>
      <c r="M139" s="22">
        <v>35.698748779296878</v>
      </c>
      <c r="O139" s="22">
        <v>28.702500534057616</v>
      </c>
      <c r="P139" s="22">
        <v>33.002500534057617</v>
      </c>
      <c r="Q139" s="22">
        <v>37.302500534057614</v>
      </c>
      <c r="S139" s="22">
        <v>0.25</v>
      </c>
      <c r="T139" s="22">
        <v>0.25</v>
      </c>
      <c r="U139" s="22">
        <v>0.25</v>
      </c>
      <c r="W139" s="22">
        <v>6.7132514220235542E-2</v>
      </c>
      <c r="X139" s="42">
        <v>0.13426502844047108</v>
      </c>
      <c r="Y139" s="22">
        <v>0.20139754266070664</v>
      </c>
      <c r="AA139" s="22">
        <v>2.5000000000000001E-3</v>
      </c>
      <c r="AB139" s="22">
        <v>5.0000000000000001E-3</v>
      </c>
      <c r="AC139" s="22">
        <v>7.4999999999999997E-3</v>
      </c>
      <c r="AE139" s="22">
        <v>-0.4</v>
      </c>
      <c r="AF139" s="42">
        <v>1.75</v>
      </c>
      <c r="AG139" s="22">
        <v>0.5</v>
      </c>
      <c r="AI139" s="22">
        <v>-0.1</v>
      </c>
      <c r="AJ139" s="22">
        <v>0.3</v>
      </c>
      <c r="AK139" s="22">
        <v>0.1</v>
      </c>
      <c r="AM139" s="6">
        <v>45</v>
      </c>
      <c r="AN139" s="23">
        <v>0.4</v>
      </c>
      <c r="BE139" s="7">
        <v>40544</v>
      </c>
      <c r="BF139" s="25">
        <v>0.9</v>
      </c>
    </row>
    <row r="140" spans="1:58">
      <c r="A140" s="19">
        <v>39692</v>
      </c>
      <c r="B140" s="20">
        <v>34.024998474121098</v>
      </c>
      <c r="C140" s="432">
        <v>35.424998474121097</v>
      </c>
      <c r="D140" s="20">
        <v>37.324998474121095</v>
      </c>
      <c r="E140" s="13"/>
      <c r="F140" s="21">
        <v>16.714999084472655</v>
      </c>
      <c r="G140" s="21">
        <v>17.414999084472655</v>
      </c>
      <c r="H140" s="21">
        <v>18.114999084472654</v>
      </c>
      <c r="I140" s="6"/>
      <c r="J140" s="7">
        <v>40575</v>
      </c>
      <c r="K140" s="22">
        <v>32.096250152587892</v>
      </c>
      <c r="L140" s="22">
        <v>33.496250152587891</v>
      </c>
      <c r="M140" s="22">
        <v>34.696250152587893</v>
      </c>
      <c r="O140" s="22">
        <v>26.697499465942382</v>
      </c>
      <c r="P140" s="22">
        <v>30.997499465942383</v>
      </c>
      <c r="Q140" s="22">
        <v>35.29749946594238</v>
      </c>
      <c r="S140" s="22">
        <v>0</v>
      </c>
      <c r="T140" s="22">
        <v>0</v>
      </c>
      <c r="U140" s="22">
        <v>0</v>
      </c>
      <c r="W140" s="22">
        <v>6.7132514220235542E-2</v>
      </c>
      <c r="X140" s="42">
        <v>0.13426502844047108</v>
      </c>
      <c r="Y140" s="22">
        <v>0.20139754266070664</v>
      </c>
      <c r="AA140" s="22">
        <v>2.5000000000000001E-3</v>
      </c>
      <c r="AB140" s="22">
        <v>5.0000000000000001E-3</v>
      </c>
      <c r="AC140" s="22">
        <v>7.4999999999999997E-3</v>
      </c>
      <c r="AE140" s="22">
        <v>-0.4</v>
      </c>
      <c r="AF140" s="42">
        <v>1.75</v>
      </c>
      <c r="AG140" s="22">
        <v>0.5</v>
      </c>
      <c r="AI140" s="22">
        <v>-0.1</v>
      </c>
      <c r="AJ140" s="22">
        <v>0.3</v>
      </c>
      <c r="AK140" s="22">
        <v>0.1</v>
      </c>
      <c r="AM140" s="6">
        <v>45</v>
      </c>
      <c r="AN140" s="23">
        <v>0.4</v>
      </c>
      <c r="BE140" s="7">
        <v>40575</v>
      </c>
      <c r="BF140" s="25">
        <v>0.9</v>
      </c>
    </row>
    <row r="141" spans="1:58">
      <c r="A141" s="19">
        <v>39722</v>
      </c>
      <c r="B141" s="20">
        <v>27.825000381469728</v>
      </c>
      <c r="C141" s="432">
        <v>29.075000381469728</v>
      </c>
      <c r="D141" s="20">
        <v>30.825000381469728</v>
      </c>
      <c r="E141" s="13"/>
      <c r="F141" s="21">
        <v>16.489999847412108</v>
      </c>
      <c r="G141" s="21">
        <v>17.114999847412108</v>
      </c>
      <c r="H141" s="21">
        <v>17.739999847412108</v>
      </c>
      <c r="I141" s="6"/>
      <c r="J141" s="7">
        <v>40603</v>
      </c>
      <c r="K141" s="22">
        <v>21.159749603271496</v>
      </c>
      <c r="L141" s="22">
        <v>21.834749603271497</v>
      </c>
      <c r="M141" s="22">
        <v>22.509749603271498</v>
      </c>
      <c r="O141" s="22">
        <v>17.1644989013672</v>
      </c>
      <c r="P141" s="22">
        <v>21.4644989013672</v>
      </c>
      <c r="Q141" s="22">
        <v>25.764498901367201</v>
      </c>
      <c r="S141" s="22">
        <v>0</v>
      </c>
      <c r="T141" s="22">
        <v>0</v>
      </c>
      <c r="U141" s="22">
        <v>0</v>
      </c>
      <c r="W141" s="22">
        <v>5.5943761850196276E-2</v>
      </c>
      <c r="X141" s="42">
        <v>0.11188752370039255</v>
      </c>
      <c r="Y141" s="22">
        <v>0.16783128555058882</v>
      </c>
      <c r="AA141" s="22">
        <v>2.5000000000000001E-3</v>
      </c>
      <c r="AB141" s="22">
        <v>5.0000000000000001E-3</v>
      </c>
      <c r="AC141" s="22">
        <v>7.4999999999999997E-3</v>
      </c>
      <c r="AE141" s="22">
        <v>-0.25</v>
      </c>
      <c r="AF141" s="42">
        <v>1.1000000000000001</v>
      </c>
      <c r="AG141" s="22">
        <v>0.25</v>
      </c>
      <c r="AI141" s="22">
        <v>-0.1</v>
      </c>
      <c r="AJ141" s="22">
        <v>0.3</v>
      </c>
      <c r="AK141" s="22">
        <v>0.1</v>
      </c>
      <c r="AM141" s="6">
        <v>45</v>
      </c>
      <c r="AN141" s="23">
        <v>0.4</v>
      </c>
      <c r="BE141" s="7">
        <v>40603</v>
      </c>
      <c r="BF141" s="25">
        <v>0.9</v>
      </c>
    </row>
    <row r="142" spans="1:58">
      <c r="A142" s="19">
        <v>39753</v>
      </c>
      <c r="B142" s="20">
        <v>27.497499084472658</v>
      </c>
      <c r="C142" s="432">
        <v>28.747499084472658</v>
      </c>
      <c r="D142" s="20">
        <v>30.497499084472658</v>
      </c>
      <c r="E142" s="13"/>
      <c r="F142" s="21">
        <v>14.739999847412109</v>
      </c>
      <c r="G142" s="21">
        <v>15.364999847412109</v>
      </c>
      <c r="H142" s="21">
        <v>15.989999847412109</v>
      </c>
      <c r="I142" s="6"/>
      <c r="J142" s="7">
        <v>40634</v>
      </c>
      <c r="K142" s="22">
        <v>21.955000305175794</v>
      </c>
      <c r="L142" s="22">
        <v>22.517500305175794</v>
      </c>
      <c r="M142" s="22">
        <v>23.080000305175794</v>
      </c>
      <c r="O142" s="22">
        <v>16.934999084472668</v>
      </c>
      <c r="P142" s="22">
        <v>21.234999084472669</v>
      </c>
      <c r="Q142" s="22">
        <v>25.53499908447267</v>
      </c>
      <c r="S142" s="22">
        <v>0</v>
      </c>
      <c r="T142" s="22">
        <v>0</v>
      </c>
      <c r="U142" s="22">
        <v>0</v>
      </c>
      <c r="W142" s="22">
        <v>5.3146573757686472E-2</v>
      </c>
      <c r="X142" s="42">
        <v>0.10629314751537294</v>
      </c>
      <c r="Y142" s="22">
        <v>0.15943972127305941</v>
      </c>
      <c r="AA142" s="22">
        <v>2.5000000000000001E-3</v>
      </c>
      <c r="AB142" s="22">
        <v>5.0000000000000001E-3</v>
      </c>
      <c r="AC142" s="22">
        <v>7.4999999999999997E-3</v>
      </c>
      <c r="AE142" s="22">
        <v>-0.25</v>
      </c>
      <c r="AF142" s="42">
        <v>1.2</v>
      </c>
      <c r="AG142" s="22">
        <v>0.25</v>
      </c>
      <c r="AI142" s="22">
        <v>-0.1</v>
      </c>
      <c r="AJ142" s="22">
        <v>0.3</v>
      </c>
      <c r="AK142" s="22">
        <v>0.1</v>
      </c>
      <c r="AM142" s="6">
        <v>46</v>
      </c>
      <c r="AN142" s="23">
        <v>0.4</v>
      </c>
      <c r="BE142" s="7">
        <v>40634</v>
      </c>
      <c r="BF142" s="25">
        <v>0.9</v>
      </c>
    </row>
    <row r="143" spans="1:58">
      <c r="A143" s="19">
        <v>39783</v>
      </c>
      <c r="B143" s="20">
        <v>29.249999618530275</v>
      </c>
      <c r="C143" s="432">
        <v>30.499999618530275</v>
      </c>
      <c r="D143" s="20">
        <v>32.249999618530275</v>
      </c>
      <c r="E143" s="13"/>
      <c r="F143" s="21">
        <v>15.590000228881834</v>
      </c>
      <c r="G143" s="21">
        <v>16.215000228881834</v>
      </c>
      <c r="H143" s="21">
        <v>16.840000228881834</v>
      </c>
      <c r="I143" s="6"/>
      <c r="J143" s="7">
        <v>40664</v>
      </c>
      <c r="K143" s="22">
        <v>20.772500076293959</v>
      </c>
      <c r="L143" s="22">
        <v>22.632500076293958</v>
      </c>
      <c r="M143" s="22">
        <v>24.492500076293958</v>
      </c>
      <c r="O143" s="22">
        <v>17.464999771118176</v>
      </c>
      <c r="P143" s="22">
        <v>21.764999771118177</v>
      </c>
      <c r="Q143" s="22">
        <v>26.064999771118178</v>
      </c>
      <c r="S143" s="22">
        <v>0</v>
      </c>
      <c r="T143" s="22">
        <v>0</v>
      </c>
      <c r="U143" s="22">
        <v>0</v>
      </c>
      <c r="W143" s="22">
        <v>5.8740949942706087E-2</v>
      </c>
      <c r="X143" s="42">
        <v>0.11748189988541217</v>
      </c>
      <c r="Y143" s="22">
        <v>0.17622284982811826</v>
      </c>
      <c r="AA143" s="22">
        <v>2.5000000000000001E-3</v>
      </c>
      <c r="AB143" s="22">
        <v>5.0000000000000001E-3</v>
      </c>
      <c r="AC143" s="22">
        <v>7.4999999999999997E-3</v>
      </c>
      <c r="AE143" s="22">
        <v>-0.25</v>
      </c>
      <c r="AF143" s="42">
        <v>2</v>
      </c>
      <c r="AG143" s="22">
        <v>0.25</v>
      </c>
      <c r="AI143" s="22">
        <v>-0.1</v>
      </c>
      <c r="AJ143" s="22">
        <v>0.3</v>
      </c>
      <c r="AK143" s="22">
        <v>0.1</v>
      </c>
      <c r="AM143" s="6">
        <v>46</v>
      </c>
      <c r="AN143" s="23">
        <v>0.4</v>
      </c>
      <c r="BE143" s="7">
        <v>40664</v>
      </c>
      <c r="BF143" s="25">
        <v>0.9</v>
      </c>
    </row>
    <row r="144" spans="1:58">
      <c r="A144" s="19">
        <v>39814</v>
      </c>
      <c r="B144" s="20">
        <v>37.924998474121089</v>
      </c>
      <c r="C144" s="432">
        <v>39.324998474121088</v>
      </c>
      <c r="D144" s="20">
        <v>41.224998474121087</v>
      </c>
      <c r="E144" s="13"/>
      <c r="F144" s="21">
        <v>20.064997558593749</v>
      </c>
      <c r="G144" s="21">
        <v>20.764997558593748</v>
      </c>
      <c r="H144" s="21">
        <v>21.464997558593748</v>
      </c>
      <c r="I144" s="6"/>
      <c r="J144" s="7">
        <v>40695</v>
      </c>
      <c r="K144" s="22">
        <v>21.876250152587904</v>
      </c>
      <c r="L144" s="22">
        <v>27.208750152587903</v>
      </c>
      <c r="M144" s="22">
        <v>32.541250152587907</v>
      </c>
      <c r="O144" s="22">
        <v>16.39249954223634</v>
      </c>
      <c r="P144" s="22">
        <v>20.692499542236341</v>
      </c>
      <c r="Q144" s="22">
        <v>24.992499542236342</v>
      </c>
      <c r="S144" s="22">
        <v>0</v>
      </c>
      <c r="T144" s="22">
        <v>0</v>
      </c>
      <c r="U144" s="22">
        <v>0</v>
      </c>
      <c r="W144" s="22">
        <v>7.5524078497764977E-2</v>
      </c>
      <c r="X144" s="42">
        <v>0.15104815699552995</v>
      </c>
      <c r="Y144" s="22">
        <v>0.22657223549329492</v>
      </c>
      <c r="AA144" s="22">
        <v>2.5000000000000001E-3</v>
      </c>
      <c r="AB144" s="22">
        <v>5.0000000000000001E-3</v>
      </c>
      <c r="AC144" s="22">
        <v>7.4999999999999997E-3</v>
      </c>
      <c r="AE144" s="22">
        <v>-0.75</v>
      </c>
      <c r="AF144" s="42">
        <v>2.25</v>
      </c>
      <c r="AG144" s="22">
        <v>0.75</v>
      </c>
      <c r="AI144" s="22">
        <v>-0.1</v>
      </c>
      <c r="AJ144" s="22">
        <v>0.3</v>
      </c>
      <c r="AK144" s="22">
        <v>0.1</v>
      </c>
      <c r="AM144" s="6">
        <v>46</v>
      </c>
      <c r="AN144" s="23">
        <v>0.4</v>
      </c>
      <c r="BE144" s="7">
        <v>40695</v>
      </c>
      <c r="BF144" s="25">
        <v>0.9</v>
      </c>
    </row>
    <row r="145" spans="1:58">
      <c r="A145" s="19">
        <v>39845</v>
      </c>
      <c r="B145" s="20">
        <v>37.924998474121089</v>
      </c>
      <c r="C145" s="432">
        <v>39.324998474121088</v>
      </c>
      <c r="D145" s="20">
        <v>41.224998474121087</v>
      </c>
      <c r="E145" s="13"/>
      <c r="F145" s="21">
        <v>20.214997177124022</v>
      </c>
      <c r="G145" s="21">
        <v>20.914997177124022</v>
      </c>
      <c r="H145" s="21">
        <v>21.614997177124021</v>
      </c>
      <c r="I145" s="6"/>
      <c r="J145" s="7">
        <v>40725</v>
      </c>
      <c r="K145" s="22">
        <v>37.911249542236341</v>
      </c>
      <c r="L145" s="22">
        <v>41.661249542236341</v>
      </c>
      <c r="M145" s="22">
        <v>45.411249542236341</v>
      </c>
      <c r="O145" s="22">
        <v>26.847499465942395</v>
      </c>
      <c r="P145" s="22">
        <v>31.147499465942396</v>
      </c>
      <c r="Q145" s="22">
        <v>35.447499465942393</v>
      </c>
      <c r="S145" s="22">
        <v>0</v>
      </c>
      <c r="T145" s="22">
        <v>0</v>
      </c>
      <c r="U145" s="22">
        <v>0</v>
      </c>
      <c r="W145" s="22">
        <v>9.2307207052823845E-2</v>
      </c>
      <c r="X145" s="42">
        <v>0.18461441410564769</v>
      </c>
      <c r="Y145" s="22">
        <v>0.27692162115847152</v>
      </c>
      <c r="AA145" s="22">
        <v>2.5000000000000001E-3</v>
      </c>
      <c r="AB145" s="22">
        <v>5.0000000000000001E-3</v>
      </c>
      <c r="AC145" s="22">
        <v>7.4999999999999997E-3</v>
      </c>
      <c r="AE145" s="22">
        <v>-1</v>
      </c>
      <c r="AF145" s="42">
        <v>3</v>
      </c>
      <c r="AG145" s="22">
        <v>1</v>
      </c>
      <c r="AI145" s="22">
        <v>-0.1</v>
      </c>
      <c r="AJ145" s="22">
        <v>0.3</v>
      </c>
      <c r="AK145" s="22">
        <v>0.1</v>
      </c>
      <c r="AM145" s="6">
        <v>47</v>
      </c>
      <c r="AN145" s="23">
        <v>0.4</v>
      </c>
      <c r="BE145" s="7">
        <v>40725</v>
      </c>
      <c r="BF145" s="25">
        <v>0.9</v>
      </c>
    </row>
    <row r="146" spans="1:58">
      <c r="A146" s="19">
        <v>39873</v>
      </c>
      <c r="B146" s="20">
        <v>28.250000762939454</v>
      </c>
      <c r="C146" s="432">
        <v>29.050000762939455</v>
      </c>
      <c r="D146" s="20">
        <v>30.350000762939455</v>
      </c>
      <c r="E146" s="13"/>
      <c r="F146" s="21">
        <v>17.764999084472656</v>
      </c>
      <c r="G146" s="21">
        <v>18.164999084472655</v>
      </c>
      <c r="H146" s="21">
        <v>18.564999084472653</v>
      </c>
      <c r="I146" s="6"/>
      <c r="J146" s="7">
        <v>40756</v>
      </c>
      <c r="K146" s="22">
        <v>40.172499084472669</v>
      </c>
      <c r="L146" s="22">
        <v>43.922499084472669</v>
      </c>
      <c r="M146" s="22">
        <v>47.672499084472669</v>
      </c>
      <c r="O146" s="22">
        <v>28.345000839233411</v>
      </c>
      <c r="P146" s="22">
        <v>32.645000839233411</v>
      </c>
      <c r="Q146" s="22">
        <v>36.945000839233408</v>
      </c>
      <c r="S146" s="22">
        <v>0</v>
      </c>
      <c r="T146" s="22">
        <v>0</v>
      </c>
      <c r="U146" s="22">
        <v>0</v>
      </c>
      <c r="W146" s="22">
        <v>9.2307207052823845E-2</v>
      </c>
      <c r="X146" s="42">
        <v>0.18461441410564769</v>
      </c>
      <c r="Y146" s="22">
        <v>0.27692162115847152</v>
      </c>
      <c r="AA146" s="22">
        <v>2.5000000000000001E-3</v>
      </c>
      <c r="AB146" s="22">
        <v>5.0000000000000001E-3</v>
      </c>
      <c r="AC146" s="22">
        <v>7.4999999999999997E-3</v>
      </c>
      <c r="AE146" s="22">
        <v>-1</v>
      </c>
      <c r="AF146" s="42">
        <v>3</v>
      </c>
      <c r="AG146" s="22">
        <v>1</v>
      </c>
      <c r="AI146" s="22">
        <v>-0.1</v>
      </c>
      <c r="AJ146" s="22">
        <v>0.3</v>
      </c>
      <c r="AK146" s="22">
        <v>0.1</v>
      </c>
      <c r="AM146" s="6">
        <v>47</v>
      </c>
      <c r="AN146" s="23">
        <v>0.4</v>
      </c>
      <c r="BE146" s="7">
        <v>40756</v>
      </c>
      <c r="BF146" s="25">
        <v>0.9</v>
      </c>
    </row>
    <row r="147" spans="1:58">
      <c r="A147" s="19">
        <v>39904</v>
      </c>
      <c r="B147" s="20">
        <v>28.175000762939455</v>
      </c>
      <c r="C147" s="432">
        <v>28.825000762939453</v>
      </c>
      <c r="D147" s="20">
        <v>29.975000762939452</v>
      </c>
      <c r="E147" s="13"/>
      <c r="F147" s="21">
        <v>18.089999084472655</v>
      </c>
      <c r="G147" s="21">
        <v>18.414999084472655</v>
      </c>
      <c r="H147" s="21">
        <v>18.739999084472654</v>
      </c>
      <c r="I147" s="6"/>
      <c r="J147" s="7">
        <v>40787</v>
      </c>
      <c r="K147" s="22">
        <v>19.854999542236342</v>
      </c>
      <c r="L147" s="22">
        <v>21.129999542236341</v>
      </c>
      <c r="M147" s="22">
        <v>22.404999542236339</v>
      </c>
      <c r="O147" s="22">
        <v>13.410000419616704</v>
      </c>
      <c r="P147" s="22">
        <v>17.710000419616705</v>
      </c>
      <c r="Q147" s="22">
        <v>22.010000419616706</v>
      </c>
      <c r="S147" s="22">
        <v>0</v>
      </c>
      <c r="T147" s="22">
        <v>0</v>
      </c>
      <c r="U147" s="22">
        <v>0</v>
      </c>
      <c r="W147" s="22">
        <v>5.9334292871420294E-2</v>
      </c>
      <c r="X147" s="42">
        <v>0.11866858574284059</v>
      </c>
      <c r="Y147" s="22">
        <v>0.1780028786142609</v>
      </c>
      <c r="AA147" s="22">
        <v>2.5000000000000001E-3</v>
      </c>
      <c r="AB147" s="22">
        <v>5.0000000000000001E-3</v>
      </c>
      <c r="AC147" s="22">
        <v>7.4999999999999997E-3</v>
      </c>
      <c r="AE147" s="22">
        <v>-0.4</v>
      </c>
      <c r="AF147" s="42">
        <v>1.75</v>
      </c>
      <c r="AG147" s="22">
        <v>0.5</v>
      </c>
      <c r="AI147" s="22">
        <v>-0.1</v>
      </c>
      <c r="AJ147" s="22">
        <v>0.3</v>
      </c>
      <c r="AK147" s="22">
        <v>0.1</v>
      </c>
      <c r="AM147" s="6">
        <v>47</v>
      </c>
      <c r="AN147" s="23">
        <v>0.4</v>
      </c>
      <c r="BE147" s="7">
        <v>40787</v>
      </c>
      <c r="BF147" s="25">
        <v>0.9</v>
      </c>
    </row>
    <row r="148" spans="1:58">
      <c r="A148" s="19">
        <v>39934</v>
      </c>
      <c r="B148" s="20">
        <v>33.825000000000003</v>
      </c>
      <c r="C148" s="432">
        <v>36.075000000000003</v>
      </c>
      <c r="D148" s="20">
        <v>38.825000000000003</v>
      </c>
      <c r="E148" s="13"/>
      <c r="F148" s="21">
        <v>16.739999847412108</v>
      </c>
      <c r="G148" s="21">
        <v>17.864999847412108</v>
      </c>
      <c r="H148" s="21">
        <v>18.989999847412108</v>
      </c>
      <c r="I148" s="6"/>
      <c r="J148" s="7">
        <v>40817</v>
      </c>
      <c r="K148" s="22">
        <v>19.019499588012707</v>
      </c>
      <c r="L148" s="22">
        <v>20.181999588012708</v>
      </c>
      <c r="M148" s="22">
        <v>21.34449958801271</v>
      </c>
      <c r="O148" s="22">
        <v>13.554000473022466</v>
      </c>
      <c r="P148" s="22">
        <v>17.854000473022467</v>
      </c>
      <c r="Q148" s="22">
        <v>22.154000473022467</v>
      </c>
      <c r="S148" s="22">
        <v>0</v>
      </c>
      <c r="T148" s="22">
        <v>0</v>
      </c>
      <c r="U148" s="22">
        <v>0</v>
      </c>
      <c r="W148" s="22">
        <v>4.1957821387647205E-2</v>
      </c>
      <c r="X148" s="42">
        <v>8.3915642775294411E-2</v>
      </c>
      <c r="Y148" s="22">
        <v>0.12587346416294162</v>
      </c>
      <c r="AA148" s="22">
        <v>2.5000000000000001E-3</v>
      </c>
      <c r="AB148" s="22">
        <v>5.0000000000000001E-3</v>
      </c>
      <c r="AC148" s="22">
        <v>7.4999999999999997E-3</v>
      </c>
      <c r="AE148" s="22">
        <v>-0.25</v>
      </c>
      <c r="AF148" s="42">
        <v>1.5</v>
      </c>
      <c r="AG148" s="22">
        <v>0.25</v>
      </c>
      <c r="AI148" s="22">
        <v>-0.1</v>
      </c>
      <c r="AJ148" s="22">
        <v>0.3</v>
      </c>
      <c r="AK148" s="22">
        <v>0.1</v>
      </c>
      <c r="AM148" s="6">
        <v>48</v>
      </c>
      <c r="AN148" s="23">
        <v>0.4</v>
      </c>
      <c r="BE148" s="7">
        <v>40817</v>
      </c>
      <c r="BF148" s="25">
        <v>0.9</v>
      </c>
    </row>
    <row r="149" spans="1:58">
      <c r="A149" s="19">
        <v>39965</v>
      </c>
      <c r="B149" s="20">
        <v>54.639998474121093</v>
      </c>
      <c r="C149" s="432">
        <v>61.099998474121094</v>
      </c>
      <c r="D149" s="20">
        <v>68.059998474121087</v>
      </c>
      <c r="E149" s="13"/>
      <c r="F149" s="21">
        <v>14.695001220703123</v>
      </c>
      <c r="G149" s="21">
        <v>17.925001220703123</v>
      </c>
      <c r="H149" s="21">
        <v>21.155001220703124</v>
      </c>
      <c r="I149" s="6"/>
      <c r="J149" s="7">
        <v>40848</v>
      </c>
      <c r="K149" s="22">
        <v>18.481249618530285</v>
      </c>
      <c r="L149" s="22">
        <v>19.643749618530286</v>
      </c>
      <c r="M149" s="22">
        <v>20.806249618530288</v>
      </c>
      <c r="O149" s="22">
        <v>14.075000381469735</v>
      </c>
      <c r="P149" s="22">
        <v>18.375000381469736</v>
      </c>
      <c r="Q149" s="22">
        <v>22.675000381469737</v>
      </c>
      <c r="S149" s="22">
        <v>0</v>
      </c>
      <c r="T149" s="22">
        <v>0</v>
      </c>
      <c r="U149" s="22">
        <v>0</v>
      </c>
      <c r="W149" s="22">
        <v>4.1957821387647205E-2</v>
      </c>
      <c r="X149" s="42">
        <v>8.3915642775294411E-2</v>
      </c>
      <c r="Y149" s="22">
        <v>0.12587346416294162</v>
      </c>
      <c r="AA149" s="22">
        <v>2.5000000000000001E-3</v>
      </c>
      <c r="AB149" s="22">
        <v>5.0000000000000001E-3</v>
      </c>
      <c r="AC149" s="22">
        <v>7.4999999999999997E-3</v>
      </c>
      <c r="AE149" s="22">
        <v>-0.25</v>
      </c>
      <c r="AF149" s="42">
        <v>1.5</v>
      </c>
      <c r="AG149" s="22">
        <v>0.25</v>
      </c>
      <c r="AI149" s="22">
        <v>-0.1</v>
      </c>
      <c r="AJ149" s="22">
        <v>0.3</v>
      </c>
      <c r="AK149" s="22">
        <v>0.1</v>
      </c>
      <c r="AM149" s="6">
        <v>48</v>
      </c>
      <c r="AN149" s="23">
        <v>0.4</v>
      </c>
      <c r="BE149" s="7">
        <v>40848</v>
      </c>
      <c r="BF149" s="25">
        <v>0.9</v>
      </c>
    </row>
    <row r="150" spans="1:58">
      <c r="A150" s="19">
        <v>39995</v>
      </c>
      <c r="B150" s="20">
        <v>99.699996948242188</v>
      </c>
      <c r="C150" s="432">
        <v>104.69999694824219</v>
      </c>
      <c r="D150" s="20">
        <v>110.19999694824219</v>
      </c>
      <c r="E150" s="13"/>
      <c r="F150" s="21">
        <v>15.114999847412108</v>
      </c>
      <c r="G150" s="21">
        <v>17.614999847412108</v>
      </c>
      <c r="H150" s="21">
        <v>20.114999847412108</v>
      </c>
      <c r="I150" s="6"/>
      <c r="J150" s="7">
        <v>40878</v>
      </c>
      <c r="K150" s="22">
        <v>22.626250076293957</v>
      </c>
      <c r="L150" s="22">
        <v>23.788750076293958</v>
      </c>
      <c r="M150" s="22">
        <v>24.95125007629396</v>
      </c>
      <c r="O150" s="22">
        <v>14.525000190734875</v>
      </c>
      <c r="P150" s="22">
        <v>18.825000190734876</v>
      </c>
      <c r="Q150" s="22">
        <v>23.125000190734877</v>
      </c>
      <c r="S150" s="22">
        <v>0</v>
      </c>
      <c r="T150" s="22">
        <v>0</v>
      </c>
      <c r="U150" s="22">
        <v>0</v>
      </c>
      <c r="W150" s="22">
        <v>4.1957821387647205E-2</v>
      </c>
      <c r="X150" s="42">
        <v>8.3915642775294411E-2</v>
      </c>
      <c r="Y150" s="22">
        <v>0.12587346416294162</v>
      </c>
      <c r="AA150" s="22">
        <v>2.5000000000000001E-3</v>
      </c>
      <c r="AB150" s="22">
        <v>5.0000000000000001E-3</v>
      </c>
      <c r="AC150" s="22">
        <v>7.4999999999999997E-3</v>
      </c>
      <c r="AE150" s="22">
        <v>-0.25</v>
      </c>
      <c r="AF150" s="42">
        <v>1.5</v>
      </c>
      <c r="AG150" s="22">
        <v>0.25</v>
      </c>
      <c r="AI150" s="22">
        <v>-0.1</v>
      </c>
      <c r="AJ150" s="22">
        <v>0.3</v>
      </c>
      <c r="AK150" s="22">
        <v>0.1</v>
      </c>
      <c r="AM150" s="6">
        <v>48</v>
      </c>
      <c r="AN150" s="23">
        <v>0.4</v>
      </c>
      <c r="BE150" s="7">
        <v>40878</v>
      </c>
      <c r="BF150" s="25">
        <v>0.9</v>
      </c>
    </row>
    <row r="151" spans="1:58">
      <c r="A151" s="19">
        <v>40026</v>
      </c>
      <c r="B151" s="20">
        <v>86.699996948242188</v>
      </c>
      <c r="C151" s="432">
        <v>91.699996948242188</v>
      </c>
      <c r="D151" s="20">
        <v>97.199996948242188</v>
      </c>
      <c r="E151" s="13"/>
      <c r="F151" s="21">
        <v>15.164999084472655</v>
      </c>
      <c r="G151" s="21">
        <v>17.664999084472655</v>
      </c>
      <c r="H151" s="21">
        <v>20.164999084472655</v>
      </c>
      <c r="I151" s="6"/>
      <c r="J151" s="7">
        <v>40909</v>
      </c>
      <c r="K151" s="22">
        <v>33.023748779296874</v>
      </c>
      <c r="L151" s="22">
        <v>34.498748779296875</v>
      </c>
      <c r="M151" s="22">
        <v>35.773748779296874</v>
      </c>
      <c r="O151" s="22">
        <v>28.702500534057616</v>
      </c>
      <c r="P151" s="22">
        <v>33.002500534057617</v>
      </c>
      <c r="Q151" s="22">
        <v>37.302500534057614</v>
      </c>
      <c r="S151" s="22">
        <v>0.25</v>
      </c>
      <c r="T151" s="22">
        <v>0.25</v>
      </c>
      <c r="U151" s="22">
        <v>0.25</v>
      </c>
      <c r="W151" s="22">
        <v>6.4447213651426125E-2</v>
      </c>
      <c r="X151" s="42">
        <v>0.12889442730285225</v>
      </c>
      <c r="Y151" s="22">
        <v>0.19334164095427836</v>
      </c>
      <c r="AA151" s="22">
        <v>2.5000000000000001E-3</v>
      </c>
      <c r="AB151" s="22">
        <v>5.0000000000000001E-3</v>
      </c>
      <c r="AC151" s="22">
        <v>7.4999999999999997E-3</v>
      </c>
      <c r="AE151" s="22">
        <v>-0.4</v>
      </c>
      <c r="AF151" s="42">
        <v>1.75</v>
      </c>
      <c r="AG151" s="22">
        <v>0.5</v>
      </c>
      <c r="AI151" s="22">
        <v>-0.1</v>
      </c>
      <c r="AJ151" s="22">
        <v>0.3</v>
      </c>
      <c r="AK151" s="22">
        <v>0.1</v>
      </c>
      <c r="AM151" s="6">
        <v>49</v>
      </c>
      <c r="AN151" s="23">
        <v>0.4</v>
      </c>
      <c r="BE151" s="7">
        <v>40909</v>
      </c>
      <c r="BF151" s="25">
        <v>0.9</v>
      </c>
    </row>
    <row r="152" spans="1:58">
      <c r="A152" s="19">
        <v>40057</v>
      </c>
      <c r="B152" s="20">
        <v>34.424998474121097</v>
      </c>
      <c r="C152" s="432">
        <v>35.924998474121097</v>
      </c>
      <c r="D152" s="20">
        <v>37.924998474121097</v>
      </c>
      <c r="E152" s="13"/>
      <c r="F152" s="21">
        <v>16.914999084472655</v>
      </c>
      <c r="G152" s="21">
        <v>17.664999084472655</v>
      </c>
      <c r="H152" s="21">
        <v>18.414999084472655</v>
      </c>
      <c r="I152" s="6"/>
      <c r="J152" s="7">
        <v>40940</v>
      </c>
      <c r="K152" s="22">
        <v>32.021250152587889</v>
      </c>
      <c r="L152" s="22">
        <v>33.496250152587891</v>
      </c>
      <c r="M152" s="22">
        <v>34.771250152587889</v>
      </c>
      <c r="O152" s="22">
        <v>26.697499465942382</v>
      </c>
      <c r="P152" s="22">
        <v>30.997499465942383</v>
      </c>
      <c r="Q152" s="22">
        <v>35.29749946594238</v>
      </c>
      <c r="S152" s="22">
        <v>0</v>
      </c>
      <c r="T152" s="22">
        <v>0</v>
      </c>
      <c r="U152" s="22">
        <v>0</v>
      </c>
      <c r="W152" s="22">
        <v>6.4447213651426125E-2</v>
      </c>
      <c r="X152" s="42">
        <v>0.12889442730285225</v>
      </c>
      <c r="Y152" s="22">
        <v>0.19334164095427836</v>
      </c>
      <c r="AA152" s="22">
        <v>2.5000000000000001E-3</v>
      </c>
      <c r="AB152" s="22">
        <v>5.0000000000000001E-3</v>
      </c>
      <c r="AC152" s="22">
        <v>7.4999999999999997E-3</v>
      </c>
      <c r="AE152" s="22">
        <v>-0.4</v>
      </c>
      <c r="AF152" s="42">
        <v>1.75</v>
      </c>
      <c r="AG152" s="22">
        <v>0.5</v>
      </c>
      <c r="AI152" s="22">
        <v>-0.1</v>
      </c>
      <c r="AJ152" s="22">
        <v>0.3</v>
      </c>
      <c r="AK152" s="22">
        <v>0.1</v>
      </c>
      <c r="AM152" s="6">
        <v>49</v>
      </c>
      <c r="AN152" s="23">
        <v>0.4</v>
      </c>
      <c r="BE152" s="7">
        <v>40940</v>
      </c>
      <c r="BF152" s="25">
        <v>0.9</v>
      </c>
    </row>
    <row r="153" spans="1:58">
      <c r="A153" s="19">
        <v>40087</v>
      </c>
      <c r="B153" s="20">
        <v>28.225000381469727</v>
      </c>
      <c r="C153" s="432">
        <v>29.575000381469728</v>
      </c>
      <c r="D153" s="20">
        <v>31.425000381469729</v>
      </c>
      <c r="E153" s="13"/>
      <c r="F153" s="21">
        <v>16.689999847412107</v>
      </c>
      <c r="G153" s="21">
        <v>17.364999847412108</v>
      </c>
      <c r="H153" s="21">
        <v>18.039999847412108</v>
      </c>
      <c r="I153" s="6"/>
      <c r="J153" s="7">
        <v>40969</v>
      </c>
      <c r="K153" s="22">
        <v>21.122249603271499</v>
      </c>
      <c r="L153" s="22">
        <v>21.834749603271497</v>
      </c>
      <c r="M153" s="22">
        <v>22.547249603271496</v>
      </c>
      <c r="O153" s="22">
        <v>17.1644989013672</v>
      </c>
      <c r="P153" s="22">
        <v>21.4644989013672</v>
      </c>
      <c r="Q153" s="22">
        <v>25.764498901367201</v>
      </c>
      <c r="S153" s="22">
        <v>0</v>
      </c>
      <c r="T153" s="22">
        <v>0</v>
      </c>
      <c r="U153" s="22">
        <v>0</v>
      </c>
      <c r="W153" s="22">
        <v>5.3706011376188426E-2</v>
      </c>
      <c r="X153" s="42">
        <v>0.10741202275237685</v>
      </c>
      <c r="Y153" s="22">
        <v>0.16111803412856529</v>
      </c>
      <c r="AA153" s="22">
        <v>2.5000000000000001E-3</v>
      </c>
      <c r="AB153" s="22">
        <v>5.0000000000000001E-3</v>
      </c>
      <c r="AC153" s="22">
        <v>7.4999999999999997E-3</v>
      </c>
      <c r="AE153" s="22">
        <v>-0.25</v>
      </c>
      <c r="AF153" s="42">
        <v>1.1000000000000001</v>
      </c>
      <c r="AG153" s="22">
        <v>0.25</v>
      </c>
      <c r="AI153" s="22">
        <v>-0.1</v>
      </c>
      <c r="AJ153" s="22">
        <v>0.3</v>
      </c>
      <c r="AK153" s="22">
        <v>0.1</v>
      </c>
      <c r="AM153" s="6">
        <v>49</v>
      </c>
      <c r="AN153" s="23">
        <v>0.4</v>
      </c>
      <c r="BE153" s="7">
        <v>40969</v>
      </c>
      <c r="BF153" s="25">
        <v>0.9</v>
      </c>
    </row>
    <row r="154" spans="1:58">
      <c r="A154" s="19">
        <v>40118</v>
      </c>
      <c r="B154" s="20">
        <v>27.897499084472656</v>
      </c>
      <c r="C154" s="432">
        <v>29.247499084472658</v>
      </c>
      <c r="D154" s="20">
        <v>31.097499084472659</v>
      </c>
      <c r="E154" s="13"/>
      <c r="F154" s="21">
        <v>14.939999847412109</v>
      </c>
      <c r="G154" s="21">
        <v>15.614999847412109</v>
      </c>
      <c r="H154" s="21">
        <v>16.289999847412108</v>
      </c>
      <c r="I154" s="6"/>
      <c r="J154" s="7">
        <v>41000</v>
      </c>
      <c r="K154" s="22">
        <v>21.917500305175793</v>
      </c>
      <c r="L154" s="22">
        <v>22.517500305175794</v>
      </c>
      <c r="M154" s="22">
        <v>23.117500305175795</v>
      </c>
      <c r="O154" s="22">
        <v>16.934999084472668</v>
      </c>
      <c r="P154" s="22">
        <v>21.234999084472669</v>
      </c>
      <c r="Q154" s="22">
        <v>25.53499908447267</v>
      </c>
      <c r="S154" s="22">
        <v>0</v>
      </c>
      <c r="T154" s="22">
        <v>0</v>
      </c>
      <c r="U154" s="22">
        <v>0</v>
      </c>
      <c r="W154" s="22">
        <v>5.1020710807379008E-2</v>
      </c>
      <c r="X154" s="42">
        <v>0.10204142161475802</v>
      </c>
      <c r="Y154" s="22">
        <v>0.15306213242213701</v>
      </c>
      <c r="AA154" s="22">
        <v>2.5000000000000001E-3</v>
      </c>
      <c r="AB154" s="22">
        <v>5.0000000000000001E-3</v>
      </c>
      <c r="AC154" s="22">
        <v>7.4999999999999997E-3</v>
      </c>
      <c r="AE154" s="22">
        <v>-0.25</v>
      </c>
      <c r="AF154" s="42">
        <v>1.2</v>
      </c>
      <c r="AG154" s="22">
        <v>0.25</v>
      </c>
      <c r="AI154" s="22">
        <v>-0.1</v>
      </c>
      <c r="AJ154" s="22">
        <v>0.3</v>
      </c>
      <c r="AK154" s="22">
        <v>0.1</v>
      </c>
      <c r="AM154" s="6">
        <v>50</v>
      </c>
      <c r="AN154" s="23">
        <v>0.4</v>
      </c>
      <c r="BE154" s="7">
        <v>41000</v>
      </c>
      <c r="BF154" s="25">
        <v>0.9</v>
      </c>
    </row>
    <row r="155" spans="1:58">
      <c r="A155" s="19">
        <v>40148</v>
      </c>
      <c r="B155" s="20">
        <v>29.649999618530273</v>
      </c>
      <c r="C155" s="432">
        <v>30.999999618530275</v>
      </c>
      <c r="D155" s="20">
        <v>32.849999618530276</v>
      </c>
      <c r="E155" s="13"/>
      <c r="F155" s="21">
        <v>15.790000228881834</v>
      </c>
      <c r="G155" s="21">
        <v>16.465000228881834</v>
      </c>
      <c r="H155" s="21">
        <v>17.140000228881835</v>
      </c>
      <c r="I155" s="6"/>
      <c r="J155" s="7">
        <v>41030</v>
      </c>
      <c r="K155" s="22">
        <v>20.772500076293959</v>
      </c>
      <c r="L155" s="22">
        <v>22.632500076293958</v>
      </c>
      <c r="M155" s="22">
        <v>24.492500076293958</v>
      </c>
      <c r="O155" s="22">
        <v>17.464999771118176</v>
      </c>
      <c r="P155" s="22">
        <v>21.764999771118177</v>
      </c>
      <c r="Q155" s="22">
        <v>26.064999771118178</v>
      </c>
      <c r="S155" s="22">
        <v>0</v>
      </c>
      <c r="T155" s="22">
        <v>0</v>
      </c>
      <c r="U155" s="22">
        <v>0</v>
      </c>
      <c r="W155" s="22">
        <v>5.6391311944997843E-2</v>
      </c>
      <c r="X155" s="42">
        <v>0.11278262388999569</v>
      </c>
      <c r="Y155" s="22">
        <v>0.16917393583499352</v>
      </c>
      <c r="AA155" s="22">
        <v>2.5000000000000001E-3</v>
      </c>
      <c r="AB155" s="22">
        <v>5.0000000000000001E-3</v>
      </c>
      <c r="AC155" s="22">
        <v>7.4999999999999997E-3</v>
      </c>
      <c r="AE155" s="22">
        <v>-0.25</v>
      </c>
      <c r="AF155" s="42">
        <v>2</v>
      </c>
      <c r="AG155" s="22">
        <v>0.25</v>
      </c>
      <c r="AI155" s="22">
        <v>-0.1</v>
      </c>
      <c r="AJ155" s="22">
        <v>0.3</v>
      </c>
      <c r="AK155" s="22">
        <v>0.1</v>
      </c>
      <c r="AM155" s="6">
        <v>50</v>
      </c>
      <c r="AN155" s="23">
        <v>0.4</v>
      </c>
      <c r="BE155" s="7">
        <v>41030</v>
      </c>
      <c r="BF155" s="25">
        <v>0.9</v>
      </c>
    </row>
    <row r="156" spans="1:58">
      <c r="A156" s="19">
        <v>40179</v>
      </c>
      <c r="B156" s="20">
        <v>38.324998474121088</v>
      </c>
      <c r="C156" s="432">
        <v>39.824998474121088</v>
      </c>
      <c r="D156" s="20">
        <v>41.824998474121088</v>
      </c>
      <c r="E156" s="13"/>
      <c r="F156" s="21">
        <v>20.264997558593748</v>
      </c>
      <c r="G156" s="21">
        <v>21.014997558593748</v>
      </c>
      <c r="H156" s="21">
        <v>21.764997558593748</v>
      </c>
      <c r="I156" s="6"/>
      <c r="J156" s="7">
        <v>41061</v>
      </c>
      <c r="K156" s="22">
        <v>21.876250152587904</v>
      </c>
      <c r="L156" s="22">
        <v>27.208750152587903</v>
      </c>
      <c r="M156" s="22">
        <v>32.541250152587907</v>
      </c>
      <c r="O156" s="22">
        <v>16.39249954223634</v>
      </c>
      <c r="P156" s="22">
        <v>20.692499542236341</v>
      </c>
      <c r="Q156" s="22">
        <v>24.992499542236342</v>
      </c>
      <c r="S156" s="22">
        <v>0</v>
      </c>
      <c r="T156" s="22">
        <v>0</v>
      </c>
      <c r="U156" s="22">
        <v>0</v>
      </c>
      <c r="W156" s="22">
        <v>7.2503115357854378E-2</v>
      </c>
      <c r="X156" s="42">
        <v>0.14500623071570876</v>
      </c>
      <c r="Y156" s="22">
        <v>0.21750934607356315</v>
      </c>
      <c r="AA156" s="22">
        <v>2.5000000000000001E-3</v>
      </c>
      <c r="AB156" s="22">
        <v>5.0000000000000001E-3</v>
      </c>
      <c r="AC156" s="22">
        <v>7.4999999999999997E-3</v>
      </c>
      <c r="AE156" s="22">
        <v>-0.75</v>
      </c>
      <c r="AF156" s="42">
        <v>2.25</v>
      </c>
      <c r="AG156" s="22">
        <v>0.75</v>
      </c>
      <c r="AI156" s="22">
        <v>-0.1</v>
      </c>
      <c r="AJ156" s="22">
        <v>0.3</v>
      </c>
      <c r="AK156" s="22">
        <v>0.1</v>
      </c>
      <c r="AM156" s="6">
        <v>50</v>
      </c>
      <c r="AN156" s="23">
        <v>0.4</v>
      </c>
      <c r="BE156" s="7">
        <v>41061</v>
      </c>
      <c r="BF156" s="25">
        <v>0.9</v>
      </c>
    </row>
    <row r="157" spans="1:58">
      <c r="A157" s="19">
        <v>40210</v>
      </c>
      <c r="B157" s="20">
        <v>38.324998474121088</v>
      </c>
      <c r="C157" s="432">
        <v>39.824998474121088</v>
      </c>
      <c r="D157" s="20">
        <v>41.824998474121088</v>
      </c>
      <c r="E157" s="13"/>
      <c r="F157" s="21">
        <v>20.414997177124022</v>
      </c>
      <c r="G157" s="21">
        <v>21.164997177124022</v>
      </c>
      <c r="H157" s="21">
        <v>21.914997177124022</v>
      </c>
      <c r="I157" s="6"/>
      <c r="J157" s="7">
        <v>41091</v>
      </c>
      <c r="K157" s="22">
        <v>37.911249542236341</v>
      </c>
      <c r="L157" s="22">
        <v>41.661249542236341</v>
      </c>
      <c r="M157" s="22">
        <v>45.411249542236341</v>
      </c>
      <c r="O157" s="22">
        <v>26.847499465942395</v>
      </c>
      <c r="P157" s="22">
        <v>31.147499465942396</v>
      </c>
      <c r="Q157" s="22">
        <v>35.447499465942393</v>
      </c>
      <c r="S157" s="22">
        <v>0</v>
      </c>
      <c r="T157" s="22">
        <v>0</v>
      </c>
      <c r="U157" s="22">
        <v>0</v>
      </c>
      <c r="W157" s="22">
        <v>8.8614918770710885E-2</v>
      </c>
      <c r="X157" s="42">
        <v>0.17722983754142177</v>
      </c>
      <c r="Y157" s="22">
        <v>0.26584475631213267</v>
      </c>
      <c r="AA157" s="22">
        <v>2.5000000000000001E-3</v>
      </c>
      <c r="AB157" s="22">
        <v>5.0000000000000001E-3</v>
      </c>
      <c r="AC157" s="22">
        <v>7.4999999999999997E-3</v>
      </c>
      <c r="AE157" s="22">
        <v>-1</v>
      </c>
      <c r="AF157" s="42">
        <v>3</v>
      </c>
      <c r="AG157" s="22">
        <v>1</v>
      </c>
      <c r="AI157" s="22">
        <v>-0.1</v>
      </c>
      <c r="AJ157" s="22">
        <v>0.3</v>
      </c>
      <c r="AK157" s="22">
        <v>0.1</v>
      </c>
      <c r="AM157" s="6">
        <v>51</v>
      </c>
      <c r="AN157" s="23">
        <v>0.4</v>
      </c>
      <c r="BE157" s="7">
        <v>41091</v>
      </c>
      <c r="BF157" s="25">
        <v>0.9</v>
      </c>
    </row>
    <row r="158" spans="1:58">
      <c r="A158" s="19">
        <v>40238</v>
      </c>
      <c r="B158" s="20">
        <v>28.700000762939453</v>
      </c>
      <c r="C158" s="432">
        <v>29.550000762939455</v>
      </c>
      <c r="D158" s="20">
        <v>30.900000762939456</v>
      </c>
      <c r="E158" s="13"/>
      <c r="F158" s="21">
        <v>17.989999084472654</v>
      </c>
      <c r="G158" s="21">
        <v>18.414999084472655</v>
      </c>
      <c r="H158" s="21">
        <v>18.839999084472655</v>
      </c>
      <c r="I158" s="6"/>
      <c r="J158" s="7">
        <v>41122</v>
      </c>
      <c r="K158" s="22">
        <v>40.172499084472669</v>
      </c>
      <c r="L158" s="22">
        <v>43.922499084472669</v>
      </c>
      <c r="M158" s="22">
        <v>47.672499084472669</v>
      </c>
      <c r="O158" s="22">
        <v>28.345000839233411</v>
      </c>
      <c r="P158" s="22">
        <v>32.645000839233411</v>
      </c>
      <c r="Q158" s="22">
        <v>36.945000839233408</v>
      </c>
      <c r="S158" s="22">
        <v>0</v>
      </c>
      <c r="T158" s="22">
        <v>0</v>
      </c>
      <c r="U158" s="22">
        <v>0</v>
      </c>
      <c r="W158" s="22">
        <v>8.8614918770710885E-2</v>
      </c>
      <c r="X158" s="42">
        <v>0.17722983754142177</v>
      </c>
      <c r="Y158" s="22">
        <v>0.26584475631213267</v>
      </c>
      <c r="AA158" s="22">
        <v>2.5000000000000001E-3</v>
      </c>
      <c r="AB158" s="22">
        <v>5.0000000000000001E-3</v>
      </c>
      <c r="AC158" s="22">
        <v>7.4999999999999997E-3</v>
      </c>
      <c r="AE158" s="22">
        <v>-1</v>
      </c>
      <c r="AF158" s="42">
        <v>3</v>
      </c>
      <c r="AG158" s="22">
        <v>1</v>
      </c>
      <c r="AI158" s="22">
        <v>-0.1</v>
      </c>
      <c r="AJ158" s="22">
        <v>0.3</v>
      </c>
      <c r="AK158" s="22">
        <v>0.1</v>
      </c>
      <c r="AM158" s="6">
        <v>51</v>
      </c>
      <c r="AN158" s="23">
        <v>0.4</v>
      </c>
      <c r="BE158" s="7">
        <v>41122</v>
      </c>
      <c r="BF158" s="25">
        <v>0.9</v>
      </c>
    </row>
    <row r="159" spans="1:58">
      <c r="A159" s="19">
        <v>40269</v>
      </c>
      <c r="B159" s="20">
        <v>28.625000762939454</v>
      </c>
      <c r="C159" s="432">
        <v>29.325000762939453</v>
      </c>
      <c r="D159" s="20">
        <v>30.525000762939452</v>
      </c>
      <c r="E159" s="13"/>
      <c r="F159" s="21">
        <v>18.314999084472653</v>
      </c>
      <c r="G159" s="21">
        <v>18.664999084472655</v>
      </c>
      <c r="H159" s="21">
        <v>19.014999084472656</v>
      </c>
      <c r="I159" s="6"/>
      <c r="J159" s="7">
        <v>41153</v>
      </c>
      <c r="K159" s="22">
        <v>19.779999542236339</v>
      </c>
      <c r="L159" s="22">
        <v>21.129999542236341</v>
      </c>
      <c r="M159" s="22">
        <v>22.479999542236342</v>
      </c>
      <c r="O159" s="22">
        <v>13.410000419616704</v>
      </c>
      <c r="P159" s="22">
        <v>17.710000419616705</v>
      </c>
      <c r="Q159" s="22">
        <v>22.010000419616706</v>
      </c>
      <c r="S159" s="22">
        <v>0</v>
      </c>
      <c r="T159" s="22">
        <v>0</v>
      </c>
      <c r="U159" s="22">
        <v>0</v>
      </c>
      <c r="W159" s="22">
        <v>5.6960921156563482E-2</v>
      </c>
      <c r="X159" s="42">
        <v>0.11392184231312696</v>
      </c>
      <c r="Y159" s="22">
        <v>0.17088276346969045</v>
      </c>
      <c r="AA159" s="22">
        <v>2.5000000000000001E-3</v>
      </c>
      <c r="AB159" s="22">
        <v>5.0000000000000001E-3</v>
      </c>
      <c r="AC159" s="22">
        <v>7.4999999999999997E-3</v>
      </c>
      <c r="AE159" s="22">
        <v>-0.4</v>
      </c>
      <c r="AF159" s="42">
        <v>1.75</v>
      </c>
      <c r="AG159" s="22">
        <v>0.5</v>
      </c>
      <c r="AI159" s="22">
        <v>-0.1</v>
      </c>
      <c r="AJ159" s="22">
        <v>0.3</v>
      </c>
      <c r="AK159" s="22">
        <v>0.1</v>
      </c>
      <c r="AM159" s="6">
        <v>51</v>
      </c>
      <c r="AN159" s="23">
        <v>0.4</v>
      </c>
      <c r="BE159" s="7">
        <v>41153</v>
      </c>
      <c r="BF159" s="25">
        <v>0.9</v>
      </c>
    </row>
    <row r="160" spans="1:58">
      <c r="A160" s="19">
        <v>40299</v>
      </c>
      <c r="B160" s="20">
        <v>34.844999999999999</v>
      </c>
      <c r="C160" s="432">
        <v>37.325000000000003</v>
      </c>
      <c r="D160" s="20">
        <v>40.305</v>
      </c>
      <c r="E160" s="13"/>
      <c r="F160" s="21">
        <v>16.874999847412109</v>
      </c>
      <c r="G160" s="21">
        <v>18.114999847412108</v>
      </c>
      <c r="H160" s="21">
        <v>19.354999847412106</v>
      </c>
      <c r="I160" s="6"/>
      <c r="J160" s="7">
        <v>41183</v>
      </c>
      <c r="K160" s="22">
        <v>18.944499588012707</v>
      </c>
      <c r="L160" s="22">
        <v>20.181999588012708</v>
      </c>
      <c r="M160" s="22">
        <v>21.419499588012709</v>
      </c>
      <c r="O160" s="22">
        <v>13.554000473022466</v>
      </c>
      <c r="P160" s="22">
        <v>17.854000473022467</v>
      </c>
      <c r="Q160" s="22">
        <v>22.154000473022467</v>
      </c>
      <c r="S160" s="22">
        <v>0</v>
      </c>
      <c r="T160" s="22">
        <v>0</v>
      </c>
      <c r="U160" s="22">
        <v>0</v>
      </c>
      <c r="W160" s="22">
        <v>4.0279508532141316E-2</v>
      </c>
      <c r="X160" s="42">
        <v>8.0559017064282631E-2</v>
      </c>
      <c r="Y160" s="22">
        <v>0.12083852559642394</v>
      </c>
      <c r="AA160" s="22">
        <v>2.5000000000000001E-3</v>
      </c>
      <c r="AB160" s="22">
        <v>5.0000000000000001E-3</v>
      </c>
      <c r="AC160" s="22">
        <v>7.4999999999999997E-3</v>
      </c>
      <c r="AE160" s="22">
        <v>-0.25</v>
      </c>
      <c r="AF160" s="42">
        <v>1.5</v>
      </c>
      <c r="AG160" s="22">
        <v>0.25</v>
      </c>
      <c r="AI160" s="22">
        <v>-0.1</v>
      </c>
      <c r="AJ160" s="22">
        <v>0.3</v>
      </c>
      <c r="AK160" s="22">
        <v>0.1</v>
      </c>
      <c r="AM160" s="6">
        <v>52</v>
      </c>
      <c r="AN160" s="23">
        <v>0.4</v>
      </c>
      <c r="BE160" s="7">
        <v>41183</v>
      </c>
      <c r="BF160" s="25">
        <v>0.9</v>
      </c>
    </row>
    <row r="161" spans="1:58">
      <c r="A161" s="19">
        <v>40330</v>
      </c>
      <c r="B161" s="20">
        <v>55.239998474121094</v>
      </c>
      <c r="C161" s="432">
        <v>62.349998474121094</v>
      </c>
      <c r="D161" s="20">
        <v>69.959998474121093</v>
      </c>
      <c r="E161" s="13"/>
      <c r="F161" s="21">
        <v>14.620001220703124</v>
      </c>
      <c r="G161" s="21">
        <v>18.175001220703123</v>
      </c>
      <c r="H161" s="21">
        <v>21.730001220703123</v>
      </c>
      <c r="I161" s="6"/>
      <c r="J161" s="7">
        <v>41214</v>
      </c>
      <c r="K161" s="22">
        <v>18.406249618530286</v>
      </c>
      <c r="L161" s="22">
        <v>19.643749618530286</v>
      </c>
      <c r="M161" s="22">
        <v>20.881249618530287</v>
      </c>
      <c r="O161" s="22">
        <v>14.075000381469735</v>
      </c>
      <c r="P161" s="22">
        <v>18.375000381469736</v>
      </c>
      <c r="Q161" s="22">
        <v>22.675000381469737</v>
      </c>
      <c r="S161" s="22">
        <v>0</v>
      </c>
      <c r="T161" s="22">
        <v>0</v>
      </c>
      <c r="U161" s="22">
        <v>0</v>
      </c>
      <c r="W161" s="22">
        <v>4.0279508532141316E-2</v>
      </c>
      <c r="X161" s="42">
        <v>8.0559017064282631E-2</v>
      </c>
      <c r="Y161" s="22">
        <v>0.12083852559642394</v>
      </c>
      <c r="AA161" s="22">
        <v>2.5000000000000001E-3</v>
      </c>
      <c r="AB161" s="22">
        <v>5.0000000000000001E-3</v>
      </c>
      <c r="AC161" s="22">
        <v>7.4999999999999997E-3</v>
      </c>
      <c r="AE161" s="22">
        <v>-0.25</v>
      </c>
      <c r="AF161" s="42">
        <v>1.5</v>
      </c>
      <c r="AG161" s="22">
        <v>0.25</v>
      </c>
      <c r="AI161" s="22">
        <v>-0.1</v>
      </c>
      <c r="AJ161" s="22">
        <v>0.3</v>
      </c>
      <c r="AK161" s="22">
        <v>0.1</v>
      </c>
      <c r="AM161" s="6">
        <v>52</v>
      </c>
      <c r="AN161" s="23">
        <v>0.4</v>
      </c>
      <c r="BE161" s="7">
        <v>41214</v>
      </c>
      <c r="BF161" s="25">
        <v>0.9</v>
      </c>
    </row>
    <row r="162" spans="1:58">
      <c r="A162" s="19">
        <v>40360</v>
      </c>
      <c r="B162" s="20">
        <v>101.94999694824219</v>
      </c>
      <c r="C162" s="432">
        <v>106.94999694824219</v>
      </c>
      <c r="D162" s="20">
        <v>112.44999694824219</v>
      </c>
      <c r="E162" s="13"/>
      <c r="F162" s="21">
        <v>15.364999847412108</v>
      </c>
      <c r="G162" s="21">
        <v>17.864999847412108</v>
      </c>
      <c r="H162" s="21">
        <v>20.364999847412108</v>
      </c>
      <c r="I162" s="6"/>
      <c r="J162" s="7">
        <v>41244</v>
      </c>
      <c r="K162" s="22">
        <v>22.551250076293957</v>
      </c>
      <c r="L162" s="22">
        <v>23.788750076293958</v>
      </c>
      <c r="M162" s="22">
        <v>25.026250076293959</v>
      </c>
      <c r="O162" s="22">
        <v>14.525000190734875</v>
      </c>
      <c r="P162" s="22">
        <v>18.825000190734876</v>
      </c>
      <c r="Q162" s="22">
        <v>23.125000190734877</v>
      </c>
      <c r="S162" s="22">
        <v>0</v>
      </c>
      <c r="T162" s="22">
        <v>0</v>
      </c>
      <c r="U162" s="22">
        <v>0</v>
      </c>
      <c r="W162" s="22">
        <v>4.0279508532141316E-2</v>
      </c>
      <c r="X162" s="42">
        <v>8.0559017064282631E-2</v>
      </c>
      <c r="Y162" s="22">
        <v>0.12083852559642394</v>
      </c>
      <c r="AA162" s="22">
        <v>2.5000000000000001E-3</v>
      </c>
      <c r="AB162" s="22">
        <v>5.0000000000000001E-3</v>
      </c>
      <c r="AC162" s="22">
        <v>7.4999999999999997E-3</v>
      </c>
      <c r="AE162" s="22">
        <v>-0.25</v>
      </c>
      <c r="AF162" s="42">
        <v>1.5</v>
      </c>
      <c r="AG162" s="22">
        <v>0.25</v>
      </c>
      <c r="AI162" s="22">
        <v>-0.1</v>
      </c>
      <c r="AJ162" s="22">
        <v>0.3</v>
      </c>
      <c r="AK162" s="22">
        <v>0.1</v>
      </c>
      <c r="AM162" s="6">
        <v>52</v>
      </c>
      <c r="AN162" s="23">
        <v>0.4</v>
      </c>
      <c r="BE162" s="7">
        <v>41244</v>
      </c>
      <c r="BF162" s="25">
        <v>0.9</v>
      </c>
    </row>
    <row r="163" spans="1:58">
      <c r="A163" s="19">
        <v>40391</v>
      </c>
      <c r="B163" s="20">
        <v>88.949996948242188</v>
      </c>
      <c r="C163" s="432">
        <v>93.949996948242188</v>
      </c>
      <c r="D163" s="20">
        <v>99.449996948242188</v>
      </c>
      <c r="E163" s="13"/>
      <c r="F163" s="21">
        <v>15.414999084472655</v>
      </c>
      <c r="G163" s="21">
        <v>17.914999084472655</v>
      </c>
      <c r="H163" s="21">
        <v>20.414999084472655</v>
      </c>
      <c r="I163" s="6"/>
      <c r="J163" s="7">
        <v>41275</v>
      </c>
      <c r="K163" s="22">
        <v>32.948748779296878</v>
      </c>
      <c r="L163" s="22">
        <v>34.498748779296875</v>
      </c>
      <c r="M163" s="22">
        <v>35.848748779296876</v>
      </c>
      <c r="O163" s="22">
        <v>28.702500534057616</v>
      </c>
      <c r="P163" s="22">
        <v>33.002500534057617</v>
      </c>
      <c r="Q163" s="22">
        <v>37.302500534057614</v>
      </c>
      <c r="S163" s="22">
        <v>0.25</v>
      </c>
      <c r="T163" s="22">
        <v>0.25</v>
      </c>
      <c r="U163" s="22">
        <v>0.25</v>
      </c>
      <c r="W163" s="22">
        <v>6.1869325105369077E-2</v>
      </c>
      <c r="X163" s="42">
        <v>0.12373865021073815</v>
      </c>
      <c r="Y163" s="22">
        <v>0.18560797531610723</v>
      </c>
      <c r="AA163" s="22">
        <v>2.5000000000000001E-3</v>
      </c>
      <c r="AB163" s="22">
        <v>5.0000000000000001E-3</v>
      </c>
      <c r="AC163" s="22">
        <v>7.4999999999999997E-3</v>
      </c>
      <c r="AE163" s="22">
        <v>-0.4</v>
      </c>
      <c r="AF163" s="42">
        <v>1.75</v>
      </c>
      <c r="AG163" s="22">
        <v>0.5</v>
      </c>
      <c r="AI163" s="22">
        <v>-0.1</v>
      </c>
      <c r="AJ163" s="22">
        <v>0.3</v>
      </c>
      <c r="AK163" s="22">
        <v>0.1</v>
      </c>
      <c r="AM163" s="6">
        <v>53</v>
      </c>
      <c r="AN163" s="23">
        <v>0.4</v>
      </c>
      <c r="BE163" s="7">
        <v>41275</v>
      </c>
      <c r="BF163" s="25">
        <v>0.9</v>
      </c>
    </row>
    <row r="164" spans="1:58">
      <c r="A164" s="19">
        <v>40422</v>
      </c>
      <c r="B164" s="20">
        <v>34.824998474121095</v>
      </c>
      <c r="C164" s="432">
        <v>36.424998474121097</v>
      </c>
      <c r="D164" s="20">
        <v>38.524998474121098</v>
      </c>
      <c r="E164" s="13"/>
      <c r="F164" s="21">
        <v>17.114999084472654</v>
      </c>
      <c r="G164" s="21">
        <v>17.914999084472655</v>
      </c>
      <c r="H164" s="21">
        <v>18.714999084472655</v>
      </c>
      <c r="I164" s="6"/>
      <c r="J164" s="7">
        <v>41306</v>
      </c>
      <c r="K164" s="22">
        <v>31.94625015258789</v>
      </c>
      <c r="L164" s="22">
        <v>33.496250152587891</v>
      </c>
      <c r="M164" s="22">
        <v>34.846250152587892</v>
      </c>
      <c r="O164" s="22">
        <v>26.697499465942382</v>
      </c>
      <c r="P164" s="22">
        <v>30.997499465942383</v>
      </c>
      <c r="Q164" s="22">
        <v>35.29749946594238</v>
      </c>
      <c r="S164" s="22">
        <v>0</v>
      </c>
      <c r="T164" s="22">
        <v>0</v>
      </c>
      <c r="U164" s="22">
        <v>0</v>
      </c>
      <c r="W164" s="22">
        <v>6.1869325105369077E-2</v>
      </c>
      <c r="X164" s="42">
        <v>0.12373865021073815</v>
      </c>
      <c r="Y164" s="22">
        <v>0.18560797531610723</v>
      </c>
      <c r="AA164" s="22">
        <v>2.5000000000000001E-3</v>
      </c>
      <c r="AB164" s="22">
        <v>5.0000000000000001E-3</v>
      </c>
      <c r="AC164" s="22">
        <v>7.4999999999999997E-3</v>
      </c>
      <c r="AE164" s="22">
        <v>-0.4</v>
      </c>
      <c r="AF164" s="42">
        <v>1.75</v>
      </c>
      <c r="AG164" s="22">
        <v>0.5</v>
      </c>
      <c r="AI164" s="22">
        <v>-0.1</v>
      </c>
      <c r="AJ164" s="22">
        <v>0.3</v>
      </c>
      <c r="AK164" s="22">
        <v>0.1</v>
      </c>
      <c r="AM164" s="6">
        <v>53</v>
      </c>
      <c r="AN164" s="23">
        <v>0.4</v>
      </c>
      <c r="BE164" s="7">
        <v>41306</v>
      </c>
      <c r="BF164" s="25">
        <v>0.9</v>
      </c>
    </row>
    <row r="165" spans="1:58">
      <c r="A165" s="19">
        <v>40452</v>
      </c>
      <c r="B165" s="20">
        <v>28.625000381469729</v>
      </c>
      <c r="C165" s="432">
        <v>30.075000381469728</v>
      </c>
      <c r="D165" s="20">
        <v>32.025000381469731</v>
      </c>
      <c r="E165" s="13"/>
      <c r="F165" s="21">
        <v>16.889999847412106</v>
      </c>
      <c r="G165" s="21">
        <v>17.614999847412108</v>
      </c>
      <c r="H165" s="21">
        <v>18.339999847412109</v>
      </c>
      <c r="I165" s="6"/>
      <c r="J165" s="7">
        <v>41334</v>
      </c>
      <c r="K165" s="22">
        <v>21.084749603271497</v>
      </c>
      <c r="L165" s="22">
        <v>21.834749603271497</v>
      </c>
      <c r="M165" s="22">
        <v>22.584749603271497</v>
      </c>
      <c r="O165" s="22">
        <v>17.1644989013672</v>
      </c>
      <c r="P165" s="22">
        <v>21.4644989013672</v>
      </c>
      <c r="Q165" s="22">
        <v>25.764498901367201</v>
      </c>
      <c r="S165" s="22">
        <v>0</v>
      </c>
      <c r="T165" s="22">
        <v>0</v>
      </c>
      <c r="U165" s="22">
        <v>0</v>
      </c>
      <c r="W165" s="22">
        <v>5.1557770921140889E-2</v>
      </c>
      <c r="X165" s="42">
        <v>0.10311554184228178</v>
      </c>
      <c r="Y165" s="22">
        <v>0.15467331276342267</v>
      </c>
      <c r="AA165" s="22">
        <v>2.5000000000000001E-3</v>
      </c>
      <c r="AB165" s="22">
        <v>5.0000000000000001E-3</v>
      </c>
      <c r="AC165" s="22">
        <v>7.4999999999999997E-3</v>
      </c>
      <c r="AE165" s="22">
        <v>-0.25</v>
      </c>
      <c r="AF165" s="42">
        <v>1.1000000000000001</v>
      </c>
      <c r="AG165" s="22">
        <v>0.25</v>
      </c>
      <c r="AI165" s="22">
        <v>-0.1</v>
      </c>
      <c r="AJ165" s="22">
        <v>0.3</v>
      </c>
      <c r="AK165" s="22">
        <v>0.1</v>
      </c>
      <c r="AM165" s="6">
        <v>53</v>
      </c>
      <c r="AN165" s="23">
        <v>0.4</v>
      </c>
      <c r="BE165" s="7">
        <v>41334</v>
      </c>
      <c r="BF165" s="25">
        <v>0.9</v>
      </c>
    </row>
    <row r="166" spans="1:58">
      <c r="A166" s="19">
        <v>40483</v>
      </c>
      <c r="B166" s="20">
        <v>28.297499084472658</v>
      </c>
      <c r="C166" s="432">
        <v>29.747499084472658</v>
      </c>
      <c r="D166" s="20">
        <v>31.697499084472657</v>
      </c>
      <c r="E166" s="13"/>
      <c r="F166" s="21">
        <v>15.13999984741211</v>
      </c>
      <c r="G166" s="21">
        <v>15.864999847412109</v>
      </c>
      <c r="H166" s="21">
        <v>16.589999847412109</v>
      </c>
      <c r="I166" s="6"/>
      <c r="J166" s="7">
        <v>41365</v>
      </c>
      <c r="K166" s="22">
        <v>21.880000305175795</v>
      </c>
      <c r="L166" s="22">
        <v>22.517500305175794</v>
      </c>
      <c r="M166" s="22">
        <v>23.155000305175793</v>
      </c>
      <c r="O166" s="22">
        <v>16.934999084472668</v>
      </c>
      <c r="P166" s="22">
        <v>21.234999084472669</v>
      </c>
      <c r="Q166" s="22">
        <v>25.53499908447267</v>
      </c>
      <c r="S166" s="22">
        <v>0</v>
      </c>
      <c r="T166" s="22">
        <v>0</v>
      </c>
      <c r="U166" s="22">
        <v>0</v>
      </c>
      <c r="W166" s="22">
        <v>4.8979882375083848E-2</v>
      </c>
      <c r="X166" s="42">
        <v>9.7959764750167697E-2</v>
      </c>
      <c r="Y166" s="22">
        <v>0.14693964712525154</v>
      </c>
      <c r="AA166" s="22">
        <v>2.5000000000000001E-3</v>
      </c>
      <c r="AB166" s="22">
        <v>5.0000000000000001E-3</v>
      </c>
      <c r="AC166" s="22">
        <v>7.4999999999999997E-3</v>
      </c>
      <c r="AE166" s="22">
        <v>-0.25</v>
      </c>
      <c r="AF166" s="42">
        <v>1.2</v>
      </c>
      <c r="AG166" s="22">
        <v>0.25</v>
      </c>
      <c r="AI166" s="22">
        <v>-0.1</v>
      </c>
      <c r="AJ166" s="22">
        <v>0.3</v>
      </c>
      <c r="AK166" s="22">
        <v>0.1</v>
      </c>
      <c r="AM166" s="6">
        <v>54</v>
      </c>
      <c r="AN166" s="23">
        <v>0.4</v>
      </c>
      <c r="BE166" s="7">
        <v>41365</v>
      </c>
      <c r="BF166" s="25">
        <v>0.9</v>
      </c>
    </row>
    <row r="167" spans="1:58">
      <c r="A167" s="19">
        <v>40513</v>
      </c>
      <c r="B167" s="20">
        <v>30.049999618530276</v>
      </c>
      <c r="C167" s="432">
        <v>31.499999618530275</v>
      </c>
      <c r="D167" s="20">
        <v>33.449999618530278</v>
      </c>
      <c r="E167" s="13"/>
      <c r="F167" s="21">
        <v>15.990000228881835</v>
      </c>
      <c r="G167" s="21">
        <v>16.715000228881834</v>
      </c>
      <c r="H167" s="21">
        <v>17.440000228881836</v>
      </c>
      <c r="I167" s="6"/>
      <c r="J167" s="7">
        <v>41395</v>
      </c>
      <c r="K167" s="22">
        <v>20.772500076293959</v>
      </c>
      <c r="L167" s="22">
        <v>22.632500076293958</v>
      </c>
      <c r="M167" s="22">
        <v>24.492500076293958</v>
      </c>
      <c r="O167" s="22">
        <v>17.464999771118176</v>
      </c>
      <c r="P167" s="22">
        <v>21.764999771118177</v>
      </c>
      <c r="Q167" s="22">
        <v>26.064999771118178</v>
      </c>
      <c r="S167" s="22">
        <v>0</v>
      </c>
      <c r="T167" s="22">
        <v>0</v>
      </c>
      <c r="U167" s="22">
        <v>0</v>
      </c>
      <c r="W167" s="22">
        <v>5.4135659467197929E-2</v>
      </c>
      <c r="X167" s="42">
        <v>0.10827131893439586</v>
      </c>
      <c r="Y167" s="22">
        <v>0.16240697840159379</v>
      </c>
      <c r="AA167" s="22">
        <v>2.5000000000000001E-3</v>
      </c>
      <c r="AB167" s="22">
        <v>5.0000000000000001E-3</v>
      </c>
      <c r="AC167" s="22">
        <v>7.4999999999999997E-3</v>
      </c>
      <c r="AE167" s="22">
        <v>-0.25</v>
      </c>
      <c r="AF167" s="42">
        <v>2</v>
      </c>
      <c r="AG167" s="22">
        <v>0.25</v>
      </c>
      <c r="AI167" s="22">
        <v>-0.1</v>
      </c>
      <c r="AJ167" s="22">
        <v>0.3</v>
      </c>
      <c r="AK167" s="22">
        <v>0.1</v>
      </c>
      <c r="AM167" s="6">
        <v>54</v>
      </c>
      <c r="AN167" s="23">
        <v>0.4</v>
      </c>
      <c r="BE167" s="7">
        <v>41395</v>
      </c>
      <c r="BF167" s="25">
        <v>0.9</v>
      </c>
    </row>
    <row r="168" spans="1:58">
      <c r="A168" s="19">
        <v>40544</v>
      </c>
      <c r="B168" s="20">
        <v>38.474998474121087</v>
      </c>
      <c r="C168" s="432">
        <v>40.074998474121088</v>
      </c>
      <c r="D168" s="20">
        <v>42.174998474121089</v>
      </c>
      <c r="E168" s="13"/>
      <c r="F168" s="21">
        <v>20.214997558593748</v>
      </c>
      <c r="G168" s="21">
        <v>21.014997558593748</v>
      </c>
      <c r="H168" s="21">
        <v>21.814997558593749</v>
      </c>
      <c r="I168" s="6"/>
      <c r="J168" s="7">
        <v>41426</v>
      </c>
      <c r="K168" s="22">
        <v>21.876250152587904</v>
      </c>
      <c r="L168" s="22">
        <v>27.208750152587903</v>
      </c>
      <c r="M168" s="22">
        <v>32.541250152587907</v>
      </c>
      <c r="O168" s="22">
        <v>16.39249954223634</v>
      </c>
      <c r="P168" s="22">
        <v>20.692499542236341</v>
      </c>
      <c r="Q168" s="22">
        <v>24.992499542236342</v>
      </c>
      <c r="S168" s="22">
        <v>0</v>
      </c>
      <c r="T168" s="22">
        <v>0</v>
      </c>
      <c r="U168" s="22">
        <v>0</v>
      </c>
      <c r="W168" s="22">
        <v>6.9602990743540205E-2</v>
      </c>
      <c r="X168" s="42">
        <v>0.13920598148708041</v>
      </c>
      <c r="Y168" s="22">
        <v>0.20880897223062062</v>
      </c>
      <c r="AA168" s="22">
        <v>2.5000000000000001E-3</v>
      </c>
      <c r="AB168" s="22">
        <v>5.0000000000000001E-3</v>
      </c>
      <c r="AC168" s="22">
        <v>7.4999999999999997E-3</v>
      </c>
      <c r="AE168" s="22">
        <v>-0.75</v>
      </c>
      <c r="AF168" s="42">
        <v>2.25</v>
      </c>
      <c r="AG168" s="22">
        <v>0.75</v>
      </c>
      <c r="AI168" s="22">
        <v>-0.1</v>
      </c>
      <c r="AJ168" s="22">
        <v>0.3</v>
      </c>
      <c r="AK168" s="22">
        <v>0.1</v>
      </c>
      <c r="AM168" s="6">
        <v>54</v>
      </c>
      <c r="AN168" s="23">
        <v>0.4</v>
      </c>
      <c r="BE168" s="7">
        <v>41426</v>
      </c>
      <c r="BF168" s="25">
        <v>0.9</v>
      </c>
    </row>
    <row r="169" spans="1:58">
      <c r="A169" s="19">
        <v>40575</v>
      </c>
      <c r="B169" s="20">
        <v>38.474998474121087</v>
      </c>
      <c r="C169" s="432">
        <v>40.074998474121088</v>
      </c>
      <c r="D169" s="20">
        <v>42.174998474121089</v>
      </c>
      <c r="E169" s="13"/>
      <c r="F169" s="21">
        <v>20.364997177124021</v>
      </c>
      <c r="G169" s="21">
        <v>21.164997177124022</v>
      </c>
      <c r="H169" s="21">
        <v>21.964997177124022</v>
      </c>
      <c r="I169" s="6"/>
      <c r="J169" s="7">
        <v>41456</v>
      </c>
      <c r="K169" s="22">
        <v>37.911249542236341</v>
      </c>
      <c r="L169" s="22">
        <v>41.661249542236341</v>
      </c>
      <c r="M169" s="22">
        <v>45.411249542236341</v>
      </c>
      <c r="O169" s="22">
        <v>26.847499465942395</v>
      </c>
      <c r="P169" s="22">
        <v>31.147499465942396</v>
      </c>
      <c r="Q169" s="22">
        <v>35.447499465942393</v>
      </c>
      <c r="S169" s="22">
        <v>0</v>
      </c>
      <c r="T169" s="22">
        <v>0</v>
      </c>
      <c r="U169" s="22">
        <v>0</v>
      </c>
      <c r="W169" s="22">
        <v>8.5070322019882447E-2</v>
      </c>
      <c r="X169" s="42">
        <v>0.17014064403976489</v>
      </c>
      <c r="Y169" s="22">
        <v>0.25521096605964733</v>
      </c>
      <c r="AA169" s="22">
        <v>2.5000000000000001E-3</v>
      </c>
      <c r="AB169" s="22">
        <v>5.0000000000000001E-3</v>
      </c>
      <c r="AC169" s="22">
        <v>7.4999999999999997E-3</v>
      </c>
      <c r="AE169" s="22">
        <v>-1</v>
      </c>
      <c r="AF169" s="42">
        <v>3</v>
      </c>
      <c r="AG169" s="22">
        <v>1</v>
      </c>
      <c r="AI169" s="22">
        <v>-0.1</v>
      </c>
      <c r="AJ169" s="22">
        <v>0.3</v>
      </c>
      <c r="AK169" s="22">
        <v>0.1</v>
      </c>
      <c r="AM169" s="6">
        <v>55</v>
      </c>
      <c r="AN169" s="23">
        <v>0.4</v>
      </c>
      <c r="BE169" s="7">
        <v>41456</v>
      </c>
      <c r="BF169" s="25">
        <v>0.9</v>
      </c>
    </row>
    <row r="170" spans="1:58">
      <c r="A170" s="19">
        <v>40603</v>
      </c>
      <c r="B170" s="20">
        <v>28.900000762939456</v>
      </c>
      <c r="C170" s="432">
        <v>29.800000762939455</v>
      </c>
      <c r="D170" s="20">
        <v>31.200000762939453</v>
      </c>
      <c r="E170" s="13"/>
      <c r="F170" s="21">
        <v>17.964999084472655</v>
      </c>
      <c r="G170" s="21">
        <v>18.414999084472655</v>
      </c>
      <c r="H170" s="21">
        <v>18.864999084472654</v>
      </c>
      <c r="I170" s="6"/>
      <c r="J170" s="7">
        <v>41487</v>
      </c>
      <c r="K170" s="22">
        <v>40.172499084472669</v>
      </c>
      <c r="L170" s="22">
        <v>43.922499084472669</v>
      </c>
      <c r="M170" s="22">
        <v>47.672499084472669</v>
      </c>
      <c r="O170" s="22">
        <v>28.345000839233411</v>
      </c>
      <c r="P170" s="22">
        <v>32.645000839233411</v>
      </c>
      <c r="Q170" s="22">
        <v>36.945000839233408</v>
      </c>
      <c r="S170" s="22">
        <v>0</v>
      </c>
      <c r="T170" s="22">
        <v>0</v>
      </c>
      <c r="U170" s="22">
        <v>0</v>
      </c>
      <c r="W170" s="22">
        <v>8.5070322019882447E-2</v>
      </c>
      <c r="X170" s="42">
        <v>0.17014064403976489</v>
      </c>
      <c r="Y170" s="22">
        <v>0.25521096605964733</v>
      </c>
      <c r="AA170" s="22">
        <v>2.5000000000000001E-3</v>
      </c>
      <c r="AB170" s="22">
        <v>5.0000000000000001E-3</v>
      </c>
      <c r="AC170" s="22">
        <v>7.4999999999999997E-3</v>
      </c>
      <c r="AE170" s="22">
        <v>-1</v>
      </c>
      <c r="AF170" s="42">
        <v>3</v>
      </c>
      <c r="AG170" s="22">
        <v>1</v>
      </c>
      <c r="AI170" s="22">
        <v>-0.1</v>
      </c>
      <c r="AJ170" s="22">
        <v>0.3</v>
      </c>
      <c r="AK170" s="22">
        <v>0.1</v>
      </c>
      <c r="AM170" s="6">
        <v>55</v>
      </c>
      <c r="AN170" s="23">
        <v>0.4</v>
      </c>
      <c r="BE170" s="7">
        <v>41487</v>
      </c>
      <c r="BF170" s="25">
        <v>0.9</v>
      </c>
    </row>
    <row r="171" spans="1:58">
      <c r="A171" s="19">
        <v>40634</v>
      </c>
      <c r="B171" s="20">
        <v>28.825000762939453</v>
      </c>
      <c r="C171" s="432">
        <v>29.575000762939453</v>
      </c>
      <c r="D171" s="20">
        <v>30.825000762939453</v>
      </c>
      <c r="E171" s="13"/>
      <c r="F171" s="21">
        <v>18.289999084472655</v>
      </c>
      <c r="G171" s="21">
        <v>18.664999084472655</v>
      </c>
      <c r="H171" s="21">
        <v>19.039999084472655</v>
      </c>
      <c r="I171" s="6"/>
      <c r="J171" s="7">
        <v>41518</v>
      </c>
      <c r="K171" s="22">
        <v>19.70499954223634</v>
      </c>
      <c r="L171" s="22">
        <v>21.129999542236341</v>
      </c>
      <c r="M171" s="22">
        <v>22.554999542236342</v>
      </c>
      <c r="O171" s="22">
        <v>13.410000419616704</v>
      </c>
      <c r="P171" s="22">
        <v>17.710000419616705</v>
      </c>
      <c r="Q171" s="22">
        <v>22.010000419616706</v>
      </c>
      <c r="S171" s="22">
        <v>0</v>
      </c>
      <c r="T171" s="22">
        <v>0</v>
      </c>
      <c r="U171" s="22">
        <v>0</v>
      </c>
      <c r="W171" s="22">
        <v>5.4682484310300941E-2</v>
      </c>
      <c r="X171" s="42">
        <v>0.10936496862060188</v>
      </c>
      <c r="Y171" s="22">
        <v>0.16404745293090284</v>
      </c>
      <c r="AA171" s="22">
        <v>2.5000000000000001E-3</v>
      </c>
      <c r="AB171" s="22">
        <v>5.0000000000000001E-3</v>
      </c>
      <c r="AC171" s="22">
        <v>7.4999999999999997E-3</v>
      </c>
      <c r="AE171" s="22">
        <v>-0.4</v>
      </c>
      <c r="AF171" s="42">
        <v>1.75</v>
      </c>
      <c r="AG171" s="22">
        <v>0.5</v>
      </c>
      <c r="AI171" s="22">
        <v>-0.1</v>
      </c>
      <c r="AJ171" s="22">
        <v>0.3</v>
      </c>
      <c r="AK171" s="22">
        <v>0.1</v>
      </c>
      <c r="AM171" s="6">
        <v>55</v>
      </c>
      <c r="AN171" s="23">
        <v>0.4</v>
      </c>
      <c r="BE171" s="7">
        <v>41518</v>
      </c>
      <c r="BF171" s="25">
        <v>0.9</v>
      </c>
    </row>
    <row r="172" spans="1:58">
      <c r="A172" s="19">
        <v>40664</v>
      </c>
      <c r="B172" s="20">
        <v>35.094999999999999</v>
      </c>
      <c r="C172" s="432">
        <v>37.575000000000003</v>
      </c>
      <c r="D172" s="20">
        <v>40.555</v>
      </c>
      <c r="E172" s="13"/>
      <c r="F172" s="21">
        <v>16.874999847412109</v>
      </c>
      <c r="G172" s="21">
        <v>18.114999847412108</v>
      </c>
      <c r="H172" s="21">
        <v>19.354999847412106</v>
      </c>
      <c r="I172" s="6"/>
      <c r="J172" s="7">
        <v>41548</v>
      </c>
      <c r="K172" s="22">
        <v>18.869499588012708</v>
      </c>
      <c r="L172" s="22">
        <v>20.181999588012708</v>
      </c>
      <c r="M172" s="22">
        <v>21.494499588012708</v>
      </c>
      <c r="O172" s="22">
        <v>13.554000473022466</v>
      </c>
      <c r="P172" s="22">
        <v>17.854000473022467</v>
      </c>
      <c r="Q172" s="22">
        <v>22.154000473022467</v>
      </c>
      <c r="S172" s="22">
        <v>0</v>
      </c>
      <c r="T172" s="22">
        <v>0</v>
      </c>
      <c r="U172" s="22">
        <v>0</v>
      </c>
      <c r="W172" s="22">
        <v>3.8668328190855659E-2</v>
      </c>
      <c r="X172" s="42">
        <v>7.7336656381711319E-2</v>
      </c>
      <c r="Y172" s="22">
        <v>0.11600498457256697</v>
      </c>
      <c r="AA172" s="22">
        <v>2.5000000000000001E-3</v>
      </c>
      <c r="AB172" s="22">
        <v>5.0000000000000001E-3</v>
      </c>
      <c r="AC172" s="22">
        <v>7.4999999999999997E-3</v>
      </c>
      <c r="AE172" s="22">
        <v>-0.25</v>
      </c>
      <c r="AF172" s="42">
        <v>1.5</v>
      </c>
      <c r="AG172" s="22">
        <v>0.25</v>
      </c>
      <c r="AI172" s="22">
        <v>-0.1</v>
      </c>
      <c r="AJ172" s="22">
        <v>0.3</v>
      </c>
      <c r="AK172" s="22">
        <v>0.1</v>
      </c>
      <c r="AM172" s="6">
        <v>56</v>
      </c>
      <c r="AN172" s="23">
        <v>0.4</v>
      </c>
      <c r="BE172" s="7">
        <v>41548</v>
      </c>
      <c r="BF172" s="25">
        <v>0.9</v>
      </c>
    </row>
    <row r="173" spans="1:58">
      <c r="A173" s="19">
        <v>40695</v>
      </c>
      <c r="B173" s="20">
        <v>55.989998474121094</v>
      </c>
      <c r="C173" s="432">
        <v>63.099998474121094</v>
      </c>
      <c r="D173" s="20">
        <v>70.709998474121093</v>
      </c>
      <c r="E173" s="13"/>
      <c r="F173" s="21">
        <v>14.620001220703124</v>
      </c>
      <c r="G173" s="21">
        <v>18.175001220703123</v>
      </c>
      <c r="H173" s="21">
        <v>21.730001220703123</v>
      </c>
      <c r="I173" s="6"/>
      <c r="J173" s="7">
        <v>41579</v>
      </c>
      <c r="K173" s="22">
        <v>18.331249618530286</v>
      </c>
      <c r="L173" s="22">
        <v>19.643749618530286</v>
      </c>
      <c r="M173" s="22">
        <v>20.956249618530286</v>
      </c>
      <c r="O173" s="22">
        <v>14.075000381469735</v>
      </c>
      <c r="P173" s="22">
        <v>18.375000381469736</v>
      </c>
      <c r="Q173" s="22">
        <v>22.675000381469737</v>
      </c>
      <c r="S173" s="22">
        <v>0</v>
      </c>
      <c r="T173" s="22">
        <v>0</v>
      </c>
      <c r="U173" s="22">
        <v>0</v>
      </c>
      <c r="W173" s="22">
        <v>3.8668328190855659E-2</v>
      </c>
      <c r="X173" s="42">
        <v>7.7336656381711319E-2</v>
      </c>
      <c r="Y173" s="22">
        <v>0.11600498457256697</v>
      </c>
      <c r="AA173" s="22">
        <v>2.5000000000000001E-3</v>
      </c>
      <c r="AB173" s="22">
        <v>5.0000000000000001E-3</v>
      </c>
      <c r="AC173" s="22">
        <v>7.4999999999999997E-3</v>
      </c>
      <c r="AE173" s="22">
        <v>-0.25</v>
      </c>
      <c r="AF173" s="42">
        <v>1.5</v>
      </c>
      <c r="AG173" s="22">
        <v>0.25</v>
      </c>
      <c r="AI173" s="22">
        <v>-0.1</v>
      </c>
      <c r="AJ173" s="22">
        <v>0.3</v>
      </c>
      <c r="AK173" s="22">
        <v>0.1</v>
      </c>
      <c r="AM173" s="6">
        <v>56</v>
      </c>
      <c r="AN173" s="23">
        <v>0.4</v>
      </c>
      <c r="BE173" s="7">
        <v>41579</v>
      </c>
      <c r="BF173" s="25">
        <v>0.9</v>
      </c>
    </row>
    <row r="174" spans="1:58">
      <c r="A174" s="19">
        <v>40725</v>
      </c>
      <c r="B174" s="20">
        <v>104.19999694824219</v>
      </c>
      <c r="C174" s="432">
        <v>109.19999694824219</v>
      </c>
      <c r="D174" s="20">
        <v>114.69999694824219</v>
      </c>
      <c r="E174" s="13"/>
      <c r="F174" s="21">
        <v>15.364999847412108</v>
      </c>
      <c r="G174" s="21">
        <v>17.864999847412108</v>
      </c>
      <c r="H174" s="21">
        <v>20.364999847412108</v>
      </c>
      <c r="I174" s="6"/>
      <c r="J174" s="7">
        <v>41609</v>
      </c>
      <c r="K174" s="22">
        <v>22.476250076293958</v>
      </c>
      <c r="L174" s="22">
        <v>23.788750076293958</v>
      </c>
      <c r="M174" s="22">
        <v>25.101250076293958</v>
      </c>
      <c r="O174" s="22">
        <v>14.525000190734875</v>
      </c>
      <c r="P174" s="22">
        <v>18.825000190734876</v>
      </c>
      <c r="Q174" s="22">
        <v>23.125000190734877</v>
      </c>
      <c r="S174" s="22">
        <v>0</v>
      </c>
      <c r="T174" s="22">
        <v>0</v>
      </c>
      <c r="U174" s="22">
        <v>0</v>
      </c>
      <c r="W174" s="22">
        <v>3.8668328190855659E-2</v>
      </c>
      <c r="X174" s="42">
        <v>7.7336656381711319E-2</v>
      </c>
      <c r="Y174" s="22">
        <v>0.11600498457256697</v>
      </c>
      <c r="AA174" s="22">
        <v>2.5000000000000001E-3</v>
      </c>
      <c r="AB174" s="22">
        <v>5.0000000000000001E-3</v>
      </c>
      <c r="AC174" s="22">
        <v>7.4999999999999997E-3</v>
      </c>
      <c r="AE174" s="22">
        <v>-0.25</v>
      </c>
      <c r="AF174" s="42">
        <v>1.5</v>
      </c>
      <c r="AG174" s="22">
        <v>0.25</v>
      </c>
      <c r="AI174" s="22">
        <v>-0.1</v>
      </c>
      <c r="AJ174" s="22">
        <v>0.3</v>
      </c>
      <c r="AK174" s="22">
        <v>0.1</v>
      </c>
      <c r="AM174" s="6">
        <v>56</v>
      </c>
      <c r="AN174" s="23">
        <v>0.4</v>
      </c>
      <c r="BE174" s="7">
        <v>41609</v>
      </c>
      <c r="BF174" s="25">
        <v>0.9</v>
      </c>
    </row>
    <row r="175" spans="1:58">
      <c r="A175" s="19">
        <v>40756</v>
      </c>
      <c r="B175" s="20">
        <v>91.199996948242188</v>
      </c>
      <c r="C175" s="432">
        <v>96.199996948242188</v>
      </c>
      <c r="D175" s="20">
        <v>101.69999694824219</v>
      </c>
      <c r="E175" s="13"/>
      <c r="F175" s="21">
        <v>15.414999084472655</v>
      </c>
      <c r="G175" s="21">
        <v>17.914999084472655</v>
      </c>
      <c r="H175" s="21">
        <v>20.414999084472655</v>
      </c>
      <c r="I175" s="6"/>
      <c r="J175" s="7">
        <v>41640</v>
      </c>
      <c r="K175" s="22">
        <v>32.873748779296875</v>
      </c>
      <c r="L175" s="22">
        <v>34.498748779296875</v>
      </c>
      <c r="M175" s="22">
        <v>35.923748779296872</v>
      </c>
      <c r="O175" s="22">
        <v>28.702500534057616</v>
      </c>
      <c r="P175" s="22">
        <v>33.002500534057617</v>
      </c>
      <c r="Q175" s="22">
        <v>37.302500534057614</v>
      </c>
      <c r="S175" s="22">
        <v>0.25</v>
      </c>
      <c r="T175" s="22">
        <v>0.25</v>
      </c>
      <c r="U175" s="22">
        <v>0.25</v>
      </c>
      <c r="W175" s="22">
        <v>5.939455210115431E-2</v>
      </c>
      <c r="X175" s="42">
        <v>0.11878910420230862</v>
      </c>
      <c r="Y175" s="22">
        <v>0.17818365630346295</v>
      </c>
      <c r="AA175" s="22">
        <v>2.5000000000000001E-3</v>
      </c>
      <c r="AB175" s="22">
        <v>5.0000000000000001E-3</v>
      </c>
      <c r="AC175" s="22">
        <v>7.4999999999999997E-3</v>
      </c>
      <c r="AE175" s="22">
        <v>-0.4</v>
      </c>
      <c r="AF175" s="42">
        <v>1.75</v>
      </c>
      <c r="AG175" s="22">
        <v>0.5</v>
      </c>
      <c r="AI175" s="22">
        <v>-0.1</v>
      </c>
      <c r="AJ175" s="22">
        <v>0.3</v>
      </c>
      <c r="AK175" s="22">
        <v>0.1</v>
      </c>
      <c r="AM175" s="6">
        <v>57</v>
      </c>
      <c r="AN175" s="23">
        <v>0.4</v>
      </c>
      <c r="BE175" s="7">
        <v>41640</v>
      </c>
      <c r="BF175" s="25">
        <v>0.9</v>
      </c>
    </row>
    <row r="176" spans="1:58">
      <c r="A176" s="19">
        <v>40787</v>
      </c>
      <c r="B176" s="20">
        <v>35.224998474121094</v>
      </c>
      <c r="C176" s="432">
        <v>36.924998474121097</v>
      </c>
      <c r="D176" s="20">
        <v>39.124998474121099</v>
      </c>
      <c r="E176" s="13"/>
      <c r="F176" s="21">
        <v>17.064999084472653</v>
      </c>
      <c r="G176" s="21">
        <v>17.914999084472655</v>
      </c>
      <c r="H176" s="21">
        <v>18.764999084472656</v>
      </c>
      <c r="I176" s="6"/>
      <c r="J176" s="7">
        <v>41671</v>
      </c>
      <c r="K176" s="22">
        <v>31.871250152587891</v>
      </c>
      <c r="L176" s="22">
        <v>33.496250152587891</v>
      </c>
      <c r="M176" s="22">
        <v>34.921250152587888</v>
      </c>
      <c r="O176" s="22">
        <v>26.697499465942382</v>
      </c>
      <c r="P176" s="22">
        <v>30.997499465942383</v>
      </c>
      <c r="Q176" s="22">
        <v>35.29749946594238</v>
      </c>
      <c r="S176" s="22">
        <v>0</v>
      </c>
      <c r="T176" s="22">
        <v>0</v>
      </c>
      <c r="U176" s="22">
        <v>0</v>
      </c>
      <c r="W176" s="22">
        <v>5.939455210115431E-2</v>
      </c>
      <c r="X176" s="42">
        <v>0.11878910420230862</v>
      </c>
      <c r="Y176" s="22">
        <v>0.17818365630346295</v>
      </c>
      <c r="AA176" s="22">
        <v>2.5000000000000001E-3</v>
      </c>
      <c r="AB176" s="22">
        <v>5.0000000000000001E-3</v>
      </c>
      <c r="AC176" s="22">
        <v>7.4999999999999997E-3</v>
      </c>
      <c r="AE176" s="22">
        <v>-0.4</v>
      </c>
      <c r="AF176" s="42">
        <v>1.75</v>
      </c>
      <c r="AG176" s="22">
        <v>0.5</v>
      </c>
      <c r="AI176" s="22">
        <v>-0.1</v>
      </c>
      <c r="AJ176" s="22">
        <v>0.3</v>
      </c>
      <c r="AK176" s="22">
        <v>0.1</v>
      </c>
      <c r="AM176" s="6">
        <v>57</v>
      </c>
      <c r="AN176" s="23">
        <v>0.4</v>
      </c>
      <c r="BE176" s="7">
        <v>41671</v>
      </c>
      <c r="BF176" s="25">
        <v>0.9</v>
      </c>
    </row>
    <row r="177" spans="1:58">
      <c r="A177" s="19">
        <v>40817</v>
      </c>
      <c r="B177" s="20">
        <v>28.775000381469727</v>
      </c>
      <c r="C177" s="432">
        <v>30.325000381469728</v>
      </c>
      <c r="D177" s="20">
        <v>32.375000381469725</v>
      </c>
      <c r="E177" s="13"/>
      <c r="F177" s="21">
        <v>16.839999847412109</v>
      </c>
      <c r="G177" s="21">
        <v>17.614999847412108</v>
      </c>
      <c r="H177" s="21">
        <v>18.389999847412106</v>
      </c>
      <c r="I177" s="6"/>
      <c r="J177" s="7">
        <v>41699</v>
      </c>
      <c r="K177" s="22">
        <v>21.047249603271496</v>
      </c>
      <c r="L177" s="22">
        <v>21.834749603271497</v>
      </c>
      <c r="M177" s="22">
        <v>22.622249603271499</v>
      </c>
      <c r="O177" s="22">
        <v>17.1644989013672</v>
      </c>
      <c r="P177" s="22">
        <v>21.4644989013672</v>
      </c>
      <c r="Q177" s="22">
        <v>25.764498901367201</v>
      </c>
      <c r="S177" s="22">
        <v>0</v>
      </c>
      <c r="T177" s="22">
        <v>0</v>
      </c>
      <c r="U177" s="22">
        <v>0</v>
      </c>
      <c r="W177" s="22">
        <v>4.9495460084295249E-2</v>
      </c>
      <c r="X177" s="42">
        <v>9.8990920168590499E-2</v>
      </c>
      <c r="Y177" s="22">
        <v>0.14848638025288574</v>
      </c>
      <c r="AA177" s="22">
        <v>2.5000000000000001E-3</v>
      </c>
      <c r="AB177" s="22">
        <v>5.0000000000000001E-3</v>
      </c>
      <c r="AC177" s="22">
        <v>7.4999999999999997E-3</v>
      </c>
      <c r="AE177" s="22">
        <v>-0.25</v>
      </c>
      <c r="AF177" s="42">
        <v>1.1000000000000001</v>
      </c>
      <c r="AG177" s="22">
        <v>0.25</v>
      </c>
      <c r="AI177" s="22">
        <v>-0.1</v>
      </c>
      <c r="AJ177" s="22">
        <v>0.3</v>
      </c>
      <c r="AK177" s="22">
        <v>0.1</v>
      </c>
      <c r="AM177" s="6">
        <v>57</v>
      </c>
      <c r="AN177" s="23">
        <v>0.4</v>
      </c>
      <c r="BE177" s="7">
        <v>41699</v>
      </c>
      <c r="BF177" s="25">
        <v>0.9</v>
      </c>
    </row>
    <row r="178" spans="1:58">
      <c r="A178" s="19">
        <v>40848</v>
      </c>
      <c r="B178" s="20">
        <v>28.447499084472657</v>
      </c>
      <c r="C178" s="432">
        <v>29.997499084472658</v>
      </c>
      <c r="D178" s="20">
        <v>32.047499084472655</v>
      </c>
      <c r="E178" s="13"/>
      <c r="F178" s="21">
        <v>15.089999847412109</v>
      </c>
      <c r="G178" s="21">
        <v>15.864999847412109</v>
      </c>
      <c r="H178" s="21">
        <v>16.63999984741211</v>
      </c>
      <c r="I178" s="6"/>
      <c r="J178" s="7">
        <v>41730</v>
      </c>
      <c r="K178" s="22">
        <v>21.842500305175793</v>
      </c>
      <c r="L178" s="22">
        <v>22.517500305175794</v>
      </c>
      <c r="M178" s="22">
        <v>23.192500305175795</v>
      </c>
      <c r="O178" s="22">
        <v>16.934999084472668</v>
      </c>
      <c r="P178" s="22">
        <v>21.234999084472669</v>
      </c>
      <c r="Q178" s="22">
        <v>25.53499908447267</v>
      </c>
      <c r="S178" s="22">
        <v>0</v>
      </c>
      <c r="T178" s="22">
        <v>0</v>
      </c>
      <c r="U178" s="22">
        <v>0</v>
      </c>
      <c r="W178" s="22">
        <v>4.7020687080080489E-2</v>
      </c>
      <c r="X178" s="42">
        <v>9.4041374160160979E-2</v>
      </c>
      <c r="Y178" s="22">
        <v>0.14106206124024145</v>
      </c>
      <c r="AA178" s="22">
        <v>2.5000000000000001E-3</v>
      </c>
      <c r="AB178" s="22">
        <v>5.0000000000000001E-3</v>
      </c>
      <c r="AC178" s="22">
        <v>7.4999999999999997E-3</v>
      </c>
      <c r="AE178" s="22">
        <v>-0.25</v>
      </c>
      <c r="AF178" s="42">
        <v>1.2</v>
      </c>
      <c r="AG178" s="22">
        <v>0.25</v>
      </c>
      <c r="AI178" s="22">
        <v>-0.1</v>
      </c>
      <c r="AJ178" s="22">
        <v>0.3</v>
      </c>
      <c r="AK178" s="22">
        <v>0.1</v>
      </c>
      <c r="AM178" s="6">
        <v>58</v>
      </c>
      <c r="AN178" s="23">
        <v>0.4</v>
      </c>
      <c r="BE178" s="7">
        <v>41730</v>
      </c>
      <c r="BF178" s="25">
        <v>0.9</v>
      </c>
    </row>
    <row r="179" spans="1:58">
      <c r="A179" s="19">
        <v>40878</v>
      </c>
      <c r="B179" s="20">
        <v>30.199999618530274</v>
      </c>
      <c r="C179" s="432">
        <v>31.749999618530275</v>
      </c>
      <c r="D179" s="20">
        <v>33.799999618530272</v>
      </c>
      <c r="E179" s="13"/>
      <c r="F179" s="21">
        <v>15.940000228881834</v>
      </c>
      <c r="G179" s="21">
        <v>16.715000228881834</v>
      </c>
      <c r="H179" s="21">
        <v>17.490000228881833</v>
      </c>
      <c r="I179" s="6"/>
      <c r="J179" s="7">
        <v>41760</v>
      </c>
      <c r="K179" s="22">
        <v>20.772500076293959</v>
      </c>
      <c r="L179" s="22">
        <v>22.632500076293958</v>
      </c>
      <c r="M179" s="22">
        <v>24.492500076293958</v>
      </c>
      <c r="O179" s="22">
        <v>17.464999771118176</v>
      </c>
      <c r="P179" s="22">
        <v>21.764999771118177</v>
      </c>
      <c r="Q179" s="22">
        <v>26.064999771118178</v>
      </c>
      <c r="S179" s="22">
        <v>0</v>
      </c>
      <c r="T179" s="22">
        <v>0</v>
      </c>
      <c r="U179" s="22">
        <v>0</v>
      </c>
      <c r="W179" s="22">
        <v>5.1970233088510009E-2</v>
      </c>
      <c r="X179" s="42">
        <v>0.10394046617702002</v>
      </c>
      <c r="Y179" s="22">
        <v>0.15591069926553003</v>
      </c>
      <c r="AA179" s="22">
        <v>2.5000000000000001E-3</v>
      </c>
      <c r="AB179" s="22">
        <v>5.0000000000000001E-3</v>
      </c>
      <c r="AC179" s="22">
        <v>7.4999999999999997E-3</v>
      </c>
      <c r="AE179" s="22">
        <v>-0.25</v>
      </c>
      <c r="AF179" s="42">
        <v>2</v>
      </c>
      <c r="AG179" s="22">
        <v>0.25</v>
      </c>
      <c r="AI179" s="22">
        <v>-0.1</v>
      </c>
      <c r="AJ179" s="22">
        <v>0.3</v>
      </c>
      <c r="AK179" s="22">
        <v>0.1</v>
      </c>
      <c r="AM179" s="6">
        <v>58</v>
      </c>
      <c r="AN179" s="23">
        <v>0.4</v>
      </c>
      <c r="BE179" s="7">
        <v>41760</v>
      </c>
      <c r="BF179" s="25">
        <v>0.9</v>
      </c>
    </row>
    <row r="180" spans="1:58">
      <c r="A180" s="19">
        <v>40909</v>
      </c>
      <c r="B180" s="20">
        <v>38.624998474121085</v>
      </c>
      <c r="C180" s="432">
        <v>40.324998474121088</v>
      </c>
      <c r="D180" s="20">
        <v>42.524998474121091</v>
      </c>
      <c r="E180" s="13"/>
      <c r="F180" s="21">
        <v>20.164997558593747</v>
      </c>
      <c r="G180" s="21">
        <v>21.014997558593748</v>
      </c>
      <c r="H180" s="21">
        <v>21.86499755859375</v>
      </c>
      <c r="I180" s="6"/>
      <c r="J180" s="7">
        <v>41791</v>
      </c>
      <c r="K180" s="22">
        <v>21.876250152587904</v>
      </c>
      <c r="L180" s="22">
        <v>27.208750152587903</v>
      </c>
      <c r="M180" s="22">
        <v>32.541250152587907</v>
      </c>
      <c r="O180" s="22">
        <v>16.39249954223634</v>
      </c>
      <c r="P180" s="22">
        <v>20.692499542236341</v>
      </c>
      <c r="Q180" s="22">
        <v>24.992499542236342</v>
      </c>
      <c r="S180" s="22">
        <v>0</v>
      </c>
      <c r="T180" s="22">
        <v>0</v>
      </c>
      <c r="U180" s="22">
        <v>0</v>
      </c>
      <c r="W180" s="22">
        <v>6.6818871113798597E-2</v>
      </c>
      <c r="X180" s="42">
        <v>0.13363774222759719</v>
      </c>
      <c r="Y180" s="22">
        <v>0.20045661334139581</v>
      </c>
      <c r="AA180" s="22">
        <v>2.5000000000000001E-3</v>
      </c>
      <c r="AB180" s="22">
        <v>5.0000000000000001E-3</v>
      </c>
      <c r="AC180" s="22">
        <v>7.4999999999999997E-3</v>
      </c>
      <c r="AE180" s="22">
        <v>-0.75</v>
      </c>
      <c r="AF180" s="42">
        <v>2.25</v>
      </c>
      <c r="AG180" s="22">
        <v>0.75</v>
      </c>
      <c r="AI180" s="22">
        <v>-0.1</v>
      </c>
      <c r="AJ180" s="22">
        <v>0.3</v>
      </c>
      <c r="AK180" s="22">
        <v>0.1</v>
      </c>
      <c r="AM180" s="6">
        <v>58</v>
      </c>
      <c r="AN180" s="23">
        <v>0.4</v>
      </c>
      <c r="BE180" s="7">
        <v>41791</v>
      </c>
      <c r="BF180" s="25">
        <v>0.9</v>
      </c>
    </row>
    <row r="181" spans="1:58">
      <c r="A181" s="19">
        <v>40940</v>
      </c>
      <c r="B181" s="20">
        <v>38.624998474121085</v>
      </c>
      <c r="C181" s="432">
        <v>40.324998474121088</v>
      </c>
      <c r="D181" s="20">
        <v>42.524998474121091</v>
      </c>
      <c r="E181" s="13"/>
      <c r="F181" s="21">
        <v>20.31499717712402</v>
      </c>
      <c r="G181" s="21">
        <v>21.164997177124022</v>
      </c>
      <c r="H181" s="21">
        <v>22.014997177124023</v>
      </c>
      <c r="I181" s="6"/>
      <c r="J181" s="7">
        <v>41821</v>
      </c>
      <c r="K181" s="22">
        <v>37.911249542236341</v>
      </c>
      <c r="L181" s="22">
        <v>41.661249542236341</v>
      </c>
      <c r="M181" s="22">
        <v>45.411249542236341</v>
      </c>
      <c r="O181" s="22">
        <v>26.847499465942395</v>
      </c>
      <c r="P181" s="22">
        <v>31.147499465942396</v>
      </c>
      <c r="Q181" s="22">
        <v>35.447499465942393</v>
      </c>
      <c r="S181" s="22">
        <v>0</v>
      </c>
      <c r="T181" s="22">
        <v>0</v>
      </c>
      <c r="U181" s="22">
        <v>0</v>
      </c>
      <c r="W181" s="22">
        <v>8.1667509139087144E-2</v>
      </c>
      <c r="X181" s="42">
        <v>0.16333501827817429</v>
      </c>
      <c r="Y181" s="22">
        <v>0.24500252741726142</v>
      </c>
      <c r="AA181" s="22">
        <v>2.5000000000000001E-3</v>
      </c>
      <c r="AB181" s="22">
        <v>5.0000000000000001E-3</v>
      </c>
      <c r="AC181" s="22">
        <v>7.4999999999999997E-3</v>
      </c>
      <c r="AE181" s="22">
        <v>-1</v>
      </c>
      <c r="AF181" s="42">
        <v>3</v>
      </c>
      <c r="AG181" s="22">
        <v>1</v>
      </c>
      <c r="AI181" s="22">
        <v>-0.1</v>
      </c>
      <c r="AJ181" s="22">
        <v>0.3</v>
      </c>
      <c r="AK181" s="22">
        <v>0.1</v>
      </c>
      <c r="AM181" s="6">
        <v>59</v>
      </c>
      <c r="AN181" s="23">
        <v>0.4</v>
      </c>
      <c r="BE181" s="7">
        <v>41821</v>
      </c>
      <c r="BF181" s="25">
        <v>0.9</v>
      </c>
    </row>
    <row r="182" spans="1:58">
      <c r="A182" s="19">
        <v>40969</v>
      </c>
      <c r="B182" s="20">
        <v>29.100000762939455</v>
      </c>
      <c r="C182" s="432">
        <v>30.050000762939455</v>
      </c>
      <c r="D182" s="20">
        <v>31.500000762939454</v>
      </c>
      <c r="E182" s="13"/>
      <c r="F182" s="21">
        <v>17.939999084472653</v>
      </c>
      <c r="G182" s="21">
        <v>18.414999084472655</v>
      </c>
      <c r="H182" s="21">
        <v>18.889999084472656</v>
      </c>
      <c r="I182" s="6"/>
      <c r="J182" s="7">
        <v>41852</v>
      </c>
      <c r="K182" s="22">
        <v>40.172499084472669</v>
      </c>
      <c r="L182" s="22">
        <v>43.922499084472669</v>
      </c>
      <c r="M182" s="22">
        <v>47.672499084472669</v>
      </c>
      <c r="O182" s="22">
        <v>28.345000839233411</v>
      </c>
      <c r="P182" s="22">
        <v>32.645000839233411</v>
      </c>
      <c r="Q182" s="22">
        <v>36.945000839233408</v>
      </c>
      <c r="S182" s="22">
        <v>0</v>
      </c>
      <c r="T182" s="22">
        <v>0</v>
      </c>
      <c r="U182" s="22">
        <v>0</v>
      </c>
      <c r="W182" s="22">
        <v>8.1667509139087144E-2</v>
      </c>
      <c r="X182" s="42">
        <v>0.16333501827817429</v>
      </c>
      <c r="Y182" s="22">
        <v>0.24500252741726142</v>
      </c>
      <c r="AA182" s="22">
        <v>2.5000000000000001E-3</v>
      </c>
      <c r="AB182" s="22">
        <v>5.0000000000000001E-3</v>
      </c>
      <c r="AC182" s="22">
        <v>7.4999999999999997E-3</v>
      </c>
      <c r="AE182" s="22">
        <v>-1</v>
      </c>
      <c r="AF182" s="42">
        <v>3</v>
      </c>
      <c r="AG182" s="22">
        <v>1</v>
      </c>
      <c r="AI182" s="22">
        <v>-0.1</v>
      </c>
      <c r="AJ182" s="22">
        <v>0.3</v>
      </c>
      <c r="AK182" s="22">
        <v>0.1</v>
      </c>
      <c r="AM182" s="6">
        <v>59</v>
      </c>
      <c r="AN182" s="23">
        <v>0.4</v>
      </c>
      <c r="BE182" s="7">
        <v>41852</v>
      </c>
      <c r="BF182" s="25">
        <v>0.9</v>
      </c>
    </row>
    <row r="183" spans="1:58">
      <c r="A183" s="19">
        <v>41000</v>
      </c>
      <c r="B183" s="20">
        <v>29.025000762939452</v>
      </c>
      <c r="C183" s="432">
        <v>29.825000762939453</v>
      </c>
      <c r="D183" s="20">
        <v>31.125000762939454</v>
      </c>
      <c r="E183" s="13"/>
      <c r="F183" s="21">
        <v>18.264999084472656</v>
      </c>
      <c r="G183" s="21">
        <v>18.664999084472655</v>
      </c>
      <c r="H183" s="21">
        <v>19.064999084472653</v>
      </c>
      <c r="I183" s="6"/>
      <c r="J183" s="7">
        <v>41883</v>
      </c>
      <c r="K183" s="22">
        <v>19.629999542236341</v>
      </c>
      <c r="L183" s="22">
        <v>21.129999542236341</v>
      </c>
      <c r="M183" s="22">
        <v>22.629999542236341</v>
      </c>
      <c r="O183" s="22">
        <v>13.410000419616704</v>
      </c>
      <c r="P183" s="22">
        <v>17.710000419616705</v>
      </c>
      <c r="Q183" s="22">
        <v>22.010000419616706</v>
      </c>
      <c r="S183" s="22">
        <v>0</v>
      </c>
      <c r="T183" s="22">
        <v>0</v>
      </c>
      <c r="U183" s="22">
        <v>0</v>
      </c>
      <c r="W183" s="22">
        <v>5.2495184937888899E-2</v>
      </c>
      <c r="X183" s="42">
        <v>0.1049903698757778</v>
      </c>
      <c r="Y183" s="22">
        <v>0.15748555481366669</v>
      </c>
      <c r="AA183" s="22">
        <v>2.5000000000000001E-3</v>
      </c>
      <c r="AB183" s="22">
        <v>5.0000000000000001E-3</v>
      </c>
      <c r="AC183" s="22">
        <v>7.4999999999999997E-3</v>
      </c>
      <c r="AE183" s="22">
        <v>-0.4</v>
      </c>
      <c r="AF183" s="42">
        <v>1.75</v>
      </c>
      <c r="AG183" s="22">
        <v>0.5</v>
      </c>
      <c r="AI183" s="22">
        <v>-0.1</v>
      </c>
      <c r="AJ183" s="22">
        <v>0.3</v>
      </c>
      <c r="AK183" s="22">
        <v>0.1</v>
      </c>
      <c r="AM183" s="6">
        <v>59</v>
      </c>
      <c r="AN183" s="23">
        <v>0.4</v>
      </c>
      <c r="BE183" s="7">
        <v>41883</v>
      </c>
      <c r="BF183" s="25">
        <v>0.9</v>
      </c>
    </row>
    <row r="184" spans="1:58">
      <c r="A184" s="19">
        <v>41030</v>
      </c>
      <c r="B184" s="20">
        <v>35.344999999999999</v>
      </c>
      <c r="C184" s="432">
        <v>37.825000000000003</v>
      </c>
      <c r="D184" s="20">
        <v>40.805</v>
      </c>
      <c r="E184" s="13"/>
      <c r="F184" s="21">
        <v>16.874999847412109</v>
      </c>
      <c r="G184" s="21">
        <v>18.114999847412108</v>
      </c>
      <c r="H184" s="21">
        <v>19.354999847412106</v>
      </c>
      <c r="I184" s="6"/>
      <c r="J184" s="7">
        <v>41913</v>
      </c>
      <c r="K184" s="22">
        <v>18.794499588012709</v>
      </c>
      <c r="L184" s="22">
        <v>20.181999588012708</v>
      </c>
      <c r="M184" s="22">
        <v>21.569499588012707</v>
      </c>
      <c r="O184" s="22">
        <v>13.554000473022466</v>
      </c>
      <c r="P184" s="22">
        <v>17.854000473022467</v>
      </c>
      <c r="Q184" s="22">
        <v>22.154000473022467</v>
      </c>
      <c r="S184" s="22">
        <v>0</v>
      </c>
      <c r="T184" s="22">
        <v>0</v>
      </c>
      <c r="U184" s="22">
        <v>0</v>
      </c>
      <c r="W184" s="22">
        <v>3.7121595063221428E-2</v>
      </c>
      <c r="X184" s="42">
        <v>7.4243190126442857E-2</v>
      </c>
      <c r="Y184" s="22">
        <v>0.11136478518966428</v>
      </c>
      <c r="AA184" s="22">
        <v>2.5000000000000001E-3</v>
      </c>
      <c r="AB184" s="22">
        <v>5.0000000000000001E-3</v>
      </c>
      <c r="AC184" s="22">
        <v>7.4999999999999997E-3</v>
      </c>
      <c r="AE184" s="22">
        <v>-0.25</v>
      </c>
      <c r="AF184" s="42">
        <v>1.5</v>
      </c>
      <c r="AG184" s="22">
        <v>0.25</v>
      </c>
      <c r="AI184" s="22">
        <v>-0.1</v>
      </c>
      <c r="AJ184" s="22">
        <v>0.3</v>
      </c>
      <c r="AK184" s="22">
        <v>0.1</v>
      </c>
      <c r="AM184" s="6">
        <v>60</v>
      </c>
      <c r="AN184" s="23">
        <v>0.4</v>
      </c>
      <c r="BE184" s="7">
        <v>41913</v>
      </c>
      <c r="BF184" s="25">
        <v>0.9</v>
      </c>
    </row>
    <row r="185" spans="1:58">
      <c r="A185" s="19">
        <v>41061</v>
      </c>
      <c r="B185" s="20">
        <v>56.739998474121094</v>
      </c>
      <c r="C185" s="432">
        <v>63.849998474121094</v>
      </c>
      <c r="D185" s="20">
        <v>71.459998474121093</v>
      </c>
      <c r="E185" s="13"/>
      <c r="F185" s="21">
        <v>14.620001220703124</v>
      </c>
      <c r="G185" s="21">
        <v>18.175001220703123</v>
      </c>
      <c r="H185" s="21">
        <v>21.730001220703123</v>
      </c>
      <c r="I185" s="6"/>
      <c r="J185" s="7">
        <v>41944</v>
      </c>
      <c r="K185" s="22">
        <v>18.256249618530287</v>
      </c>
      <c r="L185" s="22">
        <v>19.643749618530286</v>
      </c>
      <c r="M185" s="22">
        <v>21.031249618530286</v>
      </c>
      <c r="O185" s="22">
        <v>14.075000381469735</v>
      </c>
      <c r="P185" s="22">
        <v>18.375000381469736</v>
      </c>
      <c r="Q185" s="22">
        <v>22.675000381469737</v>
      </c>
      <c r="S185" s="22">
        <v>0</v>
      </c>
      <c r="T185" s="22">
        <v>0</v>
      </c>
      <c r="U185" s="22">
        <v>0</v>
      </c>
      <c r="W185" s="22">
        <v>3.7121595063221428E-2</v>
      </c>
      <c r="X185" s="42">
        <v>7.4243190126442857E-2</v>
      </c>
      <c r="Y185" s="22">
        <v>0.11136478518966428</v>
      </c>
      <c r="AA185" s="22">
        <v>2.5000000000000001E-3</v>
      </c>
      <c r="AB185" s="22">
        <v>5.0000000000000001E-3</v>
      </c>
      <c r="AC185" s="22">
        <v>7.4999999999999997E-3</v>
      </c>
      <c r="AE185" s="22">
        <v>-0.25</v>
      </c>
      <c r="AF185" s="42">
        <v>1.5</v>
      </c>
      <c r="AG185" s="22">
        <v>0.25</v>
      </c>
      <c r="AI185" s="22">
        <v>-0.1</v>
      </c>
      <c r="AJ185" s="22">
        <v>0.3</v>
      </c>
      <c r="AK185" s="22">
        <v>0.1</v>
      </c>
      <c r="AM185" s="6">
        <v>60</v>
      </c>
      <c r="AN185" s="23">
        <v>0.4</v>
      </c>
      <c r="BE185" s="7">
        <v>41944</v>
      </c>
      <c r="BF185" s="25">
        <v>0.9</v>
      </c>
    </row>
    <row r="186" spans="1:58">
      <c r="A186" s="19">
        <v>41091</v>
      </c>
      <c r="B186" s="20">
        <v>106.44999694824219</v>
      </c>
      <c r="C186" s="432">
        <v>111.44999694824219</v>
      </c>
      <c r="D186" s="20">
        <v>116.94999694824219</v>
      </c>
      <c r="E186" s="13"/>
      <c r="F186" s="21">
        <v>15.364999847412108</v>
      </c>
      <c r="G186" s="21">
        <v>17.864999847412108</v>
      </c>
      <c r="H186" s="21">
        <v>20.364999847412108</v>
      </c>
      <c r="I186" s="6"/>
      <c r="J186" s="7">
        <v>41974</v>
      </c>
      <c r="K186" s="22">
        <v>22.401250076293959</v>
      </c>
      <c r="L186" s="22">
        <v>23.788750076293958</v>
      </c>
      <c r="M186" s="22">
        <v>25.176250076293957</v>
      </c>
      <c r="O186" s="22">
        <v>14.525000190734875</v>
      </c>
      <c r="P186" s="22">
        <v>18.825000190734876</v>
      </c>
      <c r="Q186" s="22">
        <v>23.125000190734877</v>
      </c>
      <c r="S186" s="22">
        <v>0</v>
      </c>
      <c r="T186" s="22">
        <v>0</v>
      </c>
      <c r="U186" s="22">
        <v>0</v>
      </c>
      <c r="W186" s="22">
        <v>3.7121595063221428E-2</v>
      </c>
      <c r="X186" s="42">
        <v>7.4243190126442857E-2</v>
      </c>
      <c r="Y186" s="22">
        <v>0.11136478518966428</v>
      </c>
      <c r="AA186" s="22">
        <v>2.5000000000000001E-3</v>
      </c>
      <c r="AB186" s="22">
        <v>5.0000000000000001E-3</v>
      </c>
      <c r="AC186" s="22">
        <v>7.4999999999999997E-3</v>
      </c>
      <c r="AE186" s="22">
        <v>-0.25</v>
      </c>
      <c r="AF186" s="42">
        <v>1.5</v>
      </c>
      <c r="AG186" s="22">
        <v>0.25</v>
      </c>
      <c r="AI186" s="22">
        <v>-0.1</v>
      </c>
      <c r="AJ186" s="22">
        <v>0.3</v>
      </c>
      <c r="AK186" s="22">
        <v>0.1</v>
      </c>
      <c r="AM186" s="6">
        <v>60</v>
      </c>
      <c r="AN186" s="23">
        <v>0.4</v>
      </c>
      <c r="BE186" s="7">
        <v>41974</v>
      </c>
      <c r="BF186" s="25">
        <v>0.9</v>
      </c>
    </row>
    <row r="187" spans="1:58">
      <c r="A187" s="19">
        <v>41122</v>
      </c>
      <c r="B187" s="20">
        <v>93.449996948242188</v>
      </c>
      <c r="C187" s="432">
        <v>98.449996948242188</v>
      </c>
      <c r="D187" s="20">
        <v>103.94999694824219</v>
      </c>
      <c r="E187" s="13"/>
      <c r="F187" s="21">
        <v>15.414999084472655</v>
      </c>
      <c r="G187" s="21">
        <v>17.914999084472655</v>
      </c>
      <c r="H187" s="21">
        <v>20.414999084472655</v>
      </c>
      <c r="I187" s="6"/>
      <c r="J187" s="7">
        <v>42005</v>
      </c>
      <c r="K187" s="22">
        <v>32.798748779296872</v>
      </c>
      <c r="L187" s="22">
        <v>34.498748779296875</v>
      </c>
      <c r="M187" s="22">
        <v>35.998748779296875</v>
      </c>
      <c r="O187" s="22">
        <v>28.702500534057616</v>
      </c>
      <c r="P187" s="22">
        <v>33.002500534057617</v>
      </c>
      <c r="Q187" s="22">
        <v>37.302500534057614</v>
      </c>
      <c r="S187" s="22">
        <v>0.25</v>
      </c>
      <c r="T187" s="22">
        <v>0.25</v>
      </c>
      <c r="U187" s="22">
        <v>0.25</v>
      </c>
      <c r="W187" s="22">
        <v>5.7018770017108138E-2</v>
      </c>
      <c r="X187" s="42">
        <v>0.11403754003421628</v>
      </c>
      <c r="Y187" s="22">
        <v>0.17105631005132441</v>
      </c>
      <c r="AA187" s="22">
        <v>2.5000000000000001E-3</v>
      </c>
      <c r="AB187" s="22">
        <v>5.0000000000000001E-3</v>
      </c>
      <c r="AC187" s="22">
        <v>7.4999999999999997E-3</v>
      </c>
      <c r="AE187" s="22">
        <v>-0.4</v>
      </c>
      <c r="AF187" s="42">
        <v>1.75</v>
      </c>
      <c r="AG187" s="22">
        <v>0.5</v>
      </c>
      <c r="AI187" s="22">
        <v>-0.1</v>
      </c>
      <c r="AJ187" s="22">
        <v>0.3</v>
      </c>
      <c r="AK187" s="22">
        <v>0.1</v>
      </c>
      <c r="AM187" s="6">
        <v>61</v>
      </c>
      <c r="AN187" s="23">
        <v>0.4</v>
      </c>
      <c r="BE187" s="7">
        <v>42005</v>
      </c>
      <c r="BF187" s="25">
        <v>0.9</v>
      </c>
    </row>
    <row r="188" spans="1:58">
      <c r="A188" s="19">
        <v>41153</v>
      </c>
      <c r="B188" s="20">
        <v>35.624998474121099</v>
      </c>
      <c r="C188" s="432">
        <v>37.424998474121097</v>
      </c>
      <c r="D188" s="20">
        <v>39.724998474121094</v>
      </c>
      <c r="E188" s="13"/>
      <c r="F188" s="21">
        <v>17.014999084472656</v>
      </c>
      <c r="G188" s="21">
        <v>17.914999084472655</v>
      </c>
      <c r="H188" s="21">
        <v>18.814999084472653</v>
      </c>
      <c r="I188" s="6"/>
      <c r="J188" s="7">
        <v>42036</v>
      </c>
      <c r="K188" s="22">
        <v>31.796250152587891</v>
      </c>
      <c r="L188" s="22">
        <v>33.496250152587891</v>
      </c>
      <c r="M188" s="22">
        <v>34.996250152587891</v>
      </c>
      <c r="O188" s="22">
        <v>26.697499465942382</v>
      </c>
      <c r="P188" s="22">
        <v>30.997499465942383</v>
      </c>
      <c r="Q188" s="22">
        <v>35.29749946594238</v>
      </c>
      <c r="S188" s="22">
        <v>0</v>
      </c>
      <c r="T188" s="22">
        <v>0</v>
      </c>
      <c r="U188" s="22">
        <v>0</v>
      </c>
      <c r="W188" s="22">
        <v>5.7018770017108138E-2</v>
      </c>
      <c r="X188" s="42">
        <v>0.11403754003421628</v>
      </c>
      <c r="Y188" s="22">
        <v>0.17105631005132441</v>
      </c>
      <c r="AA188" s="22">
        <v>2.5000000000000001E-3</v>
      </c>
      <c r="AB188" s="22">
        <v>5.0000000000000001E-3</v>
      </c>
      <c r="AC188" s="22">
        <v>7.4999999999999997E-3</v>
      </c>
      <c r="AE188" s="22">
        <v>-0.4</v>
      </c>
      <c r="AF188" s="42">
        <v>1.75</v>
      </c>
      <c r="AG188" s="22">
        <v>0.5</v>
      </c>
      <c r="AI188" s="22">
        <v>-0.1</v>
      </c>
      <c r="AJ188" s="22">
        <v>0.3</v>
      </c>
      <c r="AK188" s="22">
        <v>0.1</v>
      </c>
      <c r="AM188" s="6">
        <v>61</v>
      </c>
      <c r="AN188" s="23">
        <v>0.4</v>
      </c>
      <c r="BE188" s="7">
        <v>42036</v>
      </c>
      <c r="BF188" s="25">
        <v>0.9</v>
      </c>
    </row>
    <row r="189" spans="1:58">
      <c r="A189" s="19">
        <v>41183</v>
      </c>
      <c r="B189" s="20">
        <v>28.925000381469729</v>
      </c>
      <c r="C189" s="432">
        <v>30.575000381469728</v>
      </c>
      <c r="D189" s="20">
        <v>32.725000381469727</v>
      </c>
      <c r="E189" s="13"/>
      <c r="F189" s="21">
        <v>16.789999847412108</v>
      </c>
      <c r="G189" s="21">
        <v>17.614999847412108</v>
      </c>
      <c r="H189" s="21">
        <v>18.439999847412107</v>
      </c>
      <c r="I189" s="6"/>
      <c r="J189" s="7">
        <v>42064</v>
      </c>
      <c r="K189" s="22">
        <v>21.009749603271498</v>
      </c>
      <c r="L189" s="22">
        <v>21.834749603271497</v>
      </c>
      <c r="M189" s="22">
        <v>22.659749603271496</v>
      </c>
      <c r="O189" s="22">
        <v>17.1644989013672</v>
      </c>
      <c r="P189" s="22">
        <v>21.4644989013672</v>
      </c>
      <c r="Q189" s="22">
        <v>25.764498901367201</v>
      </c>
      <c r="S189" s="22">
        <v>0</v>
      </c>
      <c r="T189" s="22">
        <v>0</v>
      </c>
      <c r="U189" s="22">
        <v>0</v>
      </c>
      <c r="W189" s="22">
        <v>4.751564168092344E-2</v>
      </c>
      <c r="X189" s="42">
        <v>9.503128336184688E-2</v>
      </c>
      <c r="Y189" s="22">
        <v>0.14254692504277033</v>
      </c>
      <c r="AA189" s="22">
        <v>2.5000000000000001E-3</v>
      </c>
      <c r="AB189" s="22">
        <v>5.0000000000000001E-3</v>
      </c>
      <c r="AC189" s="22">
        <v>7.4999999999999997E-3</v>
      </c>
      <c r="AE189" s="22">
        <v>-0.25</v>
      </c>
      <c r="AF189" s="42">
        <v>1.1000000000000001</v>
      </c>
      <c r="AG189" s="22">
        <v>0.25</v>
      </c>
      <c r="AI189" s="22">
        <v>-0.1</v>
      </c>
      <c r="AJ189" s="22">
        <v>0.3</v>
      </c>
      <c r="AK189" s="22">
        <v>0.1</v>
      </c>
      <c r="AM189" s="6">
        <v>61</v>
      </c>
      <c r="AN189" s="23">
        <v>0.4</v>
      </c>
      <c r="BE189" s="7">
        <v>42064</v>
      </c>
      <c r="BF189" s="25">
        <v>0.9</v>
      </c>
    </row>
    <row r="190" spans="1:58">
      <c r="A190" s="19">
        <v>41214</v>
      </c>
      <c r="B190" s="20">
        <v>28.597499084472659</v>
      </c>
      <c r="C190" s="432">
        <v>30.247499084472658</v>
      </c>
      <c r="D190" s="20">
        <v>32.397499084472656</v>
      </c>
      <c r="E190" s="13"/>
      <c r="F190" s="21">
        <v>15.039999847412108</v>
      </c>
      <c r="G190" s="21">
        <v>15.864999847412109</v>
      </c>
      <c r="H190" s="21">
        <v>16.689999847412111</v>
      </c>
      <c r="I190" s="6"/>
      <c r="J190" s="7">
        <v>42095</v>
      </c>
      <c r="K190" s="22">
        <v>21.805000305175795</v>
      </c>
      <c r="L190" s="22">
        <v>22.517500305175794</v>
      </c>
      <c r="M190" s="22">
        <v>23.230000305175793</v>
      </c>
      <c r="O190" s="22">
        <v>16.934999084472668</v>
      </c>
      <c r="P190" s="22">
        <v>21.234999084472669</v>
      </c>
      <c r="Q190" s="22">
        <v>25.53499908447267</v>
      </c>
      <c r="S190" s="22">
        <v>0</v>
      </c>
      <c r="T190" s="22">
        <v>0</v>
      </c>
      <c r="U190" s="22">
        <v>0</v>
      </c>
      <c r="W190" s="22">
        <v>4.5139859596877267E-2</v>
      </c>
      <c r="X190" s="42">
        <v>9.0279719193754535E-2</v>
      </c>
      <c r="Y190" s="22">
        <v>0.13541957879063179</v>
      </c>
      <c r="AA190" s="22">
        <v>2.5000000000000001E-3</v>
      </c>
      <c r="AB190" s="22">
        <v>5.0000000000000001E-3</v>
      </c>
      <c r="AC190" s="22">
        <v>7.4999999999999997E-3</v>
      </c>
      <c r="AE190" s="22">
        <v>-0.25</v>
      </c>
      <c r="AF190" s="42">
        <v>1.2</v>
      </c>
      <c r="AG190" s="22">
        <v>0.25</v>
      </c>
      <c r="AI190" s="22">
        <v>-0.1</v>
      </c>
      <c r="AJ190" s="22">
        <v>0.3</v>
      </c>
      <c r="AK190" s="22">
        <v>0.1</v>
      </c>
      <c r="AM190" s="6">
        <v>62</v>
      </c>
      <c r="AN190" s="23">
        <v>0.4</v>
      </c>
      <c r="BE190" s="7">
        <v>42095</v>
      </c>
      <c r="BF190" s="25">
        <v>0.9</v>
      </c>
    </row>
    <row r="191" spans="1:58">
      <c r="A191" s="19">
        <v>41244</v>
      </c>
      <c r="B191" s="20">
        <v>30.349999618530276</v>
      </c>
      <c r="C191" s="432">
        <v>31.999999618530275</v>
      </c>
      <c r="D191" s="20">
        <v>34.149999618530273</v>
      </c>
      <c r="E191" s="13"/>
      <c r="F191" s="21">
        <v>15.890000228881835</v>
      </c>
      <c r="G191" s="21">
        <v>16.715000228881834</v>
      </c>
      <c r="H191" s="21">
        <v>17.540000228881834</v>
      </c>
      <c r="I191" s="6"/>
      <c r="J191" s="7">
        <v>42125</v>
      </c>
      <c r="K191" s="22">
        <v>20.772500076293959</v>
      </c>
      <c r="L191" s="22">
        <v>22.632500076293958</v>
      </c>
      <c r="M191" s="22">
        <v>24.492500076293958</v>
      </c>
      <c r="O191" s="22">
        <v>17.464999771118176</v>
      </c>
      <c r="P191" s="22">
        <v>21.764999771118177</v>
      </c>
      <c r="Q191" s="22">
        <v>26.064999771118178</v>
      </c>
      <c r="S191" s="22">
        <v>0</v>
      </c>
      <c r="T191" s="22">
        <v>0</v>
      </c>
      <c r="U191" s="22">
        <v>0</v>
      </c>
      <c r="W191" s="22">
        <v>4.9891423764969606E-2</v>
      </c>
      <c r="X191" s="42">
        <v>9.9782847529939211E-2</v>
      </c>
      <c r="Y191" s="22">
        <v>0.14967427129490882</v>
      </c>
      <c r="AA191" s="22">
        <v>2.5000000000000001E-3</v>
      </c>
      <c r="AB191" s="22">
        <v>5.0000000000000001E-3</v>
      </c>
      <c r="AC191" s="22">
        <v>7.4999999999999997E-3</v>
      </c>
      <c r="AE191" s="22">
        <v>-0.25</v>
      </c>
      <c r="AF191" s="42">
        <v>2</v>
      </c>
      <c r="AG191" s="22">
        <v>0.25</v>
      </c>
      <c r="AI191" s="22">
        <v>-0.1</v>
      </c>
      <c r="AJ191" s="22">
        <v>0.3</v>
      </c>
      <c r="AK191" s="22">
        <v>0.1</v>
      </c>
      <c r="AM191" s="6">
        <v>62</v>
      </c>
      <c r="AN191" s="23">
        <v>0.4</v>
      </c>
      <c r="BE191" s="7">
        <v>42125</v>
      </c>
      <c r="BF191" s="25">
        <v>0.9</v>
      </c>
    </row>
    <row r="192" spans="1:58">
      <c r="A192" s="19">
        <v>41275</v>
      </c>
      <c r="B192" s="20">
        <v>38.774998474121091</v>
      </c>
      <c r="C192" s="432">
        <v>40.574998474121088</v>
      </c>
      <c r="D192" s="20">
        <v>42.874998474121085</v>
      </c>
      <c r="E192" s="13"/>
      <c r="F192" s="21">
        <v>20.11499755859375</v>
      </c>
      <c r="G192" s="21">
        <v>21.014997558593748</v>
      </c>
      <c r="H192" s="21">
        <v>21.914997558593747</v>
      </c>
      <c r="I192" s="6"/>
      <c r="J192" s="7">
        <v>42156</v>
      </c>
      <c r="K192" s="22">
        <v>21.876250152587904</v>
      </c>
      <c r="L192" s="22">
        <v>27.208750152587903</v>
      </c>
      <c r="M192" s="22">
        <v>32.541250152587907</v>
      </c>
      <c r="O192" s="22">
        <v>16.39249954223634</v>
      </c>
      <c r="P192" s="22">
        <v>20.692499542236341</v>
      </c>
      <c r="Q192" s="22">
        <v>24.992499542236342</v>
      </c>
      <c r="S192" s="22">
        <v>0</v>
      </c>
      <c r="T192" s="22">
        <v>0</v>
      </c>
      <c r="U192" s="22">
        <v>0</v>
      </c>
      <c r="W192" s="22">
        <v>6.4146116269246656E-2</v>
      </c>
      <c r="X192" s="42">
        <v>0.12829223253849331</v>
      </c>
      <c r="Y192" s="22">
        <v>0.19243834880773997</v>
      </c>
      <c r="AA192" s="22">
        <v>2.5000000000000001E-3</v>
      </c>
      <c r="AB192" s="22">
        <v>5.0000000000000001E-3</v>
      </c>
      <c r="AC192" s="22">
        <v>7.4999999999999997E-3</v>
      </c>
      <c r="AE192" s="22">
        <v>-0.75</v>
      </c>
      <c r="AF192" s="42">
        <v>2.25</v>
      </c>
      <c r="AG192" s="22">
        <v>0.75</v>
      </c>
      <c r="AI192" s="22">
        <v>-0.1</v>
      </c>
      <c r="AJ192" s="22">
        <v>0.3</v>
      </c>
      <c r="AK192" s="22">
        <v>0.1</v>
      </c>
      <c r="AM192" s="6">
        <v>62</v>
      </c>
      <c r="AN192" s="23">
        <v>0.4</v>
      </c>
      <c r="BE192" s="7">
        <v>42156</v>
      </c>
      <c r="BF192" s="25">
        <v>0.9</v>
      </c>
    </row>
    <row r="193" spans="1:58">
      <c r="A193" s="19">
        <v>41306</v>
      </c>
      <c r="B193" s="20">
        <v>38.774998474121091</v>
      </c>
      <c r="C193" s="432">
        <v>40.574998474121088</v>
      </c>
      <c r="D193" s="20">
        <v>42.874998474121085</v>
      </c>
      <c r="E193" s="13"/>
      <c r="F193" s="21">
        <v>20.264997177124023</v>
      </c>
      <c r="G193" s="21">
        <v>21.164997177124022</v>
      </c>
      <c r="H193" s="21">
        <v>22.06499717712402</v>
      </c>
      <c r="I193" s="6"/>
      <c r="J193" s="7">
        <v>42186</v>
      </c>
      <c r="K193" s="22">
        <v>37.911249542236341</v>
      </c>
      <c r="L193" s="22">
        <v>41.661249542236341</v>
      </c>
      <c r="M193" s="22">
        <v>45.411249542236341</v>
      </c>
      <c r="O193" s="22">
        <v>26.847499465942395</v>
      </c>
      <c r="P193" s="22">
        <v>31.147499465942396</v>
      </c>
      <c r="Q193" s="22">
        <v>35.447499465942393</v>
      </c>
      <c r="S193" s="22">
        <v>0</v>
      </c>
      <c r="T193" s="22">
        <v>0</v>
      </c>
      <c r="U193" s="22">
        <v>0</v>
      </c>
      <c r="W193" s="22">
        <v>7.840080877352365E-2</v>
      </c>
      <c r="X193" s="42">
        <v>0.1568016175470473</v>
      </c>
      <c r="Y193" s="22">
        <v>0.23520242632057095</v>
      </c>
      <c r="AA193" s="22">
        <v>2.5000000000000001E-3</v>
      </c>
      <c r="AB193" s="22">
        <v>5.0000000000000001E-3</v>
      </c>
      <c r="AC193" s="22">
        <v>7.4999999999999997E-3</v>
      </c>
      <c r="AE193" s="22">
        <v>-1</v>
      </c>
      <c r="AF193" s="42">
        <v>3</v>
      </c>
      <c r="AG193" s="22">
        <v>1</v>
      </c>
      <c r="AI193" s="22">
        <v>-0.1</v>
      </c>
      <c r="AJ193" s="22">
        <v>0.3</v>
      </c>
      <c r="AK193" s="22">
        <v>0.1</v>
      </c>
      <c r="AM193" s="6">
        <v>63</v>
      </c>
      <c r="AN193" s="23">
        <v>0.4</v>
      </c>
      <c r="BE193" s="7">
        <v>42186</v>
      </c>
      <c r="BF193" s="25">
        <v>0.9</v>
      </c>
    </row>
    <row r="194" spans="1:58">
      <c r="A194" s="19">
        <v>41334</v>
      </c>
      <c r="B194" s="20">
        <v>29.300000762939455</v>
      </c>
      <c r="C194" s="432">
        <v>30.300000762939455</v>
      </c>
      <c r="D194" s="20">
        <v>31.800000762939455</v>
      </c>
      <c r="E194" s="13"/>
      <c r="F194" s="21">
        <v>17.914999084472655</v>
      </c>
      <c r="G194" s="21">
        <v>18.414999084472655</v>
      </c>
      <c r="H194" s="21">
        <v>18.914999084472655</v>
      </c>
      <c r="I194" s="6"/>
      <c r="J194" s="7">
        <v>42217</v>
      </c>
      <c r="K194" s="22">
        <v>40.172499084472669</v>
      </c>
      <c r="L194" s="22">
        <v>43.922499084472669</v>
      </c>
      <c r="M194" s="22">
        <v>47.672499084472669</v>
      </c>
      <c r="O194" s="22">
        <v>28.345000839233411</v>
      </c>
      <c r="P194" s="22">
        <v>32.645000839233411</v>
      </c>
      <c r="Q194" s="22">
        <v>36.945000839233408</v>
      </c>
      <c r="S194" s="22">
        <v>0</v>
      </c>
      <c r="T194" s="22">
        <v>0</v>
      </c>
      <c r="U194" s="22">
        <v>0</v>
      </c>
      <c r="W194" s="22">
        <v>7.840080877352365E-2</v>
      </c>
      <c r="X194" s="42">
        <v>0.1568016175470473</v>
      </c>
      <c r="Y194" s="22">
        <v>0.23520242632057095</v>
      </c>
      <c r="AA194" s="22">
        <v>2.5000000000000001E-3</v>
      </c>
      <c r="AB194" s="22">
        <v>5.0000000000000001E-3</v>
      </c>
      <c r="AC194" s="22">
        <v>7.4999999999999997E-3</v>
      </c>
      <c r="AE194" s="22">
        <v>-1</v>
      </c>
      <c r="AF194" s="42">
        <v>3</v>
      </c>
      <c r="AG194" s="22">
        <v>1</v>
      </c>
      <c r="AI194" s="22">
        <v>-0.1</v>
      </c>
      <c r="AJ194" s="22">
        <v>0.3</v>
      </c>
      <c r="AK194" s="22">
        <v>0.1</v>
      </c>
      <c r="AM194" s="6">
        <v>63</v>
      </c>
      <c r="AN194" s="23">
        <v>0.4</v>
      </c>
      <c r="BE194" s="7">
        <v>42217</v>
      </c>
      <c r="BF194" s="25">
        <v>0.9</v>
      </c>
    </row>
    <row r="195" spans="1:58">
      <c r="A195" s="19">
        <v>41365</v>
      </c>
      <c r="B195" s="20">
        <v>29.225000762939452</v>
      </c>
      <c r="C195" s="432">
        <v>30.075000762939453</v>
      </c>
      <c r="D195" s="20">
        <v>31.425000762939455</v>
      </c>
      <c r="E195" s="13"/>
      <c r="F195" s="21">
        <v>18.239999084472654</v>
      </c>
      <c r="G195" s="21">
        <v>18.664999084472655</v>
      </c>
      <c r="H195" s="21">
        <v>19.089999084472655</v>
      </c>
      <c r="I195" s="6"/>
      <c r="J195" s="7">
        <v>42248</v>
      </c>
      <c r="K195" s="22">
        <v>19.554999542236342</v>
      </c>
      <c r="L195" s="22">
        <v>21.129999542236341</v>
      </c>
      <c r="M195" s="22">
        <v>22.70499954223634</v>
      </c>
      <c r="O195" s="22">
        <v>13.410000419616704</v>
      </c>
      <c r="P195" s="22">
        <v>17.710000419616705</v>
      </c>
      <c r="Q195" s="22">
        <v>22.010000419616706</v>
      </c>
      <c r="S195" s="22">
        <v>0</v>
      </c>
      <c r="T195" s="22">
        <v>0</v>
      </c>
      <c r="U195" s="22">
        <v>0</v>
      </c>
      <c r="W195" s="22">
        <v>5.0395377540373341E-2</v>
      </c>
      <c r="X195" s="42">
        <v>0.10079075508074668</v>
      </c>
      <c r="Y195" s="22">
        <v>0.15118613262112002</v>
      </c>
      <c r="AA195" s="22">
        <v>2.5000000000000001E-3</v>
      </c>
      <c r="AB195" s="22">
        <v>5.0000000000000001E-3</v>
      </c>
      <c r="AC195" s="22">
        <v>7.4999999999999997E-3</v>
      </c>
      <c r="AE195" s="22">
        <v>-0.4</v>
      </c>
      <c r="AF195" s="42">
        <v>1.75</v>
      </c>
      <c r="AG195" s="22">
        <v>0.5</v>
      </c>
      <c r="AI195" s="22">
        <v>-0.1</v>
      </c>
      <c r="AJ195" s="22">
        <v>0.3</v>
      </c>
      <c r="AK195" s="22">
        <v>0.1</v>
      </c>
      <c r="AM195" s="6">
        <v>63</v>
      </c>
      <c r="AN195" s="23">
        <v>0.4</v>
      </c>
      <c r="BE195" s="7">
        <v>42248</v>
      </c>
      <c r="BF195" s="25">
        <v>0.9</v>
      </c>
    </row>
    <row r="196" spans="1:58">
      <c r="A196" s="19">
        <v>41395</v>
      </c>
      <c r="B196" s="20">
        <v>35.594999999999999</v>
      </c>
      <c r="C196" s="432">
        <v>38.075000000000003</v>
      </c>
      <c r="D196" s="20">
        <v>41.055</v>
      </c>
      <c r="E196" s="13"/>
      <c r="F196" s="21">
        <v>16.874999847412109</v>
      </c>
      <c r="G196" s="21">
        <v>18.114999847412108</v>
      </c>
      <c r="H196" s="21">
        <v>19.354999847412106</v>
      </c>
      <c r="I196" s="6"/>
      <c r="J196" s="7">
        <v>42278</v>
      </c>
      <c r="K196" s="22">
        <v>18.71949958801271</v>
      </c>
      <c r="L196" s="22">
        <v>20.181999588012708</v>
      </c>
      <c r="M196" s="22">
        <v>21.644499588012707</v>
      </c>
      <c r="O196" s="22">
        <v>13.554000473022466</v>
      </c>
      <c r="P196" s="22">
        <v>17.854000473022467</v>
      </c>
      <c r="Q196" s="22">
        <v>22.154000473022467</v>
      </c>
      <c r="S196" s="22">
        <v>0</v>
      </c>
      <c r="T196" s="22">
        <v>0</v>
      </c>
      <c r="U196" s="22">
        <v>0</v>
      </c>
      <c r="W196" s="22">
        <v>3.563673126069257E-2</v>
      </c>
      <c r="X196" s="42">
        <v>7.1273462521385139E-2</v>
      </c>
      <c r="Y196" s="22">
        <v>0.10691019378207771</v>
      </c>
      <c r="AA196" s="22">
        <v>2.5000000000000001E-3</v>
      </c>
      <c r="AB196" s="22">
        <v>5.0000000000000001E-3</v>
      </c>
      <c r="AC196" s="22">
        <v>7.4999999999999997E-3</v>
      </c>
      <c r="AE196" s="22">
        <v>-0.25</v>
      </c>
      <c r="AF196" s="42">
        <v>1.5</v>
      </c>
      <c r="AG196" s="22">
        <v>0.25</v>
      </c>
      <c r="AI196" s="22">
        <v>-0.1</v>
      </c>
      <c r="AJ196" s="22">
        <v>0.3</v>
      </c>
      <c r="AK196" s="22">
        <v>0.1</v>
      </c>
      <c r="AM196" s="6">
        <v>64</v>
      </c>
      <c r="AN196" s="23">
        <v>0.4</v>
      </c>
      <c r="BE196" s="7">
        <v>42278</v>
      </c>
      <c r="BF196" s="25">
        <v>0.9</v>
      </c>
    </row>
    <row r="197" spans="1:58">
      <c r="A197" s="19">
        <v>41426</v>
      </c>
      <c r="B197" s="20">
        <v>57.489998474121094</v>
      </c>
      <c r="C197" s="432">
        <v>64.599998474121094</v>
      </c>
      <c r="D197" s="20">
        <v>72.209998474121093</v>
      </c>
      <c r="E197" s="13"/>
      <c r="F197" s="21">
        <v>14.620001220703124</v>
      </c>
      <c r="G197" s="21">
        <v>18.175001220703123</v>
      </c>
      <c r="H197" s="21">
        <v>21.730001220703123</v>
      </c>
      <c r="I197" s="6"/>
      <c r="J197" s="7">
        <v>42309</v>
      </c>
      <c r="K197" s="22">
        <v>18.181249618530288</v>
      </c>
      <c r="L197" s="22">
        <v>19.643749618530286</v>
      </c>
      <c r="M197" s="22">
        <v>21.106249618530285</v>
      </c>
      <c r="O197" s="22">
        <v>14.075000381469735</v>
      </c>
      <c r="P197" s="22">
        <v>18.375000381469736</v>
      </c>
      <c r="Q197" s="22">
        <v>22.675000381469737</v>
      </c>
      <c r="S197" s="22">
        <v>0</v>
      </c>
      <c r="T197" s="22">
        <v>0</v>
      </c>
      <c r="U197" s="22">
        <v>0</v>
      </c>
      <c r="W197" s="22">
        <v>3.563673126069257E-2</v>
      </c>
      <c r="X197" s="42">
        <v>7.1273462521385139E-2</v>
      </c>
      <c r="Y197" s="22">
        <v>0.10691019378207771</v>
      </c>
      <c r="AA197" s="22">
        <v>2.5000000000000001E-3</v>
      </c>
      <c r="AB197" s="22">
        <v>5.0000000000000001E-3</v>
      </c>
      <c r="AC197" s="22">
        <v>7.4999999999999997E-3</v>
      </c>
      <c r="AE197" s="22">
        <v>-0.25</v>
      </c>
      <c r="AF197" s="42">
        <v>1.5</v>
      </c>
      <c r="AG197" s="22">
        <v>0.25</v>
      </c>
      <c r="AI197" s="22">
        <v>-0.1</v>
      </c>
      <c r="AJ197" s="22">
        <v>0.3</v>
      </c>
      <c r="AK197" s="22">
        <v>0.1</v>
      </c>
      <c r="AM197" s="6">
        <v>64</v>
      </c>
      <c r="AN197" s="23">
        <v>0.4</v>
      </c>
      <c r="BE197" s="7">
        <v>42309</v>
      </c>
      <c r="BF197" s="25">
        <v>0.9</v>
      </c>
    </row>
    <row r="198" spans="1:58">
      <c r="A198" s="19">
        <v>41456</v>
      </c>
      <c r="B198" s="20">
        <v>108.69999694824219</v>
      </c>
      <c r="C198" s="432">
        <v>113.69999694824219</v>
      </c>
      <c r="D198" s="20">
        <v>119.19999694824219</v>
      </c>
      <c r="E198" s="13"/>
      <c r="F198" s="21">
        <v>15.364999847412108</v>
      </c>
      <c r="G198" s="21">
        <v>17.864999847412108</v>
      </c>
      <c r="H198" s="21">
        <v>20.364999847412108</v>
      </c>
      <c r="I198" s="6"/>
      <c r="J198" s="7">
        <v>42339</v>
      </c>
      <c r="K198" s="22">
        <v>22.32625007629396</v>
      </c>
      <c r="L198" s="22">
        <v>23.788750076293958</v>
      </c>
      <c r="M198" s="22">
        <v>25.251250076293957</v>
      </c>
      <c r="O198" s="22">
        <v>14.525000190734875</v>
      </c>
      <c r="P198" s="22">
        <v>18.825000190734876</v>
      </c>
      <c r="Q198" s="22">
        <v>23.125000190734877</v>
      </c>
      <c r="S198" s="22">
        <v>0</v>
      </c>
      <c r="T198" s="22">
        <v>0</v>
      </c>
      <c r="U198" s="22">
        <v>0</v>
      </c>
      <c r="W198" s="22">
        <v>3.563673126069257E-2</v>
      </c>
      <c r="X198" s="42">
        <v>7.1273462521385139E-2</v>
      </c>
      <c r="Y198" s="22">
        <v>0.10691019378207771</v>
      </c>
      <c r="AA198" s="22">
        <v>2.5000000000000001E-3</v>
      </c>
      <c r="AB198" s="22">
        <v>5.0000000000000001E-3</v>
      </c>
      <c r="AC198" s="22">
        <v>7.4999999999999997E-3</v>
      </c>
      <c r="AE198" s="22">
        <v>-0.25</v>
      </c>
      <c r="AF198" s="42">
        <v>1.5</v>
      </c>
      <c r="AG198" s="22">
        <v>0.25</v>
      </c>
      <c r="AI198" s="22">
        <v>-0.1</v>
      </c>
      <c r="AJ198" s="22">
        <v>0.3</v>
      </c>
      <c r="AK198" s="22">
        <v>0.1</v>
      </c>
      <c r="AM198" s="6">
        <v>64</v>
      </c>
      <c r="AN198" s="23">
        <v>0.4</v>
      </c>
      <c r="BE198" s="7">
        <v>42339</v>
      </c>
      <c r="BF198" s="25">
        <v>0.9</v>
      </c>
    </row>
    <row r="199" spans="1:58">
      <c r="A199" s="19">
        <v>41487</v>
      </c>
      <c r="B199" s="20">
        <v>95.699996948242188</v>
      </c>
      <c r="C199" s="432">
        <v>100.69999694824219</v>
      </c>
      <c r="D199" s="20">
        <v>106.19999694824219</v>
      </c>
      <c r="E199" s="13"/>
      <c r="F199" s="21">
        <v>15.414999084472655</v>
      </c>
      <c r="G199" s="21">
        <v>17.914999084472655</v>
      </c>
      <c r="H199" s="21">
        <v>20.414999084472655</v>
      </c>
      <c r="I199" s="6"/>
      <c r="J199" s="7">
        <v>42370</v>
      </c>
      <c r="K199" s="22">
        <v>32.723748779296876</v>
      </c>
      <c r="L199" s="22">
        <v>34.498748779296875</v>
      </c>
      <c r="M199" s="22">
        <v>36.073748779296878</v>
      </c>
      <c r="O199" s="22">
        <v>28.702500534057616</v>
      </c>
      <c r="P199" s="22">
        <v>33.002500534057617</v>
      </c>
      <c r="Q199" s="22">
        <v>37.302500534057614</v>
      </c>
      <c r="S199" s="22">
        <v>0.25</v>
      </c>
      <c r="T199" s="22">
        <v>0.25</v>
      </c>
      <c r="U199" s="22">
        <v>0.25</v>
      </c>
      <c r="W199" s="22">
        <v>5.4738019216423808E-2</v>
      </c>
      <c r="X199" s="42">
        <v>0.10947603843284762</v>
      </c>
      <c r="Y199" s="22">
        <v>0.16421405764927144</v>
      </c>
      <c r="AA199" s="22">
        <v>2.5000000000000001E-3</v>
      </c>
      <c r="AB199" s="22">
        <v>5.0000000000000001E-3</v>
      </c>
      <c r="AC199" s="22">
        <v>7.4999999999999997E-3</v>
      </c>
      <c r="AE199" s="22">
        <v>-0.4</v>
      </c>
      <c r="AF199" s="42">
        <v>1.75</v>
      </c>
      <c r="AG199" s="22">
        <v>0.5</v>
      </c>
      <c r="AI199" s="22">
        <v>-0.1</v>
      </c>
      <c r="AJ199" s="22">
        <v>0.3</v>
      </c>
      <c r="AK199" s="22">
        <v>0.1</v>
      </c>
      <c r="AM199" s="6">
        <v>65</v>
      </c>
      <c r="AN199" s="23">
        <v>0.4</v>
      </c>
      <c r="BE199" s="7">
        <v>42370</v>
      </c>
      <c r="BF199" s="25">
        <v>0.9</v>
      </c>
    </row>
    <row r="200" spans="1:58">
      <c r="A200" s="19">
        <v>41518</v>
      </c>
      <c r="B200" s="20">
        <v>36.024998474121098</v>
      </c>
      <c r="C200" s="432">
        <v>37.924998474121097</v>
      </c>
      <c r="D200" s="20">
        <v>40.324998474121095</v>
      </c>
      <c r="E200" s="13"/>
      <c r="F200" s="21">
        <v>16.964999084472655</v>
      </c>
      <c r="G200" s="21">
        <v>17.914999084472655</v>
      </c>
      <c r="H200" s="21">
        <v>18.864999084472654</v>
      </c>
      <c r="I200" s="6"/>
      <c r="J200" s="7">
        <v>42401</v>
      </c>
      <c r="K200" s="22">
        <v>31.721250152587892</v>
      </c>
      <c r="L200" s="22">
        <v>33.496250152587891</v>
      </c>
      <c r="M200" s="22">
        <v>35.071250152587893</v>
      </c>
      <c r="O200" s="22">
        <v>26.697499465942382</v>
      </c>
      <c r="P200" s="22">
        <v>30.997499465942383</v>
      </c>
      <c r="Q200" s="22">
        <v>35.29749946594238</v>
      </c>
      <c r="S200" s="22">
        <v>0</v>
      </c>
      <c r="T200" s="22">
        <v>0</v>
      </c>
      <c r="U200" s="22">
        <v>0</v>
      </c>
      <c r="W200" s="22">
        <v>5.4738019216423808E-2</v>
      </c>
      <c r="X200" s="42">
        <v>0.10947603843284762</v>
      </c>
      <c r="Y200" s="22">
        <v>0.16421405764927144</v>
      </c>
      <c r="AA200" s="22">
        <v>2.5000000000000001E-3</v>
      </c>
      <c r="AB200" s="22">
        <v>5.0000000000000001E-3</v>
      </c>
      <c r="AC200" s="22">
        <v>7.4999999999999997E-3</v>
      </c>
      <c r="AE200" s="22">
        <v>-0.4</v>
      </c>
      <c r="AF200" s="42">
        <v>1.75</v>
      </c>
      <c r="AG200" s="22">
        <v>0.5</v>
      </c>
      <c r="AI200" s="22">
        <v>-0.1</v>
      </c>
      <c r="AJ200" s="22">
        <v>0.3</v>
      </c>
      <c r="AK200" s="22">
        <v>0.1</v>
      </c>
      <c r="AM200" s="6">
        <v>65</v>
      </c>
      <c r="AN200" s="23">
        <v>0.4</v>
      </c>
      <c r="BE200" s="7">
        <v>42401</v>
      </c>
      <c r="BF200" s="25">
        <v>0.9</v>
      </c>
    </row>
    <row r="201" spans="1:58">
      <c r="A201" s="19">
        <v>41548</v>
      </c>
      <c r="B201" s="20">
        <v>29.075000381469728</v>
      </c>
      <c r="C201" s="432">
        <v>30.825000381469728</v>
      </c>
      <c r="D201" s="20">
        <v>33.075000381469728</v>
      </c>
      <c r="E201" s="13"/>
      <c r="F201" s="21">
        <v>16.739999847412108</v>
      </c>
      <c r="G201" s="21">
        <v>17.614999847412108</v>
      </c>
      <c r="H201" s="21">
        <v>18.489999847412108</v>
      </c>
      <c r="I201" s="6"/>
      <c r="J201" s="7">
        <v>42430</v>
      </c>
      <c r="K201" s="22">
        <v>20.972249603271496</v>
      </c>
      <c r="L201" s="22">
        <v>21.834749603271497</v>
      </c>
      <c r="M201" s="22">
        <v>22.697249603271498</v>
      </c>
      <c r="O201" s="22">
        <v>17.1644989013672</v>
      </c>
      <c r="P201" s="22">
        <v>21.4644989013672</v>
      </c>
      <c r="Q201" s="22">
        <v>25.764498901367201</v>
      </c>
      <c r="S201" s="22">
        <v>0</v>
      </c>
      <c r="T201" s="22">
        <v>0</v>
      </c>
      <c r="U201" s="22">
        <v>0</v>
      </c>
      <c r="W201" s="22">
        <v>4.5615016013686498E-2</v>
      </c>
      <c r="X201" s="42">
        <v>9.1230032027372995E-2</v>
      </c>
      <c r="Y201" s="22">
        <v>0.13684504804105949</v>
      </c>
      <c r="AA201" s="22">
        <v>2.5000000000000001E-3</v>
      </c>
      <c r="AB201" s="22">
        <v>5.0000000000000001E-3</v>
      </c>
      <c r="AC201" s="22">
        <v>7.4999999999999997E-3</v>
      </c>
      <c r="AE201" s="22">
        <v>-0.25</v>
      </c>
      <c r="AF201" s="42">
        <v>1.1000000000000001</v>
      </c>
      <c r="AG201" s="22">
        <v>0.25</v>
      </c>
      <c r="AI201" s="22">
        <v>-0.1</v>
      </c>
      <c r="AJ201" s="22">
        <v>0.3</v>
      </c>
      <c r="AK201" s="22">
        <v>0.1</v>
      </c>
      <c r="AM201" s="6">
        <v>65</v>
      </c>
      <c r="AN201" s="23">
        <v>0.4</v>
      </c>
      <c r="BE201" s="7">
        <v>42430</v>
      </c>
      <c r="BF201" s="25">
        <v>0.9</v>
      </c>
    </row>
    <row r="202" spans="1:58">
      <c r="A202" s="19">
        <v>41579</v>
      </c>
      <c r="B202" s="20">
        <v>28.747499084472658</v>
      </c>
      <c r="C202" s="432">
        <v>30.497499084472658</v>
      </c>
      <c r="D202" s="20">
        <v>32.747499084472658</v>
      </c>
      <c r="E202" s="13"/>
      <c r="F202" s="21">
        <v>14.989999847412109</v>
      </c>
      <c r="G202" s="21">
        <v>15.864999847412109</v>
      </c>
      <c r="H202" s="21">
        <v>16.739999847412111</v>
      </c>
      <c r="I202" s="6"/>
      <c r="J202" s="7">
        <v>42461</v>
      </c>
      <c r="K202" s="22">
        <v>21.767500305175794</v>
      </c>
      <c r="L202" s="22">
        <v>22.517500305175794</v>
      </c>
      <c r="M202" s="22">
        <v>23.267500305175794</v>
      </c>
      <c r="O202" s="22">
        <v>16.934999084472668</v>
      </c>
      <c r="P202" s="22">
        <v>21.234999084472669</v>
      </c>
      <c r="Q202" s="22">
        <v>25.53499908447267</v>
      </c>
      <c r="S202" s="22">
        <v>0</v>
      </c>
      <c r="T202" s="22">
        <v>0</v>
      </c>
      <c r="U202" s="22">
        <v>0</v>
      </c>
      <c r="W202" s="22">
        <v>4.3334265213002175E-2</v>
      </c>
      <c r="X202" s="42">
        <v>8.666853042600435E-2</v>
      </c>
      <c r="Y202" s="22">
        <v>0.13000279563900652</v>
      </c>
      <c r="AA202" s="22">
        <v>2.5000000000000001E-3</v>
      </c>
      <c r="AB202" s="22">
        <v>5.0000000000000001E-3</v>
      </c>
      <c r="AC202" s="22">
        <v>7.4999999999999997E-3</v>
      </c>
      <c r="AE202" s="22">
        <v>-0.25</v>
      </c>
      <c r="AF202" s="42">
        <v>1.2</v>
      </c>
      <c r="AG202" s="22">
        <v>0.25</v>
      </c>
      <c r="AI202" s="22">
        <v>-0.1</v>
      </c>
      <c r="AJ202" s="22">
        <v>0.3</v>
      </c>
      <c r="AK202" s="22">
        <v>0.1</v>
      </c>
      <c r="AM202" s="6">
        <v>66</v>
      </c>
      <c r="AN202" s="23">
        <v>0.4</v>
      </c>
      <c r="BE202" s="7">
        <v>42461</v>
      </c>
      <c r="BF202" s="25">
        <v>0.9</v>
      </c>
    </row>
    <row r="203" spans="1:58">
      <c r="A203" s="19">
        <v>41609</v>
      </c>
      <c r="B203" s="20">
        <v>30.499999618530275</v>
      </c>
      <c r="C203" s="432">
        <v>32.249999618530275</v>
      </c>
      <c r="D203" s="20">
        <v>34.499999618530275</v>
      </c>
      <c r="E203" s="13"/>
      <c r="F203" s="21">
        <v>15.840000228881834</v>
      </c>
      <c r="G203" s="21">
        <v>16.715000228881834</v>
      </c>
      <c r="H203" s="21">
        <v>17.590000228881834</v>
      </c>
      <c r="I203" s="6"/>
      <c r="J203" s="7">
        <v>42491</v>
      </c>
      <c r="K203" s="22">
        <v>20.772500076293959</v>
      </c>
      <c r="L203" s="22">
        <v>22.632500076293958</v>
      </c>
      <c r="M203" s="22">
        <v>24.492500076293958</v>
      </c>
      <c r="O203" s="22">
        <v>17.464999771118176</v>
      </c>
      <c r="P203" s="22">
        <v>21.764999771118177</v>
      </c>
      <c r="Q203" s="22">
        <v>26.064999771118178</v>
      </c>
      <c r="S203" s="22">
        <v>0</v>
      </c>
      <c r="T203" s="22">
        <v>0</v>
      </c>
      <c r="U203" s="22">
        <v>0</v>
      </c>
      <c r="W203" s="22">
        <v>4.789576681437082E-2</v>
      </c>
      <c r="X203" s="42">
        <v>9.579153362874164E-2</v>
      </c>
      <c r="Y203" s="22">
        <v>0.14368730044311245</v>
      </c>
      <c r="AA203" s="22">
        <v>2.5000000000000001E-3</v>
      </c>
      <c r="AB203" s="22">
        <v>5.0000000000000001E-3</v>
      </c>
      <c r="AC203" s="22">
        <v>7.4999999999999997E-3</v>
      </c>
      <c r="AE203" s="22">
        <v>-0.25</v>
      </c>
      <c r="AF203" s="42">
        <v>2</v>
      </c>
      <c r="AG203" s="22">
        <v>0.25</v>
      </c>
      <c r="AI203" s="22">
        <v>-0.1</v>
      </c>
      <c r="AJ203" s="22">
        <v>0.3</v>
      </c>
      <c r="AK203" s="22">
        <v>0.1</v>
      </c>
      <c r="AM203" s="6">
        <v>66</v>
      </c>
      <c r="AN203" s="23">
        <v>0.4</v>
      </c>
      <c r="BE203" s="7">
        <v>42491</v>
      </c>
      <c r="BF203" s="25">
        <v>0.9</v>
      </c>
    </row>
    <row r="204" spans="1:58">
      <c r="A204" s="19">
        <v>41640</v>
      </c>
      <c r="B204" s="20">
        <v>38.924998474121089</v>
      </c>
      <c r="C204" s="432">
        <v>40.824998474121088</v>
      </c>
      <c r="D204" s="20">
        <v>43.224998474121087</v>
      </c>
      <c r="E204" s="13"/>
      <c r="F204" s="21">
        <v>20.064997558593749</v>
      </c>
      <c r="G204" s="21">
        <v>21.014997558593748</v>
      </c>
      <c r="H204" s="21">
        <v>21.964997558593748</v>
      </c>
      <c r="I204" s="6"/>
      <c r="J204" s="7">
        <v>42522</v>
      </c>
      <c r="K204" s="22">
        <v>21.876250152587904</v>
      </c>
      <c r="L204" s="22">
        <v>27.208750152587903</v>
      </c>
      <c r="M204" s="22">
        <v>32.541250152587907</v>
      </c>
      <c r="O204" s="22">
        <v>16.39249954223634</v>
      </c>
      <c r="P204" s="22">
        <v>20.692499542236341</v>
      </c>
      <c r="Q204" s="22">
        <v>24.992499542236342</v>
      </c>
      <c r="S204" s="22">
        <v>0</v>
      </c>
      <c r="T204" s="22">
        <v>0</v>
      </c>
      <c r="U204" s="22">
        <v>0</v>
      </c>
      <c r="W204" s="22">
        <v>6.158027161847679E-2</v>
      </c>
      <c r="X204" s="42">
        <v>0.12316054323695358</v>
      </c>
      <c r="Y204" s="22">
        <v>0.18474081485543037</v>
      </c>
      <c r="AA204" s="22">
        <v>2.5000000000000001E-3</v>
      </c>
      <c r="AB204" s="22">
        <v>5.0000000000000001E-3</v>
      </c>
      <c r="AC204" s="22">
        <v>7.4999999999999997E-3</v>
      </c>
      <c r="AE204" s="22">
        <v>-0.75</v>
      </c>
      <c r="AF204" s="42">
        <v>2.25</v>
      </c>
      <c r="AG204" s="22">
        <v>0.75</v>
      </c>
      <c r="AI204" s="22">
        <v>-0.1</v>
      </c>
      <c r="AJ204" s="22">
        <v>0.3</v>
      </c>
      <c r="AK204" s="22">
        <v>0.1</v>
      </c>
      <c r="AM204" s="6">
        <v>66</v>
      </c>
      <c r="AN204" s="23">
        <v>0.4</v>
      </c>
      <c r="BE204" s="7">
        <v>42522</v>
      </c>
      <c r="BF204" s="25">
        <v>0.9</v>
      </c>
    </row>
    <row r="205" spans="1:58">
      <c r="A205" s="19">
        <v>41671</v>
      </c>
      <c r="B205" s="20">
        <v>38.924998474121089</v>
      </c>
      <c r="C205" s="432">
        <v>40.824998474121088</v>
      </c>
      <c r="D205" s="20">
        <v>43.224998474121087</v>
      </c>
      <c r="E205" s="13"/>
      <c r="F205" s="21">
        <v>20.214997177124022</v>
      </c>
      <c r="G205" s="21">
        <v>21.164997177124022</v>
      </c>
      <c r="H205" s="21">
        <v>22.114997177124021</v>
      </c>
      <c r="I205" s="6"/>
      <c r="J205" s="7">
        <v>42552</v>
      </c>
      <c r="K205" s="22">
        <v>37.911249542236341</v>
      </c>
      <c r="L205" s="22">
        <v>41.661249542236341</v>
      </c>
      <c r="M205" s="22">
        <v>45.411249542236341</v>
      </c>
      <c r="O205" s="22">
        <v>26.847499465942395</v>
      </c>
      <c r="P205" s="22">
        <v>31.147499465942396</v>
      </c>
      <c r="Q205" s="22">
        <v>35.447499465942393</v>
      </c>
      <c r="S205" s="22">
        <v>0</v>
      </c>
      <c r="T205" s="22">
        <v>0</v>
      </c>
      <c r="U205" s="22">
        <v>0</v>
      </c>
      <c r="W205" s="22">
        <v>7.5264776422582697E-2</v>
      </c>
      <c r="X205" s="42">
        <v>0.15052955284516539</v>
      </c>
      <c r="Y205" s="22">
        <v>0.22579432926774809</v>
      </c>
      <c r="AA205" s="22">
        <v>2.5000000000000001E-3</v>
      </c>
      <c r="AB205" s="22">
        <v>5.0000000000000001E-3</v>
      </c>
      <c r="AC205" s="22">
        <v>7.4999999999999997E-3</v>
      </c>
      <c r="AE205" s="22">
        <v>-1</v>
      </c>
      <c r="AF205" s="42">
        <v>3</v>
      </c>
      <c r="AG205" s="22">
        <v>1</v>
      </c>
      <c r="AI205" s="22">
        <v>-0.1</v>
      </c>
      <c r="AJ205" s="22">
        <v>0.3</v>
      </c>
      <c r="AK205" s="22">
        <v>0.1</v>
      </c>
      <c r="AM205" s="6">
        <v>67</v>
      </c>
      <c r="AN205" s="23">
        <v>0.4</v>
      </c>
      <c r="BE205" s="7">
        <v>42552</v>
      </c>
      <c r="BF205" s="25">
        <v>0.9</v>
      </c>
    </row>
    <row r="206" spans="1:58">
      <c r="A206" s="19">
        <v>41699</v>
      </c>
      <c r="B206" s="20">
        <v>29.500000762939454</v>
      </c>
      <c r="C206" s="432">
        <v>30.550000762939455</v>
      </c>
      <c r="D206" s="20">
        <v>32.100000762939452</v>
      </c>
      <c r="E206" s="13"/>
      <c r="F206" s="21">
        <v>17.889999084472656</v>
      </c>
      <c r="G206" s="21">
        <v>18.414999084472655</v>
      </c>
      <c r="H206" s="21">
        <v>18.939999084472653</v>
      </c>
      <c r="I206" s="6"/>
      <c r="J206" s="7">
        <v>42583</v>
      </c>
      <c r="K206" s="22">
        <v>40.172499084472669</v>
      </c>
      <c r="L206" s="22">
        <v>43.922499084472669</v>
      </c>
      <c r="M206" s="22">
        <v>47.672499084472669</v>
      </c>
      <c r="O206" s="22">
        <v>28.345000839233411</v>
      </c>
      <c r="P206" s="22">
        <v>32.645000839233411</v>
      </c>
      <c r="Q206" s="22">
        <v>36.945000839233408</v>
      </c>
      <c r="S206" s="22">
        <v>0</v>
      </c>
      <c r="T206" s="22">
        <v>0</v>
      </c>
      <c r="U206" s="22">
        <v>0</v>
      </c>
      <c r="W206" s="22">
        <v>7.5264776422582697E-2</v>
      </c>
      <c r="X206" s="42">
        <v>0.15052955284516539</v>
      </c>
      <c r="Y206" s="22">
        <v>0.22579432926774809</v>
      </c>
      <c r="AA206" s="22">
        <v>2.5000000000000001E-3</v>
      </c>
      <c r="AB206" s="22">
        <v>5.0000000000000001E-3</v>
      </c>
      <c r="AC206" s="22">
        <v>7.4999999999999997E-3</v>
      </c>
      <c r="AE206" s="22">
        <v>-1</v>
      </c>
      <c r="AF206" s="42">
        <v>3</v>
      </c>
      <c r="AG206" s="22">
        <v>1</v>
      </c>
      <c r="AI206" s="22">
        <v>-0.1</v>
      </c>
      <c r="AJ206" s="22">
        <v>0.3</v>
      </c>
      <c r="AK206" s="22">
        <v>0.1</v>
      </c>
      <c r="AM206" s="6">
        <v>67</v>
      </c>
      <c r="AN206" s="23">
        <v>0.4</v>
      </c>
      <c r="BE206" s="7">
        <v>42583</v>
      </c>
      <c r="BF206" s="25">
        <v>0.9</v>
      </c>
    </row>
    <row r="207" spans="1:58">
      <c r="A207" s="19">
        <v>41730</v>
      </c>
      <c r="B207" s="20">
        <v>29.425000762939455</v>
      </c>
      <c r="C207" s="432">
        <v>30.325000762939453</v>
      </c>
      <c r="D207" s="20">
        <v>31.725000762939452</v>
      </c>
      <c r="E207" s="13"/>
      <c r="F207" s="21">
        <v>18.214999084472655</v>
      </c>
      <c r="G207" s="21">
        <v>18.664999084472655</v>
      </c>
      <c r="H207" s="21">
        <v>19.114999084472654</v>
      </c>
      <c r="I207" s="6"/>
      <c r="J207" s="7">
        <v>42614</v>
      </c>
      <c r="K207" s="22">
        <v>19.479999542236342</v>
      </c>
      <c r="L207" s="22">
        <v>21.129999542236341</v>
      </c>
      <c r="M207" s="22">
        <v>22.779999542236339</v>
      </c>
      <c r="O207" s="22">
        <v>13.410000419616704</v>
      </c>
      <c r="P207" s="22">
        <v>17.710000419616705</v>
      </c>
      <c r="Q207" s="22">
        <v>22.010000419616706</v>
      </c>
      <c r="S207" s="22">
        <v>0</v>
      </c>
      <c r="T207" s="22">
        <v>0</v>
      </c>
      <c r="U207" s="22">
        <v>0</v>
      </c>
      <c r="W207" s="22">
        <v>4.8379562438758406E-2</v>
      </c>
      <c r="X207" s="42">
        <v>9.6759124877516811E-2</v>
      </c>
      <c r="Y207" s="22">
        <v>0.14513868731627522</v>
      </c>
      <c r="AA207" s="22">
        <v>2.5000000000000001E-3</v>
      </c>
      <c r="AB207" s="22">
        <v>5.0000000000000001E-3</v>
      </c>
      <c r="AC207" s="22">
        <v>7.4999999999999997E-3</v>
      </c>
      <c r="AE207" s="22">
        <v>-0.4</v>
      </c>
      <c r="AF207" s="42">
        <v>1.75</v>
      </c>
      <c r="AG207" s="22">
        <v>0.5</v>
      </c>
      <c r="AI207" s="22">
        <v>-0.1</v>
      </c>
      <c r="AJ207" s="22">
        <v>0.3</v>
      </c>
      <c r="AK207" s="22">
        <v>0.1</v>
      </c>
      <c r="AM207" s="6">
        <v>67</v>
      </c>
      <c r="AN207" s="23">
        <v>0.4</v>
      </c>
      <c r="BE207" s="7">
        <v>42614</v>
      </c>
      <c r="BF207" s="25">
        <v>0.9</v>
      </c>
    </row>
    <row r="208" spans="1:58">
      <c r="A208" s="19">
        <v>41760</v>
      </c>
      <c r="B208" s="20">
        <v>35.844999999999999</v>
      </c>
      <c r="C208" s="432">
        <v>38.325000000000003</v>
      </c>
      <c r="D208" s="20">
        <v>41.305</v>
      </c>
      <c r="E208" s="13"/>
      <c r="F208" s="21">
        <v>16.874999847412109</v>
      </c>
      <c r="G208" s="21">
        <v>18.114999847412108</v>
      </c>
      <c r="H208" s="21">
        <v>19.354999847412106</v>
      </c>
      <c r="I208" s="6"/>
      <c r="J208" s="7">
        <v>42644</v>
      </c>
      <c r="K208" s="22">
        <v>18.644499588012707</v>
      </c>
      <c r="L208" s="22">
        <v>20.181999588012708</v>
      </c>
      <c r="M208" s="22">
        <v>21.71949958801271</v>
      </c>
      <c r="O208" s="22">
        <v>13.554000473022466</v>
      </c>
      <c r="P208" s="22">
        <v>17.854000473022467</v>
      </c>
      <c r="Q208" s="22">
        <v>22.154000473022467</v>
      </c>
      <c r="S208" s="22">
        <v>0</v>
      </c>
      <c r="T208" s="22">
        <v>0</v>
      </c>
      <c r="U208" s="22">
        <v>0</v>
      </c>
      <c r="W208" s="22">
        <v>3.4211262010264865E-2</v>
      </c>
      <c r="X208" s="42">
        <v>6.8422524020529729E-2</v>
      </c>
      <c r="Y208" s="22">
        <v>0.10263378603079459</v>
      </c>
      <c r="AA208" s="22">
        <v>2.5000000000000001E-3</v>
      </c>
      <c r="AB208" s="22">
        <v>5.0000000000000001E-3</v>
      </c>
      <c r="AC208" s="22">
        <v>7.4999999999999997E-3</v>
      </c>
      <c r="AE208" s="22">
        <v>-0.25</v>
      </c>
      <c r="AF208" s="42">
        <v>1.5</v>
      </c>
      <c r="AG208" s="22">
        <v>0.25</v>
      </c>
      <c r="AI208" s="22">
        <v>-0.1</v>
      </c>
      <c r="AJ208" s="22">
        <v>0.3</v>
      </c>
      <c r="AK208" s="22">
        <v>0.1</v>
      </c>
      <c r="AM208" s="6">
        <v>68</v>
      </c>
      <c r="AN208" s="23">
        <v>0.4</v>
      </c>
      <c r="BE208" s="7">
        <v>42644</v>
      </c>
      <c r="BF208" s="25">
        <v>0.9</v>
      </c>
    </row>
    <row r="209" spans="1:58">
      <c r="A209" s="19">
        <v>41791</v>
      </c>
      <c r="B209" s="20">
        <v>58.239998474121094</v>
      </c>
      <c r="C209" s="432">
        <v>65.349998474121094</v>
      </c>
      <c r="D209" s="20">
        <v>72.959998474121093</v>
      </c>
      <c r="E209" s="13"/>
      <c r="F209" s="21">
        <v>14.620001220703124</v>
      </c>
      <c r="G209" s="21">
        <v>18.175001220703123</v>
      </c>
      <c r="H209" s="21">
        <v>21.730001220703123</v>
      </c>
      <c r="I209" s="6"/>
      <c r="J209" s="7">
        <v>42675</v>
      </c>
      <c r="K209" s="22">
        <v>18.106249618530285</v>
      </c>
      <c r="L209" s="22">
        <v>19.643749618530286</v>
      </c>
      <c r="M209" s="22">
        <v>21.181249618530288</v>
      </c>
      <c r="O209" s="22">
        <v>14.075000381469735</v>
      </c>
      <c r="P209" s="22">
        <v>18.375000381469736</v>
      </c>
      <c r="Q209" s="22">
        <v>22.675000381469737</v>
      </c>
      <c r="S209" s="22">
        <v>0</v>
      </c>
      <c r="T209" s="22">
        <v>0</v>
      </c>
      <c r="U209" s="22">
        <v>0</v>
      </c>
      <c r="W209" s="22">
        <v>3.4211262010264865E-2</v>
      </c>
      <c r="X209" s="42">
        <v>6.8422524020529729E-2</v>
      </c>
      <c r="Y209" s="22">
        <v>0.10263378603079459</v>
      </c>
      <c r="AA209" s="22">
        <v>2.5000000000000001E-3</v>
      </c>
      <c r="AB209" s="22">
        <v>5.0000000000000001E-3</v>
      </c>
      <c r="AC209" s="22">
        <v>7.4999999999999997E-3</v>
      </c>
      <c r="AE209" s="22">
        <v>-0.25</v>
      </c>
      <c r="AF209" s="42">
        <v>1.5</v>
      </c>
      <c r="AG209" s="22">
        <v>0.25</v>
      </c>
      <c r="AI209" s="22">
        <v>-0.1</v>
      </c>
      <c r="AJ209" s="22">
        <v>0.3</v>
      </c>
      <c r="AK209" s="22">
        <v>0.1</v>
      </c>
      <c r="AM209" s="6">
        <v>68</v>
      </c>
      <c r="AN209" s="23">
        <v>0.4</v>
      </c>
      <c r="BE209" s="7">
        <v>42675</v>
      </c>
      <c r="BF209" s="25">
        <v>0.9</v>
      </c>
    </row>
    <row r="210" spans="1:58">
      <c r="A210" s="19">
        <v>41821</v>
      </c>
      <c r="B210" s="20">
        <v>110.94999694824219</v>
      </c>
      <c r="C210" s="432">
        <v>115.94999694824219</v>
      </c>
      <c r="D210" s="20">
        <v>121.44999694824219</v>
      </c>
      <c r="E210" s="13"/>
      <c r="F210" s="21">
        <v>15.364999847412108</v>
      </c>
      <c r="G210" s="21">
        <v>17.864999847412108</v>
      </c>
      <c r="H210" s="21">
        <v>20.364999847412108</v>
      </c>
      <c r="I210" s="6"/>
      <c r="J210" s="7">
        <v>42705</v>
      </c>
      <c r="K210" s="22">
        <v>22.251250076293957</v>
      </c>
      <c r="L210" s="22">
        <v>23.788750076293958</v>
      </c>
      <c r="M210" s="22">
        <v>25.32625007629396</v>
      </c>
      <c r="O210" s="22">
        <v>14.525000190734875</v>
      </c>
      <c r="P210" s="22">
        <v>18.825000190734876</v>
      </c>
      <c r="Q210" s="22">
        <v>23.125000190734877</v>
      </c>
      <c r="S210" s="22">
        <v>0</v>
      </c>
      <c r="T210" s="22">
        <v>0</v>
      </c>
      <c r="U210" s="22">
        <v>0</v>
      </c>
      <c r="W210" s="22">
        <v>3.4211262010264865E-2</v>
      </c>
      <c r="X210" s="42">
        <v>6.8422524020529729E-2</v>
      </c>
      <c r="Y210" s="22">
        <v>0.10263378603079459</v>
      </c>
      <c r="AA210" s="22">
        <v>2.5000000000000001E-3</v>
      </c>
      <c r="AB210" s="22">
        <v>5.0000000000000001E-3</v>
      </c>
      <c r="AC210" s="22">
        <v>7.4999999999999997E-3</v>
      </c>
      <c r="AE210" s="22">
        <v>-0.25</v>
      </c>
      <c r="AF210" s="42">
        <v>1.5</v>
      </c>
      <c r="AG210" s="22">
        <v>0.25</v>
      </c>
      <c r="AI210" s="22">
        <v>-0.1</v>
      </c>
      <c r="AJ210" s="22">
        <v>0.3</v>
      </c>
      <c r="AK210" s="22">
        <v>0.1</v>
      </c>
      <c r="AM210" s="6">
        <v>68</v>
      </c>
      <c r="AN210" s="23">
        <v>0.4</v>
      </c>
      <c r="BE210" s="7">
        <v>42705</v>
      </c>
      <c r="BF210" s="25">
        <v>0.9</v>
      </c>
    </row>
    <row r="211" spans="1:58">
      <c r="A211" s="19">
        <v>41852</v>
      </c>
      <c r="B211" s="20">
        <v>97.949996948242188</v>
      </c>
      <c r="C211" s="432">
        <v>102.94999694824219</v>
      </c>
      <c r="D211" s="20">
        <v>108.44999694824219</v>
      </c>
      <c r="E211" s="13"/>
      <c r="F211" s="21">
        <v>15.414999084472655</v>
      </c>
      <c r="G211" s="21">
        <v>17.914999084472655</v>
      </c>
      <c r="H211" s="21">
        <v>20.414999084472655</v>
      </c>
      <c r="I211" s="6"/>
      <c r="J211" s="7">
        <v>42736</v>
      </c>
      <c r="K211" s="22">
        <v>32.648748779296874</v>
      </c>
      <c r="L211" s="22">
        <v>34.498748779296875</v>
      </c>
      <c r="M211" s="22">
        <v>36.148748779296874</v>
      </c>
      <c r="O211" s="22">
        <v>28.702500534057616</v>
      </c>
      <c r="P211" s="22">
        <v>33.002500534057617</v>
      </c>
      <c r="Q211" s="22">
        <v>37.302500534057614</v>
      </c>
      <c r="S211" s="22">
        <v>0.25</v>
      </c>
      <c r="T211" s="22">
        <v>0.25</v>
      </c>
      <c r="U211" s="22">
        <v>0.25</v>
      </c>
      <c r="W211" s="22">
        <v>5.2548498447766857E-2</v>
      </c>
      <c r="X211" s="42">
        <v>0.10509699689553371</v>
      </c>
      <c r="Y211" s="22">
        <v>0.15764549534330058</v>
      </c>
      <c r="AA211" s="22">
        <v>2.5000000000000001E-3</v>
      </c>
      <c r="AB211" s="22">
        <v>5.0000000000000001E-3</v>
      </c>
      <c r="AC211" s="22">
        <v>7.4999999999999997E-3</v>
      </c>
      <c r="AE211" s="22">
        <v>-0.4</v>
      </c>
      <c r="AF211" s="42">
        <v>1.75</v>
      </c>
      <c r="AG211" s="22">
        <v>0.5</v>
      </c>
      <c r="AI211" s="22">
        <v>-0.1</v>
      </c>
      <c r="AJ211" s="22">
        <v>0.3</v>
      </c>
      <c r="AK211" s="22">
        <v>0.1</v>
      </c>
      <c r="AM211" s="6">
        <v>69</v>
      </c>
      <c r="AN211" s="23">
        <v>0.4</v>
      </c>
      <c r="BE211" s="7">
        <v>42736</v>
      </c>
      <c r="BF211" s="25">
        <v>0.9</v>
      </c>
    </row>
    <row r="212" spans="1:58">
      <c r="A212" s="19">
        <v>41883</v>
      </c>
      <c r="B212" s="20">
        <v>36.424998474121097</v>
      </c>
      <c r="C212" s="432">
        <v>38.424998474121097</v>
      </c>
      <c r="D212" s="20">
        <v>40.924998474121097</v>
      </c>
      <c r="E212" s="13"/>
      <c r="F212" s="21">
        <v>16.914999084472655</v>
      </c>
      <c r="G212" s="21">
        <v>17.914999084472655</v>
      </c>
      <c r="H212" s="21">
        <v>18.914999084472655</v>
      </c>
      <c r="I212" s="6"/>
      <c r="J212" s="7">
        <v>42767</v>
      </c>
      <c r="K212" s="22">
        <v>31.646250152587889</v>
      </c>
      <c r="L212" s="22">
        <v>33.496250152587891</v>
      </c>
      <c r="M212" s="22">
        <v>35.146250152587889</v>
      </c>
      <c r="O212" s="22">
        <v>26.697499465942382</v>
      </c>
      <c r="P212" s="22">
        <v>30.997499465942383</v>
      </c>
      <c r="Q212" s="22">
        <v>35.29749946594238</v>
      </c>
      <c r="S212" s="22">
        <v>0</v>
      </c>
      <c r="T212" s="22">
        <v>0</v>
      </c>
      <c r="U212" s="22">
        <v>0</v>
      </c>
      <c r="W212" s="22">
        <v>5.2548498447766857E-2</v>
      </c>
      <c r="X212" s="42">
        <v>0.10509699689553371</v>
      </c>
      <c r="Y212" s="22">
        <v>0.15764549534330058</v>
      </c>
      <c r="AA212" s="22">
        <v>2.5000000000000001E-3</v>
      </c>
      <c r="AB212" s="22">
        <v>5.0000000000000001E-3</v>
      </c>
      <c r="AC212" s="22">
        <v>7.4999999999999997E-3</v>
      </c>
      <c r="AE212" s="22">
        <v>-0.4</v>
      </c>
      <c r="AF212" s="42">
        <v>1.75</v>
      </c>
      <c r="AG212" s="22">
        <v>0.5</v>
      </c>
      <c r="AI212" s="22">
        <v>-0.1</v>
      </c>
      <c r="AJ212" s="22">
        <v>0.3</v>
      </c>
      <c r="AK212" s="22">
        <v>0.1</v>
      </c>
      <c r="AM212" s="6">
        <v>69</v>
      </c>
      <c r="AN212" s="23">
        <v>0.4</v>
      </c>
      <c r="BE212" s="7">
        <v>42767</v>
      </c>
      <c r="BF212" s="25">
        <v>0.9</v>
      </c>
    </row>
    <row r="213" spans="1:58">
      <c r="A213" s="19">
        <v>41913</v>
      </c>
      <c r="B213" s="20">
        <v>29.225000381469727</v>
      </c>
      <c r="C213" s="432">
        <v>31.075000381469728</v>
      </c>
      <c r="D213" s="20">
        <v>33.425000381469729</v>
      </c>
      <c r="E213" s="13"/>
      <c r="F213" s="21">
        <v>16.689999847412107</v>
      </c>
      <c r="G213" s="21">
        <v>17.614999847412108</v>
      </c>
      <c r="H213" s="21">
        <v>18.539999847412108</v>
      </c>
      <c r="I213" s="6"/>
      <c r="J213" s="7">
        <v>42795</v>
      </c>
      <c r="K213" s="22">
        <v>20.934749603271499</v>
      </c>
      <c r="L213" s="22">
        <v>21.834749603271497</v>
      </c>
      <c r="M213" s="22">
        <v>22.734749603271496</v>
      </c>
      <c r="O213" s="22">
        <v>17.1644989013672</v>
      </c>
      <c r="P213" s="22">
        <v>21.4644989013672</v>
      </c>
      <c r="Q213" s="22">
        <v>25.764498901367201</v>
      </c>
      <c r="S213" s="22">
        <v>0</v>
      </c>
      <c r="T213" s="22">
        <v>0</v>
      </c>
      <c r="U213" s="22">
        <v>0</v>
      </c>
      <c r="W213" s="22">
        <v>4.3790415373139033E-2</v>
      </c>
      <c r="X213" s="42">
        <v>8.7580830746278066E-2</v>
      </c>
      <c r="Y213" s="22">
        <v>0.13137124611941708</v>
      </c>
      <c r="AA213" s="22">
        <v>2.5000000000000001E-3</v>
      </c>
      <c r="AB213" s="22">
        <v>5.0000000000000001E-3</v>
      </c>
      <c r="AC213" s="22">
        <v>7.4999999999999997E-3</v>
      </c>
      <c r="AE213" s="22">
        <v>-0.25</v>
      </c>
      <c r="AF213" s="42">
        <v>1.1000000000000001</v>
      </c>
      <c r="AG213" s="22">
        <v>0.25</v>
      </c>
      <c r="AI213" s="22">
        <v>-0.1</v>
      </c>
      <c r="AJ213" s="22">
        <v>0.3</v>
      </c>
      <c r="AK213" s="22">
        <v>0.1</v>
      </c>
      <c r="AM213" s="6">
        <v>69</v>
      </c>
      <c r="AN213" s="23">
        <v>0.4</v>
      </c>
      <c r="BE213" s="7">
        <v>42795</v>
      </c>
      <c r="BF213" s="25">
        <v>0.9</v>
      </c>
    </row>
    <row r="214" spans="1:58">
      <c r="A214" s="19">
        <v>41944</v>
      </c>
      <c r="B214" s="20">
        <v>28.897499084472656</v>
      </c>
      <c r="C214" s="432">
        <v>30.747499084472658</v>
      </c>
      <c r="D214" s="20">
        <v>33.097499084472659</v>
      </c>
      <c r="E214" s="13"/>
      <c r="F214" s="21">
        <v>14.939999847412109</v>
      </c>
      <c r="G214" s="21">
        <v>15.864999847412109</v>
      </c>
      <c r="H214" s="21">
        <v>16.789999847412108</v>
      </c>
      <c r="I214" s="6"/>
      <c r="J214" s="7">
        <v>42826</v>
      </c>
      <c r="K214" s="22">
        <v>21.730000305175793</v>
      </c>
      <c r="L214" s="22">
        <v>22.517500305175794</v>
      </c>
      <c r="M214" s="22">
        <v>23.305000305175795</v>
      </c>
      <c r="O214" s="22">
        <v>16.934999084472668</v>
      </c>
      <c r="P214" s="22">
        <v>21.234999084472669</v>
      </c>
      <c r="Q214" s="22">
        <v>25.53499908447267</v>
      </c>
      <c r="S214" s="22">
        <v>0</v>
      </c>
      <c r="T214" s="22">
        <v>0</v>
      </c>
      <c r="U214" s="22">
        <v>0</v>
      </c>
      <c r="W214" s="22">
        <v>4.1600894604482089E-2</v>
      </c>
      <c r="X214" s="42">
        <v>8.3201789208964178E-2</v>
      </c>
      <c r="Y214" s="22">
        <v>0.12480268381344627</v>
      </c>
      <c r="AA214" s="22">
        <v>2.5000000000000001E-3</v>
      </c>
      <c r="AB214" s="22">
        <v>5.0000000000000001E-3</v>
      </c>
      <c r="AC214" s="22">
        <v>7.4999999999999997E-3</v>
      </c>
      <c r="AE214" s="22">
        <v>-0.25</v>
      </c>
      <c r="AF214" s="42">
        <v>1.2</v>
      </c>
      <c r="AG214" s="22">
        <v>0.25</v>
      </c>
      <c r="AI214" s="22">
        <v>-0.1</v>
      </c>
      <c r="AJ214" s="22">
        <v>0.3</v>
      </c>
      <c r="AK214" s="22">
        <v>0.1</v>
      </c>
      <c r="AM214" s="6">
        <v>70</v>
      </c>
      <c r="AN214" s="23">
        <v>0.4</v>
      </c>
      <c r="BE214" s="7">
        <v>42826</v>
      </c>
      <c r="BF214" s="25">
        <v>0.9</v>
      </c>
    </row>
    <row r="215" spans="1:58">
      <c r="A215" s="19">
        <v>41974</v>
      </c>
      <c r="B215" s="20">
        <v>30.649999618530273</v>
      </c>
      <c r="C215" s="432">
        <v>32.499999618530275</v>
      </c>
      <c r="D215" s="20">
        <v>34.849999618530276</v>
      </c>
      <c r="E215" s="13"/>
      <c r="F215" s="21">
        <v>15.790000228881834</v>
      </c>
      <c r="G215" s="21">
        <v>16.715000228881834</v>
      </c>
      <c r="H215" s="21">
        <v>17.640000228881835</v>
      </c>
      <c r="I215" s="6"/>
      <c r="J215" s="7">
        <v>42856</v>
      </c>
      <c r="K215" s="22">
        <v>20.772500076293959</v>
      </c>
      <c r="L215" s="22">
        <v>22.632500076293958</v>
      </c>
      <c r="M215" s="22">
        <v>24.492500076293958</v>
      </c>
      <c r="O215" s="22">
        <v>17.464999771118176</v>
      </c>
      <c r="P215" s="22">
        <v>21.764999771118177</v>
      </c>
      <c r="Q215" s="22">
        <v>26.064999771118178</v>
      </c>
      <c r="S215" s="22">
        <v>0</v>
      </c>
      <c r="T215" s="22">
        <v>0</v>
      </c>
      <c r="U215" s="22">
        <v>0</v>
      </c>
      <c r="W215" s="22">
        <v>4.5979936141795984E-2</v>
      </c>
      <c r="X215" s="42">
        <v>9.1959872283591967E-2</v>
      </c>
      <c r="Y215" s="22">
        <v>0.13793980842538794</v>
      </c>
      <c r="AA215" s="22">
        <v>2.5000000000000001E-3</v>
      </c>
      <c r="AB215" s="22">
        <v>5.0000000000000001E-3</v>
      </c>
      <c r="AC215" s="22">
        <v>7.4999999999999997E-3</v>
      </c>
      <c r="AE215" s="22">
        <v>-0.25</v>
      </c>
      <c r="AF215" s="42">
        <v>2</v>
      </c>
      <c r="AG215" s="22">
        <v>0.25</v>
      </c>
      <c r="AI215" s="22">
        <v>-0.1</v>
      </c>
      <c r="AJ215" s="22">
        <v>0.3</v>
      </c>
      <c r="AK215" s="22">
        <v>0.1</v>
      </c>
      <c r="AM215" s="6">
        <v>70</v>
      </c>
      <c r="AN215" s="23">
        <v>0.4</v>
      </c>
      <c r="BE215" s="7">
        <v>42856</v>
      </c>
      <c r="BF215" s="25">
        <v>0.9</v>
      </c>
    </row>
    <row r="216" spans="1:58">
      <c r="A216" s="19">
        <v>42005</v>
      </c>
      <c r="B216" s="20">
        <v>39.074998474121088</v>
      </c>
      <c r="C216" s="432">
        <v>41.074998474121088</v>
      </c>
      <c r="D216" s="20">
        <v>43.574998474121088</v>
      </c>
      <c r="E216" s="13"/>
      <c r="F216" s="21">
        <v>20.014997558593748</v>
      </c>
      <c r="G216" s="21">
        <v>21.014997558593748</v>
      </c>
      <c r="H216" s="21">
        <v>22.014997558593748</v>
      </c>
      <c r="I216" s="6"/>
      <c r="J216" s="7">
        <v>42887</v>
      </c>
      <c r="K216" s="22">
        <v>21.876250152587904</v>
      </c>
      <c r="L216" s="22">
        <v>27.208750152587903</v>
      </c>
      <c r="M216" s="22">
        <v>32.541250152587907</v>
      </c>
      <c r="O216" s="22">
        <v>16.39249954223634</v>
      </c>
      <c r="P216" s="22">
        <v>20.692499542236341</v>
      </c>
      <c r="Q216" s="22">
        <v>24.992499542236342</v>
      </c>
      <c r="S216" s="22">
        <v>0</v>
      </c>
      <c r="T216" s="22">
        <v>0</v>
      </c>
      <c r="U216" s="22">
        <v>0</v>
      </c>
      <c r="W216" s="22">
        <v>5.9117060753737717E-2</v>
      </c>
      <c r="X216" s="42">
        <v>0.11823412150747543</v>
      </c>
      <c r="Y216" s="22">
        <v>0.17735118226121316</v>
      </c>
      <c r="AA216" s="22">
        <v>2.5000000000000001E-3</v>
      </c>
      <c r="AB216" s="22">
        <v>5.0000000000000001E-3</v>
      </c>
      <c r="AC216" s="22">
        <v>7.4999999999999997E-3</v>
      </c>
      <c r="AE216" s="22">
        <v>-0.75</v>
      </c>
      <c r="AF216" s="42">
        <v>2.25</v>
      </c>
      <c r="AG216" s="22">
        <v>0.75</v>
      </c>
      <c r="AI216" s="22">
        <v>-0.1</v>
      </c>
      <c r="AJ216" s="22">
        <v>0.3</v>
      </c>
      <c r="AK216" s="22">
        <v>0.1</v>
      </c>
      <c r="AM216" s="6">
        <v>70</v>
      </c>
      <c r="AN216" s="23">
        <v>0.4</v>
      </c>
      <c r="BE216" s="7">
        <v>42887</v>
      </c>
      <c r="BF216" s="25">
        <v>0.9</v>
      </c>
    </row>
    <row r="217" spans="1:58">
      <c r="A217" s="19">
        <v>42036</v>
      </c>
      <c r="B217" s="20">
        <v>39.074998474121088</v>
      </c>
      <c r="C217" s="432">
        <v>41.074998474121088</v>
      </c>
      <c r="D217" s="20">
        <v>43.574998474121088</v>
      </c>
      <c r="E217" s="13"/>
      <c r="F217" s="21">
        <v>20.164997177124022</v>
      </c>
      <c r="G217" s="21">
        <v>21.164997177124022</v>
      </c>
      <c r="H217" s="21">
        <v>22.164997177124022</v>
      </c>
      <c r="I217" s="6"/>
      <c r="J217" s="7">
        <v>42917</v>
      </c>
      <c r="K217" s="22">
        <v>37.911249542236341</v>
      </c>
      <c r="L217" s="22">
        <v>41.661249542236341</v>
      </c>
      <c r="M217" s="22">
        <v>45.411249542236341</v>
      </c>
      <c r="O217" s="22">
        <v>26.847499465942395</v>
      </c>
      <c r="P217" s="22">
        <v>31.147499465942396</v>
      </c>
      <c r="Q217" s="22">
        <v>35.447499465942393</v>
      </c>
      <c r="S217" s="22">
        <v>0</v>
      </c>
      <c r="T217" s="22">
        <v>0</v>
      </c>
      <c r="U217" s="22">
        <v>0</v>
      </c>
      <c r="W217" s="22">
        <v>7.2254185365679388E-2</v>
      </c>
      <c r="X217" s="42">
        <v>0.14450837073135878</v>
      </c>
      <c r="Y217" s="22">
        <v>0.21676255609703815</v>
      </c>
      <c r="AA217" s="22">
        <v>2.5000000000000001E-3</v>
      </c>
      <c r="AB217" s="22">
        <v>5.0000000000000001E-3</v>
      </c>
      <c r="AC217" s="22">
        <v>7.4999999999999997E-3</v>
      </c>
      <c r="AE217" s="22">
        <v>-1</v>
      </c>
      <c r="AF217" s="42">
        <v>3</v>
      </c>
      <c r="AG217" s="22">
        <v>1</v>
      </c>
      <c r="AI217" s="22">
        <v>-0.1</v>
      </c>
      <c r="AJ217" s="22">
        <v>0.3</v>
      </c>
      <c r="AK217" s="22">
        <v>0.1</v>
      </c>
      <c r="AM217" s="6">
        <v>71</v>
      </c>
      <c r="AN217" s="23">
        <v>0.4</v>
      </c>
      <c r="BE217" s="7">
        <v>42917</v>
      </c>
      <c r="BF217" s="25">
        <v>0.9</v>
      </c>
    </row>
    <row r="218" spans="1:58">
      <c r="A218" s="19">
        <v>42064</v>
      </c>
      <c r="B218" s="20">
        <v>29.700000762939453</v>
      </c>
      <c r="C218" s="432">
        <v>30.800000762939455</v>
      </c>
      <c r="D218" s="20">
        <v>32.400000762939456</v>
      </c>
      <c r="E218" s="13"/>
      <c r="F218" s="21">
        <v>17.864999084472654</v>
      </c>
      <c r="G218" s="21">
        <v>18.414999084472655</v>
      </c>
      <c r="H218" s="21">
        <v>18.964999084472655</v>
      </c>
      <c r="I218" s="6"/>
      <c r="J218" s="7">
        <v>42948</v>
      </c>
      <c r="K218" s="22">
        <v>40.172499084472669</v>
      </c>
      <c r="L218" s="22">
        <v>43.922499084472669</v>
      </c>
      <c r="M218" s="22">
        <v>47.672499084472669</v>
      </c>
      <c r="O218" s="22">
        <v>28.345000839233411</v>
      </c>
      <c r="P218" s="22">
        <v>32.645000839233411</v>
      </c>
      <c r="Q218" s="22">
        <v>36.945000839233408</v>
      </c>
      <c r="S218" s="22">
        <v>0</v>
      </c>
      <c r="T218" s="22">
        <v>0</v>
      </c>
      <c r="U218" s="22">
        <v>0</v>
      </c>
      <c r="W218" s="22">
        <v>7.2254185365679388E-2</v>
      </c>
      <c r="X218" s="42">
        <v>0.14450837073135878</v>
      </c>
      <c r="Y218" s="22">
        <v>0.21676255609703815</v>
      </c>
      <c r="AA218" s="22">
        <v>2.5000000000000001E-3</v>
      </c>
      <c r="AB218" s="22">
        <v>5.0000000000000001E-3</v>
      </c>
      <c r="AC218" s="22">
        <v>7.4999999999999997E-3</v>
      </c>
      <c r="AE218" s="22">
        <v>-1</v>
      </c>
      <c r="AF218" s="42">
        <v>3</v>
      </c>
      <c r="AG218" s="22">
        <v>1</v>
      </c>
      <c r="AI218" s="22">
        <v>-0.1</v>
      </c>
      <c r="AJ218" s="22">
        <v>0.3</v>
      </c>
      <c r="AK218" s="22">
        <v>0.1</v>
      </c>
      <c r="AM218" s="6">
        <v>71</v>
      </c>
      <c r="AN218" s="23">
        <v>0.4</v>
      </c>
      <c r="BE218" s="7">
        <v>42948</v>
      </c>
      <c r="BF218" s="25">
        <v>0.9</v>
      </c>
    </row>
    <row r="219" spans="1:58">
      <c r="A219" s="19">
        <v>42095</v>
      </c>
      <c r="B219" s="20">
        <v>29.625000762939454</v>
      </c>
      <c r="C219" s="432">
        <v>30.575000762939453</v>
      </c>
      <c r="D219" s="20">
        <v>32.025000762939456</v>
      </c>
      <c r="E219" s="13"/>
      <c r="F219" s="21">
        <v>18.189999084472653</v>
      </c>
      <c r="G219" s="21">
        <v>18.664999084472655</v>
      </c>
      <c r="H219" s="21">
        <v>19.139999084472656</v>
      </c>
      <c r="I219" s="6"/>
      <c r="J219" s="7">
        <v>42979</v>
      </c>
      <c r="K219" s="22">
        <v>19.404999542236339</v>
      </c>
      <c r="L219" s="22">
        <v>21.129999542236341</v>
      </c>
      <c r="M219" s="22">
        <v>22.854999542236342</v>
      </c>
      <c r="O219" s="22">
        <v>13.410000419616704</v>
      </c>
      <c r="P219" s="22">
        <v>17.710000419616705</v>
      </c>
      <c r="Q219" s="22">
        <v>22.010000419616706</v>
      </c>
      <c r="S219" s="22">
        <v>0</v>
      </c>
      <c r="T219" s="22">
        <v>0</v>
      </c>
      <c r="U219" s="22">
        <v>0</v>
      </c>
      <c r="W219" s="22">
        <v>4.6444379941208071E-2</v>
      </c>
      <c r="X219" s="42">
        <v>9.2888759882416141E-2</v>
      </c>
      <c r="Y219" s="22">
        <v>0.13933313982362422</v>
      </c>
      <c r="AA219" s="22">
        <v>2.5000000000000001E-3</v>
      </c>
      <c r="AB219" s="22">
        <v>5.0000000000000001E-3</v>
      </c>
      <c r="AC219" s="22">
        <v>7.4999999999999997E-3</v>
      </c>
      <c r="AE219" s="22">
        <v>-0.4</v>
      </c>
      <c r="AF219" s="42">
        <v>1.75</v>
      </c>
      <c r="AG219" s="22">
        <v>0.5</v>
      </c>
      <c r="AI219" s="22">
        <v>-0.1</v>
      </c>
      <c r="AJ219" s="22">
        <v>0.3</v>
      </c>
      <c r="AK219" s="22">
        <v>0.1</v>
      </c>
      <c r="AM219" s="6">
        <v>71</v>
      </c>
      <c r="AN219" s="23">
        <v>0.4</v>
      </c>
      <c r="BE219" s="7">
        <v>42979</v>
      </c>
      <c r="BF219" s="25">
        <v>0.9</v>
      </c>
    </row>
    <row r="220" spans="1:58">
      <c r="A220" s="19">
        <v>42125</v>
      </c>
      <c r="B220" s="20">
        <v>36.094999999999999</v>
      </c>
      <c r="C220" s="432">
        <v>38.575000000000003</v>
      </c>
      <c r="D220" s="20">
        <v>41.555</v>
      </c>
      <c r="E220" s="13"/>
      <c r="F220" s="21">
        <v>16.874999847412109</v>
      </c>
      <c r="G220" s="21">
        <v>18.114999847412108</v>
      </c>
      <c r="H220" s="21">
        <v>19.354999847412106</v>
      </c>
      <c r="I220" s="6"/>
      <c r="J220" s="7">
        <v>43009</v>
      </c>
      <c r="K220" s="22">
        <v>18.569499588012707</v>
      </c>
      <c r="L220" s="22">
        <v>20.181999588012708</v>
      </c>
      <c r="M220" s="22">
        <v>21.794499588012709</v>
      </c>
      <c r="O220" s="22">
        <v>13.554000473022466</v>
      </c>
      <c r="P220" s="22">
        <v>17.854000473022467</v>
      </c>
      <c r="Q220" s="22">
        <v>22.154000473022467</v>
      </c>
      <c r="S220" s="22">
        <v>0</v>
      </c>
      <c r="T220" s="22">
        <v>0</v>
      </c>
      <c r="U220" s="22">
        <v>0</v>
      </c>
      <c r="W220" s="22">
        <v>3.2842811529854271E-2</v>
      </c>
      <c r="X220" s="42">
        <v>6.5685623059708542E-2</v>
      </c>
      <c r="Y220" s="22">
        <v>9.8528434589562813E-2</v>
      </c>
      <c r="AA220" s="22">
        <v>2.5000000000000001E-3</v>
      </c>
      <c r="AB220" s="22">
        <v>5.0000000000000001E-3</v>
      </c>
      <c r="AC220" s="22">
        <v>7.4999999999999997E-3</v>
      </c>
      <c r="AE220" s="22">
        <v>-0.25</v>
      </c>
      <c r="AF220" s="42">
        <v>1.5</v>
      </c>
      <c r="AG220" s="22">
        <v>0.25</v>
      </c>
      <c r="AI220" s="22">
        <v>-0.1</v>
      </c>
      <c r="AJ220" s="22">
        <v>0.3</v>
      </c>
      <c r="AK220" s="22">
        <v>0.1</v>
      </c>
      <c r="AM220" s="6">
        <v>72</v>
      </c>
      <c r="AN220" s="23">
        <v>0.4</v>
      </c>
      <c r="BE220" s="7">
        <v>43009</v>
      </c>
      <c r="BF220" s="25">
        <v>0.9</v>
      </c>
    </row>
    <row r="221" spans="1:58">
      <c r="A221" s="19">
        <v>42156</v>
      </c>
      <c r="B221" s="20">
        <v>58.989998474121094</v>
      </c>
      <c r="C221" s="432">
        <v>66.099998474121094</v>
      </c>
      <c r="D221" s="20">
        <v>73.709998474121093</v>
      </c>
      <c r="E221" s="13"/>
      <c r="F221" s="21">
        <v>14.620001220703124</v>
      </c>
      <c r="G221" s="21">
        <v>18.175001220703123</v>
      </c>
      <c r="H221" s="21">
        <v>21.730001220703123</v>
      </c>
      <c r="I221" s="6"/>
      <c r="J221" s="7">
        <v>43040</v>
      </c>
      <c r="K221" s="22">
        <v>18.031249618530286</v>
      </c>
      <c r="L221" s="22">
        <v>19.643749618530286</v>
      </c>
      <c r="M221" s="22">
        <v>21.256249618530287</v>
      </c>
      <c r="O221" s="22">
        <v>14.075000381469735</v>
      </c>
      <c r="P221" s="22">
        <v>18.375000381469736</v>
      </c>
      <c r="Q221" s="22">
        <v>22.675000381469737</v>
      </c>
      <c r="S221" s="22">
        <v>0</v>
      </c>
      <c r="T221" s="22">
        <v>0</v>
      </c>
      <c r="U221" s="22">
        <v>0</v>
      </c>
      <c r="W221" s="22">
        <v>3.2842811529854271E-2</v>
      </c>
      <c r="X221" s="42">
        <v>6.5685623059708542E-2</v>
      </c>
      <c r="Y221" s="22">
        <v>9.8528434589562813E-2</v>
      </c>
      <c r="AA221" s="22">
        <v>2.5000000000000001E-3</v>
      </c>
      <c r="AB221" s="22">
        <v>5.0000000000000001E-3</v>
      </c>
      <c r="AC221" s="22">
        <v>7.4999999999999997E-3</v>
      </c>
      <c r="AE221" s="22">
        <v>-0.25</v>
      </c>
      <c r="AF221" s="42">
        <v>1.5</v>
      </c>
      <c r="AG221" s="22">
        <v>0.25</v>
      </c>
      <c r="AI221" s="22">
        <v>-0.1</v>
      </c>
      <c r="AJ221" s="22">
        <v>0.3</v>
      </c>
      <c r="AK221" s="22">
        <v>0.1</v>
      </c>
      <c r="AM221" s="6">
        <v>72</v>
      </c>
      <c r="AN221" s="23">
        <v>0.4</v>
      </c>
      <c r="BE221" s="7">
        <v>43040</v>
      </c>
      <c r="BF221" s="25">
        <v>0.9</v>
      </c>
    </row>
    <row r="222" spans="1:58">
      <c r="A222" s="19">
        <v>42186</v>
      </c>
      <c r="B222" s="20">
        <v>113.19999694824219</v>
      </c>
      <c r="C222" s="432">
        <v>118.19999694824219</v>
      </c>
      <c r="D222" s="20">
        <v>123.69999694824219</v>
      </c>
      <c r="E222" s="13"/>
      <c r="F222" s="21">
        <v>15.364999847412108</v>
      </c>
      <c r="G222" s="21">
        <v>17.864999847412108</v>
      </c>
      <c r="H222" s="21">
        <v>20.364999847412108</v>
      </c>
      <c r="I222" s="6"/>
      <c r="J222" s="7">
        <v>43070</v>
      </c>
      <c r="K222" s="22">
        <v>22.176250076293957</v>
      </c>
      <c r="L222" s="22">
        <v>23.788750076293958</v>
      </c>
      <c r="M222" s="22">
        <v>25.401250076293959</v>
      </c>
      <c r="O222" s="22">
        <v>14.525000190734875</v>
      </c>
      <c r="P222" s="22">
        <v>18.825000190734876</v>
      </c>
      <c r="Q222" s="22">
        <v>23.125000190734877</v>
      </c>
      <c r="S222" s="22">
        <v>0</v>
      </c>
      <c r="T222" s="22">
        <v>0</v>
      </c>
      <c r="U222" s="22">
        <v>0</v>
      </c>
      <c r="W222" s="22">
        <v>3.2842811529854271E-2</v>
      </c>
      <c r="X222" s="42">
        <v>6.5685623059708542E-2</v>
      </c>
      <c r="Y222" s="22">
        <v>9.8528434589562813E-2</v>
      </c>
      <c r="AA222" s="22">
        <v>2.5000000000000001E-3</v>
      </c>
      <c r="AB222" s="22">
        <v>5.0000000000000001E-3</v>
      </c>
      <c r="AC222" s="22">
        <v>7.4999999999999997E-3</v>
      </c>
      <c r="AE222" s="22">
        <v>-0.25</v>
      </c>
      <c r="AF222" s="42">
        <v>1.5</v>
      </c>
      <c r="AG222" s="22">
        <v>0.25</v>
      </c>
      <c r="AI222" s="22">
        <v>-0.1</v>
      </c>
      <c r="AJ222" s="22">
        <v>0.3</v>
      </c>
      <c r="AK222" s="22">
        <v>0.1</v>
      </c>
      <c r="AM222" s="6">
        <v>72</v>
      </c>
      <c r="AN222" s="23">
        <v>0.4</v>
      </c>
      <c r="BE222" s="7">
        <v>43070</v>
      </c>
      <c r="BF222" s="25">
        <v>0.9</v>
      </c>
    </row>
    <row r="223" spans="1:58">
      <c r="A223" s="19">
        <v>42217</v>
      </c>
      <c r="B223" s="20">
        <v>100.19999694824219</v>
      </c>
      <c r="C223" s="432">
        <v>105.19999694824219</v>
      </c>
      <c r="D223" s="20">
        <v>110.69999694824219</v>
      </c>
      <c r="E223" s="13"/>
      <c r="F223" s="21">
        <v>15.414999084472655</v>
      </c>
      <c r="G223" s="21">
        <v>17.914999084472655</v>
      </c>
      <c r="H223" s="21">
        <v>20.414999084472655</v>
      </c>
      <c r="I223" s="6"/>
      <c r="J223" s="7">
        <v>43101</v>
      </c>
      <c r="K223" s="22">
        <v>32.648748779296874</v>
      </c>
      <c r="L223" s="22">
        <v>34.498748779296875</v>
      </c>
      <c r="M223" s="22">
        <v>36.148748779296874</v>
      </c>
      <c r="O223" s="22">
        <v>28.702500534057616</v>
      </c>
      <c r="P223" s="22">
        <v>33.002500534057617</v>
      </c>
      <c r="Q223" s="22">
        <v>37.302500534057614</v>
      </c>
      <c r="S223" s="22">
        <v>0.25</v>
      </c>
      <c r="T223" s="22">
        <v>0.25</v>
      </c>
      <c r="U223" s="22">
        <v>0.25</v>
      </c>
      <c r="W223" s="22">
        <v>5.0446558509856181E-2</v>
      </c>
      <c r="X223" s="42">
        <v>0.10089311701971236</v>
      </c>
      <c r="Y223" s="22">
        <v>0.15133967552956853</v>
      </c>
      <c r="AA223" s="22">
        <v>2.5000000000000001E-3</v>
      </c>
      <c r="AB223" s="22">
        <v>5.0000000000000001E-3</v>
      </c>
      <c r="AC223" s="22">
        <v>7.4999999999999997E-3</v>
      </c>
      <c r="AE223" s="22">
        <v>-0.25</v>
      </c>
      <c r="AF223" s="42">
        <v>1.75</v>
      </c>
      <c r="AG223" s="22">
        <v>0.25</v>
      </c>
      <c r="AI223" s="22">
        <v>-0.1</v>
      </c>
      <c r="AJ223" s="22">
        <v>0.3</v>
      </c>
      <c r="AK223" s="22">
        <v>0.1</v>
      </c>
      <c r="AM223" s="6">
        <v>73</v>
      </c>
      <c r="AN223" s="23">
        <v>0.4</v>
      </c>
      <c r="BE223" s="7">
        <v>43101</v>
      </c>
      <c r="BF223" s="25">
        <v>0.9</v>
      </c>
    </row>
    <row r="224" spans="1:58">
      <c r="A224" s="19">
        <v>42248</v>
      </c>
      <c r="B224" s="20">
        <v>36.824998474121095</v>
      </c>
      <c r="C224" s="432">
        <v>38.924998474121097</v>
      </c>
      <c r="D224" s="20">
        <v>41.524998474121098</v>
      </c>
      <c r="E224" s="13"/>
      <c r="F224" s="21">
        <v>16.864999084472654</v>
      </c>
      <c r="G224" s="21">
        <v>17.914999084472655</v>
      </c>
      <c r="H224" s="21">
        <v>18.964999084472655</v>
      </c>
      <c r="I224" s="6"/>
      <c r="J224" s="7">
        <v>43132</v>
      </c>
      <c r="K224" s="22">
        <v>31.646250152587889</v>
      </c>
      <c r="L224" s="22">
        <v>33.496250152587891</v>
      </c>
      <c r="M224" s="22">
        <v>35.146250152587889</v>
      </c>
      <c r="O224" s="22">
        <v>26.697499465942382</v>
      </c>
      <c r="P224" s="22">
        <v>30.997499465942383</v>
      </c>
      <c r="Q224" s="22">
        <v>35.29749946594238</v>
      </c>
      <c r="S224" s="22">
        <v>0</v>
      </c>
      <c r="T224" s="22">
        <v>0</v>
      </c>
      <c r="U224" s="22">
        <v>0</v>
      </c>
      <c r="W224" s="22">
        <v>5.0446558509856181E-2</v>
      </c>
      <c r="X224" s="42">
        <v>0.10089311701971236</v>
      </c>
      <c r="Y224" s="22">
        <v>0.15133967552956853</v>
      </c>
      <c r="AA224" s="22">
        <v>2.5000000000000001E-3</v>
      </c>
      <c r="AB224" s="22">
        <v>5.0000000000000001E-3</v>
      </c>
      <c r="AC224" s="22">
        <v>7.4999999999999997E-3</v>
      </c>
      <c r="AE224" s="22">
        <v>-0.25</v>
      </c>
      <c r="AF224" s="42">
        <v>1.75</v>
      </c>
      <c r="AG224" s="22">
        <v>0.25</v>
      </c>
      <c r="AI224" s="22">
        <v>-0.1</v>
      </c>
      <c r="AJ224" s="22">
        <v>0.3</v>
      </c>
      <c r="AK224" s="22">
        <v>0.1</v>
      </c>
      <c r="AM224" s="6">
        <v>73</v>
      </c>
      <c r="AN224" s="23">
        <v>0.4</v>
      </c>
      <c r="BE224" s="7">
        <v>43132</v>
      </c>
      <c r="BF224" s="25">
        <v>0.9</v>
      </c>
    </row>
    <row r="225" spans="1:58">
      <c r="A225" s="19">
        <v>42278</v>
      </c>
      <c r="B225" s="20">
        <v>29.375000381469729</v>
      </c>
      <c r="C225" s="432">
        <v>31.325000381469728</v>
      </c>
      <c r="D225" s="20">
        <v>33.775000381469731</v>
      </c>
      <c r="E225" s="13"/>
      <c r="F225" s="21">
        <v>16.639999847412106</v>
      </c>
      <c r="G225" s="21">
        <v>17.614999847412108</v>
      </c>
      <c r="H225" s="21">
        <v>18.589999847412109</v>
      </c>
      <c r="I225" s="6"/>
      <c r="J225" s="7">
        <v>43160</v>
      </c>
      <c r="K225" s="22">
        <v>20.934749603271499</v>
      </c>
      <c r="L225" s="22">
        <v>21.834749603271497</v>
      </c>
      <c r="M225" s="22">
        <v>22.734749603271496</v>
      </c>
      <c r="O225" s="22">
        <v>17.1644989013672</v>
      </c>
      <c r="P225" s="22">
        <v>21.4644989013672</v>
      </c>
      <c r="Q225" s="22">
        <v>25.764498901367201</v>
      </c>
      <c r="S225" s="22">
        <v>0</v>
      </c>
      <c r="T225" s="22">
        <v>0</v>
      </c>
      <c r="U225" s="22">
        <v>0</v>
      </c>
      <c r="W225" s="22">
        <v>4.2038798758213466E-2</v>
      </c>
      <c r="X225" s="42">
        <v>8.4077597516426933E-2</v>
      </c>
      <c r="Y225" s="22">
        <v>0.12611639627464039</v>
      </c>
      <c r="AA225" s="22">
        <v>2.5000000000000001E-3</v>
      </c>
      <c r="AB225" s="22">
        <v>5.0000000000000001E-3</v>
      </c>
      <c r="AC225" s="22">
        <v>7.4999999999999997E-3</v>
      </c>
      <c r="AE225" s="22">
        <v>-0.25</v>
      </c>
      <c r="AF225" s="42">
        <v>1.1000000000000001</v>
      </c>
      <c r="AG225" s="22">
        <v>0.25</v>
      </c>
      <c r="AI225" s="22">
        <v>-0.1</v>
      </c>
      <c r="AJ225" s="22">
        <v>0.3</v>
      </c>
      <c r="AK225" s="22">
        <v>0.1</v>
      </c>
      <c r="AM225" s="6">
        <v>73</v>
      </c>
      <c r="AN225" s="23">
        <v>0.4</v>
      </c>
      <c r="BE225" s="7">
        <v>43160</v>
      </c>
      <c r="BF225" s="25">
        <v>0.9</v>
      </c>
    </row>
    <row r="226" spans="1:58">
      <c r="A226" s="19">
        <v>42309</v>
      </c>
      <c r="B226" s="20">
        <v>29.047499084472658</v>
      </c>
      <c r="C226" s="432">
        <v>30.997499084472658</v>
      </c>
      <c r="D226" s="20">
        <v>33.447499084472661</v>
      </c>
      <c r="E226" s="13"/>
      <c r="F226" s="21">
        <v>14.88999984741211</v>
      </c>
      <c r="G226" s="21">
        <v>15.864999847412109</v>
      </c>
      <c r="H226" s="21">
        <v>16.839999847412109</v>
      </c>
      <c r="I226" s="6"/>
      <c r="J226" s="7">
        <v>43191</v>
      </c>
      <c r="K226" s="22">
        <v>21.730000305175793</v>
      </c>
      <c r="L226" s="22">
        <v>22.517500305175794</v>
      </c>
      <c r="M226" s="22">
        <v>23.305000305175795</v>
      </c>
      <c r="O226" s="22">
        <v>16.934999084472668</v>
      </c>
      <c r="P226" s="22">
        <v>21.234999084472669</v>
      </c>
      <c r="Q226" s="22">
        <v>25.53499908447267</v>
      </c>
      <c r="S226" s="22">
        <v>0</v>
      </c>
      <c r="T226" s="22">
        <v>0</v>
      </c>
      <c r="U226" s="22">
        <v>0</v>
      </c>
      <c r="W226" s="22">
        <v>3.9936858820302804E-2</v>
      </c>
      <c r="X226" s="42">
        <v>7.9873717640605607E-2</v>
      </c>
      <c r="Y226" s="22">
        <v>0.11981057646090841</v>
      </c>
      <c r="AA226" s="22">
        <v>2.5000000000000001E-3</v>
      </c>
      <c r="AB226" s="22">
        <v>5.0000000000000001E-3</v>
      </c>
      <c r="AC226" s="22">
        <v>7.4999999999999997E-3</v>
      </c>
      <c r="AE226" s="22">
        <v>-0.25</v>
      </c>
      <c r="AF226" s="42">
        <v>1.2</v>
      </c>
      <c r="AG226" s="22">
        <v>0.25</v>
      </c>
      <c r="AI226" s="22">
        <v>-0.1</v>
      </c>
      <c r="AJ226" s="22">
        <v>0.3</v>
      </c>
      <c r="AK226" s="22">
        <v>0.1</v>
      </c>
      <c r="AM226" s="6">
        <v>74</v>
      </c>
      <c r="AN226" s="23">
        <v>0.4</v>
      </c>
      <c r="BE226" s="7">
        <v>43191</v>
      </c>
      <c r="BF226" s="25">
        <v>0.9</v>
      </c>
    </row>
    <row r="227" spans="1:58">
      <c r="A227" s="19">
        <v>42339</v>
      </c>
      <c r="B227" s="20">
        <v>30.799999618530276</v>
      </c>
      <c r="C227" s="432">
        <v>32.749999618530275</v>
      </c>
      <c r="D227" s="20">
        <v>35.199999618530278</v>
      </c>
      <c r="E227" s="13"/>
      <c r="F227" s="21">
        <v>15.740000228881835</v>
      </c>
      <c r="G227" s="21">
        <v>16.715000228881834</v>
      </c>
      <c r="H227" s="21">
        <v>17.690000228881836</v>
      </c>
      <c r="I227" s="6"/>
      <c r="J227" s="7">
        <v>43221</v>
      </c>
      <c r="K227" s="22">
        <v>20.772500076293959</v>
      </c>
      <c r="L227" s="22">
        <v>22.632500076293958</v>
      </c>
      <c r="M227" s="22">
        <v>24.492500076293958</v>
      </c>
      <c r="O227" s="22">
        <v>17.464999771118176</v>
      </c>
      <c r="P227" s="22">
        <v>21.764999771118177</v>
      </c>
      <c r="Q227" s="22">
        <v>26.064999771118178</v>
      </c>
      <c r="S227" s="22">
        <v>0</v>
      </c>
      <c r="T227" s="22">
        <v>0</v>
      </c>
      <c r="U227" s="22">
        <v>0</v>
      </c>
      <c r="W227" s="22">
        <v>4.4140738696124143E-2</v>
      </c>
      <c r="X227" s="42">
        <v>8.8281477392248286E-2</v>
      </c>
      <c r="Y227" s="22">
        <v>0.13242221608837243</v>
      </c>
      <c r="AA227" s="22">
        <v>2.5000000000000001E-3</v>
      </c>
      <c r="AB227" s="22">
        <v>5.0000000000000001E-3</v>
      </c>
      <c r="AC227" s="22">
        <v>7.4999999999999997E-3</v>
      </c>
      <c r="AE227" s="22">
        <v>-0.25</v>
      </c>
      <c r="AF227" s="42">
        <v>2</v>
      </c>
      <c r="AG227" s="22">
        <v>0.25</v>
      </c>
      <c r="AI227" s="22">
        <v>-0.1</v>
      </c>
      <c r="AJ227" s="22">
        <v>0.3</v>
      </c>
      <c r="AK227" s="22">
        <v>0.1</v>
      </c>
      <c r="AM227" s="6">
        <v>74</v>
      </c>
      <c r="AN227" s="23">
        <v>0.4</v>
      </c>
      <c r="BE227" s="7">
        <v>43221</v>
      </c>
      <c r="BF227" s="25">
        <v>0.9</v>
      </c>
    </row>
    <row r="228" spans="1:58">
      <c r="A228" s="19">
        <v>42370</v>
      </c>
      <c r="B228" s="20">
        <v>39.224998474121087</v>
      </c>
      <c r="C228" s="432">
        <v>41.324998474121088</v>
      </c>
      <c r="D228" s="20">
        <v>43.924998474121089</v>
      </c>
      <c r="E228" s="13"/>
      <c r="F228" s="21">
        <v>19.964997558593748</v>
      </c>
      <c r="G228" s="21">
        <v>21.014997558593748</v>
      </c>
      <c r="H228" s="21">
        <v>22.064997558593749</v>
      </c>
      <c r="I228" s="6"/>
      <c r="J228" s="7">
        <v>43252</v>
      </c>
      <c r="K228" s="22">
        <v>21.876250152587904</v>
      </c>
      <c r="L228" s="22">
        <v>27.208750152587903</v>
      </c>
      <c r="M228" s="22">
        <v>32.541250152587907</v>
      </c>
      <c r="O228" s="22">
        <v>16.39249954223634</v>
      </c>
      <c r="P228" s="22">
        <v>20.692499542236341</v>
      </c>
      <c r="Q228" s="22">
        <v>24.992499542236342</v>
      </c>
      <c r="S228" s="22">
        <v>0</v>
      </c>
      <c r="T228" s="22">
        <v>0</v>
      </c>
      <c r="U228" s="22">
        <v>0</v>
      </c>
      <c r="W228" s="22">
        <v>5.6752378323588204E-2</v>
      </c>
      <c r="X228" s="42">
        <v>0.11350475664717641</v>
      </c>
      <c r="Y228" s="22">
        <v>0.17025713497076461</v>
      </c>
      <c r="AA228" s="22">
        <v>2.5000000000000001E-3</v>
      </c>
      <c r="AB228" s="22">
        <v>5.0000000000000001E-3</v>
      </c>
      <c r="AC228" s="22">
        <v>7.4999999999999997E-3</v>
      </c>
      <c r="AE228" s="22">
        <v>-0.25</v>
      </c>
      <c r="AF228" s="42">
        <v>2.25</v>
      </c>
      <c r="AG228" s="22">
        <v>0.25</v>
      </c>
      <c r="AI228" s="22">
        <v>-0.1</v>
      </c>
      <c r="AJ228" s="22">
        <v>0.3</v>
      </c>
      <c r="AK228" s="22">
        <v>0.1</v>
      </c>
      <c r="AM228" s="6">
        <v>74</v>
      </c>
      <c r="AN228" s="23">
        <v>0.4</v>
      </c>
      <c r="BE228" s="7">
        <v>43252</v>
      </c>
      <c r="BF228" s="25">
        <v>0.9</v>
      </c>
    </row>
    <row r="229" spans="1:58">
      <c r="A229" s="19">
        <v>42401</v>
      </c>
      <c r="B229" s="20">
        <v>39.224998474121087</v>
      </c>
      <c r="C229" s="432">
        <v>41.324998474121088</v>
      </c>
      <c r="D229" s="20">
        <v>43.924998474121089</v>
      </c>
      <c r="E229" s="13"/>
      <c r="F229" s="21">
        <v>20.114997177124021</v>
      </c>
      <c r="G229" s="21">
        <v>21.164997177124022</v>
      </c>
      <c r="H229" s="21">
        <v>22.214997177124022</v>
      </c>
      <c r="I229" s="6"/>
      <c r="J229" s="7">
        <v>43282</v>
      </c>
      <c r="K229" s="22">
        <v>37.911249542236341</v>
      </c>
      <c r="L229" s="22">
        <v>41.661249542236341</v>
      </c>
      <c r="M229" s="22">
        <v>45.411249542236341</v>
      </c>
      <c r="O229" s="22">
        <v>26.847499465942395</v>
      </c>
      <c r="P229" s="22">
        <v>31.147499465942396</v>
      </c>
      <c r="Q229" s="22">
        <v>35.447499465942393</v>
      </c>
      <c r="S229" s="22">
        <v>0</v>
      </c>
      <c r="T229" s="22">
        <v>0</v>
      </c>
      <c r="U229" s="22">
        <v>0</v>
      </c>
      <c r="W229" s="22">
        <v>6.9364017951052209E-2</v>
      </c>
      <c r="X229" s="42">
        <v>0.13872803590210442</v>
      </c>
      <c r="Y229" s="22">
        <v>0.20809205385315663</v>
      </c>
      <c r="AA229" s="22">
        <v>2.5000000000000001E-3</v>
      </c>
      <c r="AB229" s="22">
        <v>5.0000000000000001E-3</v>
      </c>
      <c r="AC229" s="22">
        <v>7.4999999999999997E-3</v>
      </c>
      <c r="AE229" s="22">
        <v>-0.25</v>
      </c>
      <c r="AF229" s="42">
        <v>3</v>
      </c>
      <c r="AG229" s="22">
        <v>0.25</v>
      </c>
      <c r="AI229" s="22">
        <v>-0.1</v>
      </c>
      <c r="AJ229" s="22">
        <v>0.3</v>
      </c>
      <c r="AK229" s="22">
        <v>0.1</v>
      </c>
      <c r="AM229" s="6">
        <v>74</v>
      </c>
      <c r="AN229" s="23">
        <v>0.4</v>
      </c>
      <c r="BE229" s="7">
        <v>43282</v>
      </c>
      <c r="BF229" s="25">
        <v>0.9</v>
      </c>
    </row>
    <row r="230" spans="1:58">
      <c r="A230" s="19">
        <v>42430</v>
      </c>
      <c r="B230" s="20">
        <v>29.900000762939456</v>
      </c>
      <c r="C230" s="432">
        <v>31.050000762939455</v>
      </c>
      <c r="D230" s="20">
        <v>32.700000762939453</v>
      </c>
      <c r="E230" s="13"/>
      <c r="F230" s="21">
        <v>17.839999084472655</v>
      </c>
      <c r="G230" s="21">
        <v>18.414999084472655</v>
      </c>
      <c r="H230" s="21">
        <v>18.989999084472654</v>
      </c>
      <c r="I230" s="6"/>
      <c r="J230" s="7">
        <v>43313</v>
      </c>
      <c r="K230" s="22">
        <v>40.172499084472669</v>
      </c>
      <c r="L230" s="22">
        <v>43.922499084472669</v>
      </c>
      <c r="M230" s="22">
        <v>47.672499084472669</v>
      </c>
      <c r="O230" s="22">
        <v>28.345000839233411</v>
      </c>
      <c r="P230" s="22">
        <v>32.645000839233411</v>
      </c>
      <c r="Q230" s="22">
        <v>36.945000839233408</v>
      </c>
      <c r="S230" s="22">
        <v>0</v>
      </c>
      <c r="T230" s="22">
        <v>0</v>
      </c>
      <c r="U230" s="22">
        <v>0</v>
      </c>
      <c r="W230" s="22">
        <v>6.9364017951052209E-2</v>
      </c>
      <c r="X230" s="43">
        <v>0.13872803590210442</v>
      </c>
      <c r="Y230" s="22">
        <v>0.20809205385315663</v>
      </c>
      <c r="AA230" s="22">
        <v>2.5000000000000001E-3</v>
      </c>
      <c r="AB230" s="22">
        <v>5.0000000000000001E-3</v>
      </c>
      <c r="AC230" s="22">
        <v>7.4999999999999997E-3</v>
      </c>
      <c r="AE230" s="22">
        <v>-0.25</v>
      </c>
      <c r="AF230" s="43">
        <v>3</v>
      </c>
      <c r="AG230" s="22">
        <v>0.25</v>
      </c>
      <c r="AI230" s="22">
        <v>-0.1</v>
      </c>
      <c r="AJ230" s="22">
        <v>0.3</v>
      </c>
      <c r="AK230" s="22">
        <v>0.1</v>
      </c>
      <c r="AM230" s="6">
        <v>74</v>
      </c>
      <c r="AN230" s="23">
        <v>0.4</v>
      </c>
      <c r="BE230" s="7">
        <v>43313</v>
      </c>
      <c r="BF230" s="25">
        <v>0.9</v>
      </c>
    </row>
    <row r="231" spans="1:58">
      <c r="A231" s="19">
        <v>42461</v>
      </c>
      <c r="B231" s="20">
        <v>29.825000762939453</v>
      </c>
      <c r="C231" s="432">
        <v>30.825000762939453</v>
      </c>
      <c r="D231" s="20">
        <v>32.325000762939453</v>
      </c>
      <c r="E231" s="13"/>
      <c r="F231" s="21">
        <v>18.164999084472655</v>
      </c>
      <c r="G231" s="21">
        <v>18.664999084472655</v>
      </c>
      <c r="H231" s="21">
        <v>19.164999084472655</v>
      </c>
      <c r="I231" s="6"/>
    </row>
    <row r="232" spans="1:58">
      <c r="A232" s="19">
        <v>42491</v>
      </c>
      <c r="B232" s="20">
        <v>36.344999999999999</v>
      </c>
      <c r="C232" s="432">
        <v>38.825000000000003</v>
      </c>
      <c r="D232" s="20">
        <v>41.805</v>
      </c>
      <c r="E232" s="13"/>
      <c r="F232" s="21">
        <v>16.874999847412109</v>
      </c>
      <c r="G232" s="21">
        <v>18.114999847412108</v>
      </c>
      <c r="H232" s="21">
        <v>19.354999847412106</v>
      </c>
      <c r="I232" s="6"/>
    </row>
    <row r="233" spans="1:58">
      <c r="A233" s="19">
        <v>42522</v>
      </c>
      <c r="B233" s="20">
        <v>59.739998474121094</v>
      </c>
      <c r="C233" s="432">
        <v>66.849998474121094</v>
      </c>
      <c r="D233" s="20">
        <v>74.459998474121093</v>
      </c>
      <c r="E233" s="13"/>
      <c r="F233" s="21">
        <v>14.620001220703124</v>
      </c>
      <c r="G233" s="21">
        <v>18.175001220703123</v>
      </c>
      <c r="H233" s="21">
        <v>21.730001220703123</v>
      </c>
      <c r="I233" s="6"/>
    </row>
    <row r="234" spans="1:58">
      <c r="A234" s="19">
        <v>42552</v>
      </c>
      <c r="B234" s="20">
        <v>115.44999694824219</v>
      </c>
      <c r="C234" s="432">
        <v>120.44999694824219</v>
      </c>
      <c r="D234" s="20">
        <v>125.94999694824219</v>
      </c>
      <c r="E234" s="13"/>
      <c r="F234" s="21">
        <v>15.364999847412108</v>
      </c>
      <c r="G234" s="21">
        <v>17.864999847412108</v>
      </c>
      <c r="H234" s="21">
        <v>20.364999847412108</v>
      </c>
      <c r="I234" s="6"/>
    </row>
    <row r="235" spans="1:58">
      <c r="A235" s="19">
        <v>42583</v>
      </c>
      <c r="B235" s="20">
        <v>102.44999694824219</v>
      </c>
      <c r="C235" s="432">
        <v>107.44999694824219</v>
      </c>
      <c r="D235" s="20">
        <v>112.94999694824219</v>
      </c>
      <c r="E235" s="13"/>
      <c r="F235" s="21">
        <v>15.414999084472655</v>
      </c>
      <c r="G235" s="21">
        <v>17.914999084472655</v>
      </c>
      <c r="H235" s="21">
        <v>20.414999084472655</v>
      </c>
      <c r="I235" s="6"/>
    </row>
    <row r="236" spans="1:58">
      <c r="A236" s="19">
        <v>42614</v>
      </c>
      <c r="B236" s="20">
        <v>37.224998474121094</v>
      </c>
      <c r="C236" s="432">
        <v>39.424998474121097</v>
      </c>
      <c r="D236" s="20">
        <v>42.124998474121099</v>
      </c>
      <c r="E236" s="13"/>
      <c r="F236" s="21">
        <v>16.814999084472653</v>
      </c>
      <c r="G236" s="21">
        <v>17.914999084472655</v>
      </c>
      <c r="H236" s="21">
        <v>19.014999084472656</v>
      </c>
      <c r="I236" s="6"/>
    </row>
    <row r="237" spans="1:58">
      <c r="A237" s="19">
        <v>42644</v>
      </c>
      <c r="B237" s="20">
        <v>29.525000381469727</v>
      </c>
      <c r="C237" s="432">
        <v>31.575000381469728</v>
      </c>
      <c r="D237" s="20">
        <v>34.125000381469732</v>
      </c>
      <c r="E237" s="13"/>
      <c r="F237" s="21">
        <v>16.589999847412109</v>
      </c>
      <c r="G237" s="21">
        <v>17.614999847412108</v>
      </c>
      <c r="H237" s="21">
        <v>18.639999847412106</v>
      </c>
      <c r="I237" s="6"/>
    </row>
    <row r="238" spans="1:58">
      <c r="A238" s="19">
        <v>42675</v>
      </c>
      <c r="B238" s="20">
        <v>29.197499084472657</v>
      </c>
      <c r="C238" s="432">
        <v>31.247499084472658</v>
      </c>
      <c r="D238" s="20">
        <v>33.797499084472662</v>
      </c>
      <c r="E238" s="13"/>
      <c r="F238" s="21">
        <v>14.839999847412109</v>
      </c>
      <c r="G238" s="21">
        <v>15.864999847412109</v>
      </c>
      <c r="H238" s="21">
        <v>16.88999984741211</v>
      </c>
      <c r="I238" s="6"/>
    </row>
    <row r="239" spans="1:58">
      <c r="A239" s="19">
        <v>42705</v>
      </c>
      <c r="B239" s="20">
        <v>30.949999618530274</v>
      </c>
      <c r="C239" s="432">
        <v>32.999999618530275</v>
      </c>
      <c r="D239" s="20">
        <v>35.549999618530279</v>
      </c>
      <c r="E239" s="13"/>
      <c r="F239" s="21">
        <v>15.690000228881834</v>
      </c>
      <c r="G239" s="21">
        <v>16.715000228881834</v>
      </c>
      <c r="H239" s="21">
        <v>17.740000228881833</v>
      </c>
      <c r="I239" s="6"/>
    </row>
    <row r="240" spans="1:58">
      <c r="A240" s="19">
        <v>42736</v>
      </c>
      <c r="B240" s="20">
        <v>39.374998474121085</v>
      </c>
      <c r="C240" s="432">
        <v>41.574998474121088</v>
      </c>
      <c r="D240" s="20">
        <v>44.274998474121091</v>
      </c>
      <c r="E240" s="13"/>
      <c r="F240" s="21">
        <v>19.914997558593747</v>
      </c>
      <c r="G240" s="21">
        <v>21.014997558593748</v>
      </c>
      <c r="H240" s="21">
        <v>22.11499755859375</v>
      </c>
      <c r="I240" s="6"/>
    </row>
    <row r="241" spans="1:9">
      <c r="A241" s="19">
        <v>42767</v>
      </c>
      <c r="B241" s="20">
        <v>39.374998474121085</v>
      </c>
      <c r="C241" s="432">
        <v>41.574998474121088</v>
      </c>
      <c r="D241" s="20">
        <v>44.274998474121091</v>
      </c>
      <c r="E241" s="13"/>
      <c r="F241" s="21">
        <v>20.06499717712402</v>
      </c>
      <c r="G241" s="21">
        <v>21.164997177124022</v>
      </c>
      <c r="H241" s="21">
        <v>22.264997177124023</v>
      </c>
      <c r="I241" s="6"/>
    </row>
    <row r="242" spans="1:9">
      <c r="A242" s="19">
        <v>42795</v>
      </c>
      <c r="B242" s="20">
        <v>30.100000762939455</v>
      </c>
      <c r="C242" s="432">
        <v>31.300000762939455</v>
      </c>
      <c r="D242" s="20">
        <v>33.000000762939457</v>
      </c>
      <c r="E242" s="13"/>
      <c r="F242" s="21">
        <v>17.814999084472653</v>
      </c>
      <c r="G242" s="21">
        <v>18.414999084472655</v>
      </c>
      <c r="H242" s="21">
        <v>19.014999084472656</v>
      </c>
      <c r="I242" s="6"/>
    </row>
    <row r="243" spans="1:9">
      <c r="A243" s="19">
        <v>42826</v>
      </c>
      <c r="B243" s="20">
        <v>30.025000762939452</v>
      </c>
      <c r="C243" s="432">
        <v>31.075000762939453</v>
      </c>
      <c r="D243" s="20">
        <v>32.62500076293945</v>
      </c>
      <c r="E243" s="13"/>
      <c r="F243" s="21">
        <v>18.139999084472656</v>
      </c>
      <c r="G243" s="21">
        <v>18.664999084472655</v>
      </c>
      <c r="H243" s="21">
        <v>19.189999084472653</v>
      </c>
      <c r="I243" s="6"/>
    </row>
    <row r="244" spans="1:9">
      <c r="A244" s="19">
        <v>42856</v>
      </c>
      <c r="B244" s="20">
        <v>36.594999999999999</v>
      </c>
      <c r="C244" s="432">
        <v>39.075000000000003</v>
      </c>
      <c r="D244" s="20">
        <v>42.055</v>
      </c>
      <c r="E244" s="13"/>
      <c r="F244" s="21">
        <v>16.874999847412109</v>
      </c>
      <c r="G244" s="21">
        <v>18.114999847412108</v>
      </c>
      <c r="H244" s="21">
        <v>19.354999847412106</v>
      </c>
      <c r="I244" s="6"/>
    </row>
    <row r="245" spans="1:9">
      <c r="A245" s="19">
        <v>42887</v>
      </c>
      <c r="B245" s="20">
        <v>60.489998474121094</v>
      </c>
      <c r="C245" s="432">
        <v>67.599998474121094</v>
      </c>
      <c r="D245" s="20">
        <v>75.209998474121093</v>
      </c>
      <c r="E245" s="13"/>
      <c r="F245" s="21">
        <v>14.620001220703124</v>
      </c>
      <c r="G245" s="21">
        <v>18.175001220703123</v>
      </c>
      <c r="H245" s="21">
        <v>21.730001220703123</v>
      </c>
      <c r="I245" s="6"/>
    </row>
    <row r="246" spans="1:9">
      <c r="A246" s="19">
        <v>42917</v>
      </c>
      <c r="B246" s="20">
        <v>117.69999694824219</v>
      </c>
      <c r="C246" s="432">
        <v>122.69999694824219</v>
      </c>
      <c r="D246" s="20">
        <v>128.19999694824219</v>
      </c>
      <c r="E246" s="29"/>
      <c r="F246" s="21">
        <v>15.364999847412108</v>
      </c>
      <c r="G246" s="21">
        <v>17.864999847412108</v>
      </c>
      <c r="H246" s="21">
        <v>20.364999847412108</v>
      </c>
      <c r="I246" s="6"/>
    </row>
    <row r="247" spans="1:9">
      <c r="A247" s="19">
        <v>42948</v>
      </c>
      <c r="B247" s="20">
        <v>104.69999694824219</v>
      </c>
      <c r="C247" s="432">
        <v>109.69999694824219</v>
      </c>
      <c r="D247" s="20">
        <v>115.19999694824219</v>
      </c>
      <c r="E247" s="29"/>
      <c r="F247" s="21">
        <v>15.414999084472655</v>
      </c>
      <c r="G247" s="21">
        <v>17.914999084472655</v>
      </c>
      <c r="H247" s="21">
        <v>20.414999084472655</v>
      </c>
      <c r="I247" s="6"/>
    </row>
    <row r="248" spans="1:9">
      <c r="A248" s="19">
        <v>42979</v>
      </c>
      <c r="B248" s="20">
        <v>37.624998474121099</v>
      </c>
      <c r="C248" s="432">
        <v>39.924998474121097</v>
      </c>
      <c r="D248" s="20">
        <v>42.724998474121094</v>
      </c>
      <c r="E248" s="29"/>
      <c r="F248" s="21">
        <v>16.764999084472656</v>
      </c>
      <c r="G248" s="21">
        <v>17.914999084472655</v>
      </c>
      <c r="H248" s="21">
        <v>19.064999084472653</v>
      </c>
      <c r="I248" s="6"/>
    </row>
    <row r="249" spans="1:9">
      <c r="A249" s="19">
        <v>43009</v>
      </c>
      <c r="B249" s="20">
        <v>29.675000381469726</v>
      </c>
      <c r="C249" s="432">
        <v>31.825000381469728</v>
      </c>
      <c r="D249" s="20">
        <v>34.475000381469727</v>
      </c>
      <c r="E249" s="29"/>
      <c r="F249" s="21">
        <v>16.539999847412108</v>
      </c>
      <c r="G249" s="21">
        <v>17.614999847412108</v>
      </c>
      <c r="H249" s="21">
        <v>18.689999847412107</v>
      </c>
      <c r="I249" s="6"/>
    </row>
    <row r="250" spans="1:9">
      <c r="A250" s="19">
        <v>43040</v>
      </c>
      <c r="B250" s="20">
        <v>29.347499084472656</v>
      </c>
      <c r="C250" s="432">
        <v>31.497499084472658</v>
      </c>
      <c r="D250" s="20">
        <v>34.147499084472656</v>
      </c>
      <c r="E250" s="29"/>
      <c r="F250" s="21">
        <v>14.789999847412108</v>
      </c>
      <c r="G250" s="21">
        <v>15.864999847412109</v>
      </c>
      <c r="H250" s="21">
        <v>16.939999847412111</v>
      </c>
      <c r="I250" s="6"/>
    </row>
    <row r="251" spans="1:9">
      <c r="A251" s="19">
        <v>43070</v>
      </c>
      <c r="B251" s="20">
        <v>31.099999618530273</v>
      </c>
      <c r="C251" s="432">
        <v>33.249999618530275</v>
      </c>
      <c r="D251" s="20">
        <v>35.899999618530273</v>
      </c>
      <c r="E251" s="29"/>
      <c r="F251" s="21">
        <v>15.640000228881833</v>
      </c>
      <c r="G251" s="21">
        <v>16.715000228881834</v>
      </c>
      <c r="H251" s="21">
        <v>17.790000228881834</v>
      </c>
      <c r="I251" s="6"/>
    </row>
    <row r="252" spans="1:9">
      <c r="A252" s="19">
        <v>43101</v>
      </c>
      <c r="B252" s="20">
        <v>39.624998474121085</v>
      </c>
      <c r="C252" s="432">
        <v>41.824998474121088</v>
      </c>
      <c r="D252" s="20">
        <v>44.524998474121091</v>
      </c>
      <c r="E252" s="29"/>
      <c r="F252" s="21">
        <v>19.914997558593747</v>
      </c>
      <c r="G252" s="21">
        <v>21.014997558593748</v>
      </c>
      <c r="H252" s="21">
        <v>22.11499755859375</v>
      </c>
      <c r="I252" s="6"/>
    </row>
    <row r="253" spans="1:9">
      <c r="A253" s="19">
        <v>43132</v>
      </c>
      <c r="B253" s="20">
        <v>39.624998474121085</v>
      </c>
      <c r="C253" s="432">
        <v>41.824998474121088</v>
      </c>
      <c r="D253" s="20">
        <v>44.524998474121091</v>
      </c>
      <c r="E253" s="29"/>
      <c r="F253" s="21">
        <v>20.06499717712402</v>
      </c>
      <c r="G253" s="21">
        <v>21.164997177124022</v>
      </c>
      <c r="H253" s="21">
        <v>22.264997177124023</v>
      </c>
      <c r="I253" s="6"/>
    </row>
    <row r="254" spans="1:9">
      <c r="A254" s="19">
        <v>43160</v>
      </c>
      <c r="B254" s="20">
        <v>30.350000762939455</v>
      </c>
      <c r="C254" s="432">
        <v>31.550000762939455</v>
      </c>
      <c r="D254" s="20">
        <v>33.250000762939457</v>
      </c>
      <c r="E254" s="29"/>
      <c r="F254" s="21">
        <v>17.814999084472653</v>
      </c>
      <c r="G254" s="21">
        <v>18.414999084472655</v>
      </c>
      <c r="H254" s="21">
        <v>19.014999084472656</v>
      </c>
      <c r="I254" s="6"/>
    </row>
    <row r="255" spans="1:9">
      <c r="A255" s="19">
        <v>43191</v>
      </c>
      <c r="B255" s="20">
        <v>30.275000762939452</v>
      </c>
      <c r="C255" s="432">
        <v>31.325000762939453</v>
      </c>
      <c r="D255" s="20">
        <v>32.87500076293945</v>
      </c>
      <c r="E255" s="29"/>
      <c r="F255" s="21">
        <v>18.139999084472656</v>
      </c>
      <c r="G255" s="21">
        <v>18.664999084472655</v>
      </c>
      <c r="H255" s="21">
        <v>19.189999084472653</v>
      </c>
      <c r="I255" s="6"/>
    </row>
    <row r="256" spans="1:9">
      <c r="A256" s="19">
        <v>43221</v>
      </c>
      <c r="B256" s="20">
        <v>36.844999999999999</v>
      </c>
      <c r="C256" s="432">
        <v>39.325000000000003</v>
      </c>
      <c r="D256" s="20">
        <v>42.305</v>
      </c>
      <c r="E256" s="29"/>
      <c r="F256" s="21">
        <v>16.874999847412109</v>
      </c>
      <c r="G256" s="21">
        <v>18.114999847412108</v>
      </c>
      <c r="H256" s="21">
        <v>19.354999847412106</v>
      </c>
      <c r="I256" s="6"/>
    </row>
    <row r="257" spans="1:9">
      <c r="A257" s="19">
        <v>43252</v>
      </c>
      <c r="B257" s="20">
        <v>61.239998474121094</v>
      </c>
      <c r="C257" s="432">
        <v>68.349998474121094</v>
      </c>
      <c r="D257" s="20">
        <v>75.959998474121093</v>
      </c>
      <c r="E257" s="29"/>
      <c r="F257" s="21">
        <v>14.620001220703124</v>
      </c>
      <c r="G257" s="21">
        <v>18.175001220703123</v>
      </c>
      <c r="H257" s="21">
        <v>21.730001220703123</v>
      </c>
      <c r="I257" s="6"/>
    </row>
    <row r="258" spans="1:9">
      <c r="A258" s="19">
        <v>43282</v>
      </c>
      <c r="B258" s="20">
        <v>119.94999694824219</v>
      </c>
      <c r="C258" s="432">
        <v>124.94999694824219</v>
      </c>
      <c r="D258" s="20">
        <v>130.44999694824219</v>
      </c>
      <c r="E258" s="29"/>
      <c r="F258" s="21">
        <v>15.364999847412108</v>
      </c>
      <c r="G258" s="21">
        <v>17.864999847412108</v>
      </c>
      <c r="H258" s="21">
        <v>20.364999847412108</v>
      </c>
      <c r="I258" s="6"/>
    </row>
    <row r="259" spans="1:9">
      <c r="A259" s="19">
        <v>43313</v>
      </c>
      <c r="B259" s="20">
        <v>106.94999694824219</v>
      </c>
      <c r="C259" s="432">
        <v>111.94999694824219</v>
      </c>
      <c r="D259" s="20">
        <v>117.44999694824219</v>
      </c>
      <c r="E259" s="29"/>
      <c r="F259" s="21">
        <v>15.414999084472655</v>
      </c>
      <c r="G259" s="21">
        <v>17.914999084472655</v>
      </c>
      <c r="H259" s="21">
        <v>20.414999084472655</v>
      </c>
      <c r="I259" s="6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1187"/>
  <sheetViews>
    <sheetView workbookViewId="0">
      <selection activeCell="A18" sqref="A18"/>
    </sheetView>
  </sheetViews>
  <sheetFormatPr defaultColWidth="9.109375" defaultRowHeight="13.8"/>
  <cols>
    <col min="1" max="1" width="0.88671875" style="78" customWidth="1"/>
    <col min="2" max="3" width="9.109375" style="78"/>
    <col min="4" max="4" width="10.109375" style="78" bestFit="1" customWidth="1"/>
    <col min="5" max="38" width="9.109375" style="78"/>
    <col min="39" max="39" width="2.44140625" style="78" bestFit="1" customWidth="1"/>
    <col min="40" max="41" width="10.6640625" style="78" customWidth="1"/>
    <col min="42" max="16384" width="9.109375" style="78"/>
  </cols>
  <sheetData>
    <row r="1" spans="3:65">
      <c r="AZ1" s="260"/>
      <c r="BA1" s="261" t="s">
        <v>28</v>
      </c>
      <c r="BB1" s="262" t="s">
        <v>29</v>
      </c>
      <c r="BC1" s="80"/>
      <c r="BD1" s="80"/>
      <c r="BE1" s="80"/>
      <c r="BF1" s="80"/>
      <c r="BG1" s="80"/>
      <c r="BH1" s="80"/>
      <c r="BI1" s="80"/>
      <c r="BJ1" s="80"/>
      <c r="BK1" s="80"/>
      <c r="BL1" s="80"/>
    </row>
    <row r="2" spans="3:65" ht="14.4" thickBot="1">
      <c r="C2" s="285"/>
      <c r="D2" s="285">
        <v>3</v>
      </c>
      <c r="E2" s="285">
        <f>D2+1</f>
        <v>4</v>
      </c>
      <c r="F2" s="285">
        <f t="shared" ref="F2:AA2" si="0">E2+1</f>
        <v>5</v>
      </c>
      <c r="G2" s="285">
        <f t="shared" si="0"/>
        <v>6</v>
      </c>
      <c r="H2" s="285">
        <f t="shared" si="0"/>
        <v>7</v>
      </c>
      <c r="I2" s="285">
        <f t="shared" si="0"/>
        <v>8</v>
      </c>
      <c r="J2" s="285">
        <f t="shared" si="0"/>
        <v>9</v>
      </c>
      <c r="K2" s="285">
        <f t="shared" si="0"/>
        <v>10</v>
      </c>
      <c r="L2" s="285">
        <f t="shared" si="0"/>
        <v>11</v>
      </c>
      <c r="M2" s="285">
        <f t="shared" si="0"/>
        <v>12</v>
      </c>
      <c r="N2" s="285">
        <f t="shared" si="0"/>
        <v>13</v>
      </c>
      <c r="O2" s="285">
        <f t="shared" si="0"/>
        <v>14</v>
      </c>
      <c r="P2" s="285">
        <f t="shared" si="0"/>
        <v>15</v>
      </c>
      <c r="Q2" s="285">
        <f t="shared" si="0"/>
        <v>16</v>
      </c>
      <c r="R2" s="285">
        <f t="shared" si="0"/>
        <v>17</v>
      </c>
      <c r="S2" s="285">
        <f t="shared" si="0"/>
        <v>18</v>
      </c>
      <c r="T2" s="285">
        <f t="shared" si="0"/>
        <v>19</v>
      </c>
      <c r="U2" s="285">
        <f t="shared" si="0"/>
        <v>20</v>
      </c>
      <c r="V2" s="285">
        <f t="shared" si="0"/>
        <v>21</v>
      </c>
      <c r="W2" s="285">
        <f t="shared" si="0"/>
        <v>22</v>
      </c>
      <c r="X2" s="285">
        <f t="shared" si="0"/>
        <v>23</v>
      </c>
      <c r="Y2" s="285">
        <f t="shared" si="0"/>
        <v>24</v>
      </c>
      <c r="Z2" s="285">
        <f t="shared" si="0"/>
        <v>25</v>
      </c>
      <c r="AA2" s="285">
        <f t="shared" si="0"/>
        <v>26</v>
      </c>
      <c r="AB2" s="78">
        <v>27</v>
      </c>
      <c r="AZ2" s="263" t="s">
        <v>18</v>
      </c>
      <c r="BA2" s="264">
        <v>800</v>
      </c>
      <c r="BB2" s="265">
        <v>2300</v>
      </c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3:65" ht="18" thickBot="1">
      <c r="C3" s="748" t="s">
        <v>207</v>
      </c>
      <c r="D3" s="749"/>
      <c r="E3" s="749"/>
      <c r="F3" s="749"/>
      <c r="G3" s="749"/>
      <c r="H3" s="749"/>
      <c r="I3" s="749"/>
      <c r="J3" s="749"/>
      <c r="K3" s="749"/>
      <c r="L3" s="749"/>
      <c r="M3" s="749"/>
      <c r="N3" s="749"/>
      <c r="O3" s="749"/>
      <c r="P3" s="749"/>
      <c r="Q3" s="749"/>
      <c r="R3" s="749"/>
      <c r="S3" s="749"/>
      <c r="T3" s="749"/>
      <c r="U3" s="749"/>
      <c r="V3" s="749"/>
      <c r="W3" s="749"/>
      <c r="X3" s="749"/>
      <c r="Y3" s="749"/>
      <c r="Z3" s="749"/>
      <c r="AA3" s="750"/>
      <c r="AZ3" s="266" t="s">
        <v>33</v>
      </c>
      <c r="BA3" s="267"/>
      <c r="BB3" s="267"/>
      <c r="BC3" s="267"/>
      <c r="BD3" s="267"/>
      <c r="BE3" s="268"/>
      <c r="BF3" s="268"/>
      <c r="BG3" s="267"/>
      <c r="BH3" s="267"/>
      <c r="BI3" s="267"/>
      <c r="BJ3" s="267"/>
      <c r="BK3" s="267"/>
      <c r="BL3" s="269"/>
    </row>
    <row r="4" spans="3:65" ht="14.4" thickBot="1">
      <c r="C4" s="300" t="s">
        <v>181</v>
      </c>
      <c r="D4" s="305">
        <v>100</v>
      </c>
      <c r="E4" s="305">
        <v>200</v>
      </c>
      <c r="F4" s="305">
        <v>300</v>
      </c>
      <c r="G4" s="305">
        <v>400</v>
      </c>
      <c r="H4" s="305">
        <v>500</v>
      </c>
      <c r="I4" s="305">
        <v>600</v>
      </c>
      <c r="J4" s="305">
        <v>700</v>
      </c>
      <c r="K4" s="305">
        <v>800</v>
      </c>
      <c r="L4" s="305">
        <v>900</v>
      </c>
      <c r="M4" s="305">
        <v>1000</v>
      </c>
      <c r="N4" s="305" t="s">
        <v>182</v>
      </c>
      <c r="O4" s="305" t="s">
        <v>183</v>
      </c>
      <c r="P4" s="305" t="s">
        <v>184</v>
      </c>
      <c r="Q4" s="305" t="s">
        <v>185</v>
      </c>
      <c r="R4" s="305" t="s">
        <v>186</v>
      </c>
      <c r="S4" s="305" t="s">
        <v>187</v>
      </c>
      <c r="T4" s="305" t="s">
        <v>188</v>
      </c>
      <c r="U4" s="305" t="s">
        <v>189</v>
      </c>
      <c r="V4" s="305" t="s">
        <v>190</v>
      </c>
      <c r="W4" s="305" t="s">
        <v>191</v>
      </c>
      <c r="X4" s="305" t="s">
        <v>192</v>
      </c>
      <c r="Y4" s="305" t="s">
        <v>193</v>
      </c>
      <c r="Z4" s="305" t="s">
        <v>194</v>
      </c>
      <c r="AA4" s="306" t="s">
        <v>195</v>
      </c>
      <c r="AB4" s="78" t="s">
        <v>3</v>
      </c>
      <c r="AZ4" s="270" t="s">
        <v>32</v>
      </c>
      <c r="BA4" s="271">
        <v>1</v>
      </c>
      <c r="BB4" s="271">
        <v>2</v>
      </c>
      <c r="BC4" s="271">
        <v>3</v>
      </c>
      <c r="BD4" s="271">
        <v>4</v>
      </c>
      <c r="BE4" s="271">
        <v>5</v>
      </c>
      <c r="BF4" s="271">
        <v>6</v>
      </c>
      <c r="BG4" s="271">
        <v>7</v>
      </c>
      <c r="BH4" s="271">
        <v>8</v>
      </c>
      <c r="BI4" s="271">
        <v>9</v>
      </c>
      <c r="BJ4" s="271">
        <v>10</v>
      </c>
      <c r="BK4" s="271">
        <v>11</v>
      </c>
      <c r="BL4" s="272">
        <v>12</v>
      </c>
    </row>
    <row r="5" spans="3:65">
      <c r="C5" s="301" t="s">
        <v>32</v>
      </c>
      <c r="D5" s="284"/>
      <c r="E5" s="284"/>
      <c r="F5" s="284"/>
      <c r="G5" s="284"/>
      <c r="H5" s="284"/>
      <c r="I5" s="284"/>
      <c r="J5" s="284"/>
      <c r="K5" s="284"/>
      <c r="L5" s="284"/>
      <c r="M5" s="284"/>
      <c r="N5" s="284"/>
      <c r="O5" s="284"/>
      <c r="P5" s="284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6"/>
      <c r="AZ5" s="273" t="s">
        <v>46</v>
      </c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309" t="s">
        <v>196</v>
      </c>
    </row>
    <row r="6" spans="3:65">
      <c r="C6" s="302">
        <v>1</v>
      </c>
      <c r="D6" s="287"/>
      <c r="E6" s="287"/>
      <c r="F6" s="287"/>
      <c r="G6" s="287"/>
      <c r="H6" s="287"/>
      <c r="I6" s="287"/>
      <c r="J6" s="287"/>
      <c r="K6" s="292">
        <v>0</v>
      </c>
      <c r="L6" s="321">
        <f>HLOOKUP($C6,$BA$4:$BL$14,$L$2)</f>
        <v>1.1998117566192825</v>
      </c>
      <c r="M6" s="321">
        <f>HLOOKUP($C6,$BA$4:$BL$15,$M$2)</f>
        <v>1.1961600115620716</v>
      </c>
      <c r="N6" s="293">
        <v>0</v>
      </c>
      <c r="O6" s="293">
        <v>0</v>
      </c>
      <c r="P6" s="293">
        <v>0</v>
      </c>
      <c r="Q6" s="293">
        <v>0</v>
      </c>
      <c r="R6" s="293">
        <v>0</v>
      </c>
      <c r="S6" s="293">
        <v>0</v>
      </c>
      <c r="T6" s="293">
        <v>0</v>
      </c>
      <c r="U6" s="293">
        <v>0</v>
      </c>
      <c r="V6" s="321">
        <f>HLOOKUP($C6,$BA$4:$BL$24,$V$2)</f>
        <v>1.2818992289435116</v>
      </c>
      <c r="W6" s="321">
        <f>HLOOKUP($C6,$BA$4:$BL$25,$W$2)</f>
        <v>1.2270000000000001</v>
      </c>
      <c r="X6" s="293">
        <v>0</v>
      </c>
      <c r="Y6" s="293">
        <v>0</v>
      </c>
      <c r="Z6" s="294">
        <v>0</v>
      </c>
      <c r="AA6" s="288"/>
      <c r="AB6" s="310">
        <f>SUM(K6:Z6)</f>
        <v>4.9048709971248661</v>
      </c>
      <c r="AZ6" s="273">
        <v>1</v>
      </c>
      <c r="BA6" s="311">
        <f>PJM_01212000!AQ9</f>
        <v>0.84009140360859491</v>
      </c>
      <c r="BB6" s="311">
        <f>PJM_01212000!AR9</f>
        <v>0.84009140360859491</v>
      </c>
      <c r="BC6" s="311">
        <f>PJM_01212000!AS9</f>
        <v>0.88009140360859495</v>
      </c>
      <c r="BD6" s="311">
        <f>PJM_01212000!AT9</f>
        <v>0.93009140360859499</v>
      </c>
      <c r="BE6" s="311">
        <f>PJM_01212000!AU9</f>
        <v>0.99487413888798193</v>
      </c>
      <c r="BF6" s="311">
        <f>PJM_01212000!AV9</f>
        <v>1.1566015393724096</v>
      </c>
      <c r="BG6" s="311">
        <f>PJM_01212000!AW9</f>
        <v>1.1151212088270464</v>
      </c>
      <c r="BH6" s="311">
        <f>PJM_01212000!AX9</f>
        <v>1.091611616602268</v>
      </c>
      <c r="BI6" s="311">
        <f>PJM_01212000!AY9</f>
        <v>0.99664578191253639</v>
      </c>
      <c r="BJ6" s="311">
        <f>PJM_01212000!AZ9</f>
        <v>0.94950000000000001</v>
      </c>
      <c r="BK6" s="311">
        <f>PJM_01212000!BA9</f>
        <v>0.92949999999999999</v>
      </c>
      <c r="BL6" s="311">
        <f>PJM_01212000!BB9</f>
        <v>0.92949999999999999</v>
      </c>
      <c r="BM6" s="312">
        <f>SUM(BA6:BL6)</f>
        <v>11.653719900036624</v>
      </c>
    </row>
    <row r="7" spans="3:65">
      <c r="C7" s="302">
        <v>2</v>
      </c>
      <c r="D7" s="287"/>
      <c r="E7" s="287"/>
      <c r="F7" s="287"/>
      <c r="G7" s="287"/>
      <c r="H7" s="287"/>
      <c r="I7" s="287"/>
      <c r="J7" s="287"/>
      <c r="K7" s="295">
        <v>0</v>
      </c>
      <c r="L7" s="322">
        <f>HLOOKUP($C7,$BA$4:$BL$14,$L$2)</f>
        <v>1.1998117566192825</v>
      </c>
      <c r="M7" s="322">
        <f>HLOOKUP($C7,$BA$4:$BL$15,$M$2)</f>
        <v>1.1961600115620716</v>
      </c>
      <c r="N7" s="291">
        <v>0</v>
      </c>
      <c r="O7" s="291">
        <v>0</v>
      </c>
      <c r="P7" s="291">
        <v>0</v>
      </c>
      <c r="Q7" s="291">
        <v>0</v>
      </c>
      <c r="R7" s="291">
        <v>0</v>
      </c>
      <c r="S7" s="291">
        <v>0</v>
      </c>
      <c r="T7" s="291">
        <v>0</v>
      </c>
      <c r="U7" s="291">
        <v>0</v>
      </c>
      <c r="V7" s="322">
        <f>HLOOKUP($C7,$BA$4:$BL$24,$V$2)</f>
        <v>1.2818992289435116</v>
      </c>
      <c r="W7" s="322">
        <f>HLOOKUP($C7,$BA$4:$BL$25,$W$2)</f>
        <v>1.2270000000000001</v>
      </c>
      <c r="X7" s="291">
        <v>0</v>
      </c>
      <c r="Y7" s="291">
        <v>0</v>
      </c>
      <c r="Z7" s="296">
        <v>0</v>
      </c>
      <c r="AA7" s="288"/>
      <c r="AB7" s="310">
        <f t="shared" ref="AB7:AB17" si="1">SUM(K7:Z7)</f>
        <v>4.9048709971248661</v>
      </c>
      <c r="AZ7" s="273">
        <v>2</v>
      </c>
      <c r="BA7" s="311">
        <f>PJM_01212000!AQ10</f>
        <v>0.82216545967600496</v>
      </c>
      <c r="BB7" s="311">
        <f>PJM_01212000!AR10</f>
        <v>0.82216545967600496</v>
      </c>
      <c r="BC7" s="311">
        <f>PJM_01212000!AS10</f>
        <v>0.83216545967600497</v>
      </c>
      <c r="BD7" s="311">
        <f>PJM_01212000!AT10</f>
        <v>0.88216545967600501</v>
      </c>
      <c r="BE7" s="311">
        <f>PJM_01212000!AU10</f>
        <v>0.89614417708707417</v>
      </c>
      <c r="BF7" s="311">
        <f>PJM_01212000!AV10</f>
        <v>0.95825932504440481</v>
      </c>
      <c r="BG7" s="311">
        <f>PJM_01212000!AW10</f>
        <v>1.0185889770627239</v>
      </c>
      <c r="BH7" s="311">
        <f>PJM_01212000!AX10</f>
        <v>0.98541692633678146</v>
      </c>
      <c r="BI7" s="311">
        <f>PJM_01212000!AY10</f>
        <v>0.87437503955445783</v>
      </c>
      <c r="BJ7" s="311">
        <f>PJM_01212000!AZ10</f>
        <v>0.9012</v>
      </c>
      <c r="BK7" s="311">
        <f>PJM_01212000!BA10</f>
        <v>0.88119999999999998</v>
      </c>
      <c r="BL7" s="311">
        <f>PJM_01212000!BB10</f>
        <v>0.88119999999999998</v>
      </c>
      <c r="BM7" s="312">
        <f t="shared" ref="BM7:BM29" si="2">SUM(BA7:BL7)</f>
        <v>10.75504628378946</v>
      </c>
    </row>
    <row r="8" spans="3:65">
      <c r="C8" s="302">
        <v>3</v>
      </c>
      <c r="D8" s="287"/>
      <c r="E8" s="287"/>
      <c r="F8" s="287"/>
      <c r="G8" s="287"/>
      <c r="H8" s="287"/>
      <c r="I8" s="287"/>
      <c r="J8" s="287"/>
      <c r="K8" s="295">
        <v>0</v>
      </c>
      <c r="L8" s="322">
        <f>HLOOKUP($C8,$BA$4:$BL$14,$L$2)</f>
        <v>1.1898</v>
      </c>
      <c r="M8" s="322">
        <f>HLOOKUP($C8,$BA$4:$BL$15,$M$2)</f>
        <v>1.1861999999999999</v>
      </c>
      <c r="N8" s="291">
        <v>0</v>
      </c>
      <c r="O8" s="291">
        <v>0</v>
      </c>
      <c r="P8" s="291">
        <v>0</v>
      </c>
      <c r="Q8" s="291">
        <v>0</v>
      </c>
      <c r="R8" s="291">
        <v>0</v>
      </c>
      <c r="S8" s="291">
        <v>0</v>
      </c>
      <c r="T8" s="291">
        <v>0</v>
      </c>
      <c r="U8" s="291">
        <v>0</v>
      </c>
      <c r="V8" s="322">
        <f>HLOOKUP($C8,$BA$4:$BL$24,$V$2)</f>
        <v>1.2719</v>
      </c>
      <c r="W8" s="322">
        <f>HLOOKUP($C8,$BA$4:$BL$25,$W$2)</f>
        <v>1.2170000000000001</v>
      </c>
      <c r="X8" s="291">
        <v>0</v>
      </c>
      <c r="Y8" s="291">
        <v>0</v>
      </c>
      <c r="Z8" s="296">
        <v>0</v>
      </c>
      <c r="AA8" s="288"/>
      <c r="AB8" s="310">
        <f t="shared" si="1"/>
        <v>4.8649000000000004</v>
      </c>
      <c r="AZ8" s="273">
        <v>3</v>
      </c>
      <c r="BA8" s="311">
        <f>PJM_01212000!AQ11</f>
        <v>0.74669983553583485</v>
      </c>
      <c r="BB8" s="311">
        <f>PJM_01212000!AR11</f>
        <v>0.74669983553583485</v>
      </c>
      <c r="BC8" s="311">
        <f>PJM_01212000!AS11</f>
        <v>0.7966998355358349</v>
      </c>
      <c r="BD8" s="311">
        <f>PJM_01212000!AT11</f>
        <v>0.84669983553583494</v>
      </c>
      <c r="BE8" s="311">
        <f>PJM_01212000!AU11</f>
        <v>0.84808514806229396</v>
      </c>
      <c r="BF8" s="311">
        <f>PJM_01212000!AV11</f>
        <v>0.80550621669626976</v>
      </c>
      <c r="BG8" s="311">
        <f>PJM_01212000!AW11</f>
        <v>0.97054027611696914</v>
      </c>
      <c r="BH8" s="311">
        <f>PJM_01212000!AX11</f>
        <v>0.88495575221238931</v>
      </c>
      <c r="BI8" s="311">
        <f>PJM_01212000!AY11</f>
        <v>0.81994810455034439</v>
      </c>
      <c r="BJ8" s="311">
        <f>PJM_01212000!AZ11</f>
        <v>0.86570000000000003</v>
      </c>
      <c r="BK8" s="311">
        <f>PJM_01212000!BA11</f>
        <v>0.84570000000000001</v>
      </c>
      <c r="BL8" s="311">
        <f>PJM_01212000!BB11</f>
        <v>0.84570000000000001</v>
      </c>
      <c r="BM8" s="312">
        <f t="shared" si="2"/>
        <v>10.022934839781607</v>
      </c>
    </row>
    <row r="9" spans="3:65">
      <c r="C9" s="302">
        <v>4</v>
      </c>
      <c r="D9" s="287"/>
      <c r="E9" s="287"/>
      <c r="F9" s="287"/>
      <c r="G9" s="287"/>
      <c r="H9" s="287"/>
      <c r="I9" s="287"/>
      <c r="J9" s="287"/>
      <c r="K9" s="323">
        <f>HLOOKUP($C9,$BA$4:$BL$13,$K$2)</f>
        <v>1.1232726508202047</v>
      </c>
      <c r="L9" s="322">
        <f>HLOOKUP($C9,$BA$4:$BL$14,$L$2)</f>
        <v>1.1413154461256174</v>
      </c>
      <c r="M9" s="291">
        <v>0</v>
      </c>
      <c r="N9" s="291">
        <v>0</v>
      </c>
      <c r="O9" s="322">
        <f>HLOOKUP($C9,$BA$4:$BL$17,$O$2)</f>
        <v>1.1185245467924647</v>
      </c>
      <c r="P9" s="291">
        <v>0</v>
      </c>
      <c r="Q9" s="291">
        <v>0</v>
      </c>
      <c r="R9" s="291">
        <v>0</v>
      </c>
      <c r="S9" s="291">
        <v>0</v>
      </c>
      <c r="T9" s="291">
        <v>0</v>
      </c>
      <c r="U9" s="291">
        <v>0</v>
      </c>
      <c r="V9" s="291">
        <v>0</v>
      </c>
      <c r="W9" s="291">
        <v>0</v>
      </c>
      <c r="X9" s="322">
        <f>HLOOKUP($C9,$BA$4:$BL$26,$X$2)</f>
        <v>1.1543365178491491</v>
      </c>
      <c r="Y9" s="291">
        <v>0</v>
      </c>
      <c r="Z9" s="296">
        <v>0</v>
      </c>
      <c r="AA9" s="288"/>
      <c r="AB9" s="310">
        <f t="shared" si="1"/>
        <v>4.5374491615874355</v>
      </c>
      <c r="AZ9" s="273">
        <v>4</v>
      </c>
      <c r="BA9" s="311">
        <f>PJM_01212000!AQ12</f>
        <v>0.74619999999999997</v>
      </c>
      <c r="BB9" s="311">
        <f>PJM_01212000!AR12</f>
        <v>0.74619999999999997</v>
      </c>
      <c r="BC9" s="311">
        <f>PJM_01212000!AS12</f>
        <v>0.79719995084774298</v>
      </c>
      <c r="BD9" s="311">
        <f>PJM_01212000!AT12</f>
        <v>0.84719995084774302</v>
      </c>
      <c r="BE9" s="311">
        <f>PJM_01212000!AU12</f>
        <v>0.82222730092396068</v>
      </c>
      <c r="BF9" s="311">
        <f>PJM_01212000!AV12</f>
        <v>0.74777975133214913</v>
      </c>
      <c r="BG9" s="311">
        <f>PJM_01212000!AW12</f>
        <v>0.87400804435264667</v>
      </c>
      <c r="BH9" s="311">
        <f>PJM_01212000!AX12</f>
        <v>0.83260625701109281</v>
      </c>
      <c r="BI9" s="311">
        <f>PJM_01212000!AY12</f>
        <v>0.83209923422568155</v>
      </c>
      <c r="BJ9" s="311">
        <f>PJM_01212000!AZ12</f>
        <v>0.86619999999999997</v>
      </c>
      <c r="BK9" s="311">
        <f>PJM_01212000!BA12</f>
        <v>0.84619999999999995</v>
      </c>
      <c r="BL9" s="311">
        <f>PJM_01212000!BB12</f>
        <v>0.84619999999999995</v>
      </c>
      <c r="BM9" s="312">
        <f t="shared" si="2"/>
        <v>9.804120489541015</v>
      </c>
    </row>
    <row r="10" spans="3:65">
      <c r="C10" s="302">
        <v>5</v>
      </c>
      <c r="D10" s="287"/>
      <c r="E10" s="287"/>
      <c r="F10" s="287"/>
      <c r="G10" s="287"/>
      <c r="H10" s="287"/>
      <c r="I10" s="287"/>
      <c r="J10" s="287"/>
      <c r="K10" s="295">
        <v>0</v>
      </c>
      <c r="L10" s="291">
        <v>0</v>
      </c>
      <c r="M10" s="322">
        <f>HLOOKUP($C10,$BA$4:$BL$15,$M$2)</f>
        <v>1.0610266218026732</v>
      </c>
      <c r="N10" s="322">
        <f>HLOOKUP($C10,$BA$4:$BL$16,$N$2)</f>
        <v>1.1254998619307197</v>
      </c>
      <c r="O10" s="322">
        <f>HLOOKUP($C10,$BA$4:$BL$17,$O$2)</f>
        <v>1.1169907033351396</v>
      </c>
      <c r="P10" s="291">
        <v>0</v>
      </c>
      <c r="Q10" s="291">
        <v>0</v>
      </c>
      <c r="R10" s="291">
        <v>0</v>
      </c>
      <c r="S10" s="291">
        <v>0</v>
      </c>
      <c r="T10" s="291">
        <v>0</v>
      </c>
      <c r="U10" s="291">
        <v>0</v>
      </c>
      <c r="V10" s="291">
        <v>0</v>
      </c>
      <c r="W10" s="291">
        <v>0</v>
      </c>
      <c r="X10" s="322">
        <f>HLOOKUP($C10,$BA$4:$BL$26,$X$2)</f>
        <v>1.0876995612465097</v>
      </c>
      <c r="Y10" s="291">
        <v>0</v>
      </c>
      <c r="Z10" s="296">
        <v>0</v>
      </c>
      <c r="AA10" s="288"/>
      <c r="AB10" s="310">
        <f t="shared" si="1"/>
        <v>4.3912167483150419</v>
      </c>
      <c r="AZ10" s="273">
        <v>5</v>
      </c>
      <c r="BA10" s="311">
        <f>PJM_01212000!AQ13</f>
        <v>0.76649999999999996</v>
      </c>
      <c r="BB10" s="311">
        <f>PJM_01212000!AR13</f>
        <v>0.76649999999999996</v>
      </c>
      <c r="BC10" s="311">
        <f>PJM_01212000!AS13</f>
        <v>0.85749044781089889</v>
      </c>
      <c r="BD10" s="311">
        <f>PJM_01212000!AT13</f>
        <v>0.90749044781089894</v>
      </c>
      <c r="BE10" s="311">
        <f>PJM_01212000!AU13</f>
        <v>0.89013679845897664</v>
      </c>
      <c r="BF10" s="311">
        <f>PJM_01212000!AV13</f>
        <v>0.81113084665482538</v>
      </c>
      <c r="BG10" s="311">
        <f>PJM_01212000!AW13</f>
        <v>0.8296553973257963</v>
      </c>
      <c r="BH10" s="311">
        <f>PJM_01212000!AX13</f>
        <v>0.86426523744235273</v>
      </c>
      <c r="BI10" s="311">
        <f>PJM_01212000!AY13</f>
        <v>0.89842415037022905</v>
      </c>
      <c r="BJ10" s="311">
        <f>PJM_01212000!AZ13</f>
        <v>0.92649999999999999</v>
      </c>
      <c r="BK10" s="311">
        <f>PJM_01212000!BA13</f>
        <v>0.90649999999999997</v>
      </c>
      <c r="BL10" s="311">
        <f>PJM_01212000!BB13</f>
        <v>0.90649999999999997</v>
      </c>
      <c r="BM10" s="312">
        <f t="shared" si="2"/>
        <v>10.331093325873978</v>
      </c>
    </row>
    <row r="11" spans="3:65">
      <c r="C11" s="302">
        <v>6</v>
      </c>
      <c r="D11" s="287"/>
      <c r="E11" s="287"/>
      <c r="F11" s="287"/>
      <c r="G11" s="287"/>
      <c r="H11" s="287"/>
      <c r="I11" s="287"/>
      <c r="J11" s="287"/>
      <c r="K11" s="295">
        <v>0</v>
      </c>
      <c r="L11" s="291">
        <v>0</v>
      </c>
      <c r="M11" s="291">
        <v>0</v>
      </c>
      <c r="N11" s="291">
        <v>0</v>
      </c>
      <c r="O11" s="291">
        <v>0</v>
      </c>
      <c r="P11" s="291">
        <v>0</v>
      </c>
      <c r="Q11" s="322">
        <f>HLOOKUP($C11,$BA$4:$BL$19,$Q$2)</f>
        <v>1.2209201862181771</v>
      </c>
      <c r="R11" s="322">
        <f>HLOOKUP($C11,$BA$4:$BL$20,$R$2)</f>
        <v>1.2303149771421382</v>
      </c>
      <c r="S11" s="322">
        <f>HLOOKUP($C11,$BA$4:$BL$21,$S$2)</f>
        <v>1.2323281466258438</v>
      </c>
      <c r="T11" s="322">
        <f>HLOOKUP($C11,$BA$4:$BL$22,$T$2)</f>
        <v>1.2523256301639896</v>
      </c>
      <c r="U11" s="291">
        <v>0</v>
      </c>
      <c r="V11" s="291">
        <v>0</v>
      </c>
      <c r="W11" s="291">
        <v>0</v>
      </c>
      <c r="X11" s="291">
        <v>0</v>
      </c>
      <c r="Y11" s="291">
        <v>0</v>
      </c>
      <c r="Z11" s="296">
        <v>0</v>
      </c>
      <c r="AA11" s="288"/>
      <c r="AB11" s="310">
        <f t="shared" si="1"/>
        <v>4.9358889401501482</v>
      </c>
      <c r="AZ11" s="273">
        <v>6</v>
      </c>
      <c r="BA11" s="311">
        <f>PJM_01212000!AQ14</f>
        <v>0.82339999999999991</v>
      </c>
      <c r="BB11" s="311">
        <f>PJM_01212000!AR14</f>
        <v>0.82339999999999991</v>
      </c>
      <c r="BC11" s="311">
        <f>PJM_01212000!AS14</f>
        <v>0.99535202187631988</v>
      </c>
      <c r="BD11" s="311">
        <f>PJM_01212000!AT14</f>
        <v>1.0453520218763199</v>
      </c>
      <c r="BE11" s="311">
        <f>PJM_01212000!AU14</f>
        <v>1.079238630056482</v>
      </c>
      <c r="BF11" s="311">
        <f>PJM_01212000!AV14</f>
        <v>0.98963883955002951</v>
      </c>
      <c r="BG11" s="311">
        <f>PJM_01212000!AW14</f>
        <v>0.91466463746059334</v>
      </c>
      <c r="BH11" s="311">
        <f>PJM_01212000!AX14</f>
        <v>0.960239311978063</v>
      </c>
      <c r="BI11" s="311">
        <f>PJM_01212000!AY14</f>
        <v>1.0396810328460215</v>
      </c>
      <c r="BJ11" s="311">
        <f>PJM_01212000!AZ14</f>
        <v>1.0644</v>
      </c>
      <c r="BK11" s="311">
        <f>PJM_01212000!BA14</f>
        <v>1.0444</v>
      </c>
      <c r="BL11" s="311">
        <f>PJM_01212000!BB14</f>
        <v>1.0444</v>
      </c>
      <c r="BM11" s="312">
        <f t="shared" si="2"/>
        <v>11.824166495643826</v>
      </c>
    </row>
    <row r="12" spans="3:65">
      <c r="C12" s="302">
        <v>7</v>
      </c>
      <c r="D12" s="287"/>
      <c r="E12" s="287"/>
      <c r="F12" s="287"/>
      <c r="G12" s="287"/>
      <c r="H12" s="287"/>
      <c r="I12" s="287"/>
      <c r="J12" s="287"/>
      <c r="K12" s="295">
        <v>0</v>
      </c>
      <c r="L12" s="291">
        <v>0</v>
      </c>
      <c r="M12" s="291">
        <v>0</v>
      </c>
      <c r="N12" s="291">
        <v>0</v>
      </c>
      <c r="O12" s="291">
        <v>0</v>
      </c>
      <c r="P12" s="291">
        <v>0</v>
      </c>
      <c r="Q12" s="291">
        <v>0</v>
      </c>
      <c r="R12" s="322">
        <f>HLOOKUP($C12,$BA$4:$BL$20,$R$2)</f>
        <v>1.2506946851612968</v>
      </c>
      <c r="S12" s="322">
        <f>HLOOKUP($C12,$BA$4:$BL$21,$S$2)</f>
        <v>1.3273401940004199</v>
      </c>
      <c r="T12" s="322">
        <f>HLOOKUP($C12,$BA$4:$BL$22,$T$2)</f>
        <v>1.3538888162792144</v>
      </c>
      <c r="U12" s="322">
        <f>HLOOKUP($C12,$BA$4:$BL$23,$U$2)</f>
        <v>1.3203393586734773</v>
      </c>
      <c r="V12" s="291">
        <v>0</v>
      </c>
      <c r="W12" s="291">
        <v>0</v>
      </c>
      <c r="X12" s="291">
        <v>0</v>
      </c>
      <c r="Y12" s="291">
        <v>0</v>
      </c>
      <c r="Z12" s="296">
        <v>0</v>
      </c>
      <c r="AA12" s="288"/>
      <c r="AB12" s="310">
        <f t="shared" si="1"/>
        <v>5.2522630541144082</v>
      </c>
      <c r="AZ12" s="273">
        <v>7</v>
      </c>
      <c r="BA12" s="311">
        <f>PJM_01212000!AQ15</f>
        <v>2.0299999999999998</v>
      </c>
      <c r="BB12" s="311">
        <f>PJM_01212000!AR15</f>
        <v>2.0299999999999998</v>
      </c>
      <c r="BC12" s="311">
        <f>PJM_01212000!AS15</f>
        <v>1.7959999999999998</v>
      </c>
      <c r="BD12" s="311">
        <f>PJM_01212000!AT15</f>
        <v>1.4909756812084298</v>
      </c>
      <c r="BE12" s="311">
        <f>PJM_01212000!AU15</f>
        <v>1.2913252146658396</v>
      </c>
      <c r="BF12" s="311">
        <f>PJM_01212000!AV15</f>
        <v>1.134695085849615</v>
      </c>
      <c r="BG12" s="311">
        <f>PJM_01212000!AW15</f>
        <v>1.0157625828894443</v>
      </c>
      <c r="BH12" s="311">
        <f>PJM_01212000!AX15</f>
        <v>1.1172877975819515</v>
      </c>
      <c r="BI12" s="311">
        <f>PJM_01212000!AY15</f>
        <v>1.4138345674324397</v>
      </c>
      <c r="BJ12" s="311">
        <f>PJM_01212000!AZ15</f>
        <v>1.3759999999999999</v>
      </c>
      <c r="BK12" s="311">
        <f>PJM_01212000!BA15</f>
        <v>1.496</v>
      </c>
      <c r="BL12" s="311">
        <f>PJM_01212000!BB15</f>
        <v>1.496</v>
      </c>
      <c r="BM12" s="312">
        <f t="shared" si="2"/>
        <v>17.687880929627717</v>
      </c>
    </row>
    <row r="13" spans="3:65">
      <c r="C13" s="302">
        <v>8</v>
      </c>
      <c r="D13" s="287"/>
      <c r="E13" s="287"/>
      <c r="F13" s="287"/>
      <c r="G13" s="287"/>
      <c r="H13" s="287"/>
      <c r="I13" s="287"/>
      <c r="J13" s="287"/>
      <c r="K13" s="295">
        <v>0</v>
      </c>
      <c r="L13" s="291">
        <v>0</v>
      </c>
      <c r="M13" s="291">
        <v>0</v>
      </c>
      <c r="N13" s="291">
        <v>0</v>
      </c>
      <c r="O13" s="291">
        <v>0</v>
      </c>
      <c r="P13" s="291">
        <v>0</v>
      </c>
      <c r="Q13" s="322">
        <f>HLOOKUP($C13,$BA$4:$BL$19,$Q$2)</f>
        <v>1.1907290919069531</v>
      </c>
      <c r="R13" s="322">
        <f>HLOOKUP($C13,$BA$4:$BL$20,$R$2)</f>
        <v>1.26057331025457</v>
      </c>
      <c r="S13" s="322">
        <f>HLOOKUP($C13,$BA$4:$BL$21,$S$2)</f>
        <v>1.2430109342677418</v>
      </c>
      <c r="T13" s="322">
        <f>HLOOKUP($C13,$BA$4:$BL$22,$T$2)</f>
        <v>1.2150462278887151</v>
      </c>
      <c r="U13" s="291">
        <v>0</v>
      </c>
      <c r="V13" s="291">
        <v>0</v>
      </c>
      <c r="W13" s="291">
        <v>0</v>
      </c>
      <c r="X13" s="291">
        <v>0</v>
      </c>
      <c r="Y13" s="291">
        <v>0</v>
      </c>
      <c r="Z13" s="296">
        <v>0</v>
      </c>
      <c r="AA13" s="288"/>
      <c r="AB13" s="310">
        <f t="shared" si="1"/>
        <v>4.9093595643179793</v>
      </c>
      <c r="AZ13" s="263">
        <v>8</v>
      </c>
      <c r="BA13" s="275">
        <f>PJM_01212000!AQ16</f>
        <v>1.1458848137090256</v>
      </c>
      <c r="BB13" s="276">
        <f>PJM_01212000!AR16</f>
        <v>1.1458848137090256</v>
      </c>
      <c r="BC13" s="276">
        <f>PJM_01212000!AS16</f>
        <v>1.1358999999999999</v>
      </c>
      <c r="BD13" s="319">
        <f>PJM_01212000!AT16</f>
        <v>1.1232726508202047</v>
      </c>
      <c r="BE13" s="276">
        <f>PJM_01212000!AU16</f>
        <v>0.95286212503963064</v>
      </c>
      <c r="BF13" s="276">
        <f>PJM_01212000!AV16</f>
        <v>0.65105901103049102</v>
      </c>
      <c r="BG13" s="276">
        <f>PJM_01212000!AW16</f>
        <v>0.58625176867694417</v>
      </c>
      <c r="BH13" s="276">
        <f>PJM_01212000!AX16</f>
        <v>0.66493857390129607</v>
      </c>
      <c r="BI13" s="276">
        <f>PJM_01212000!AY16</f>
        <v>0.77710435244355791</v>
      </c>
      <c r="BJ13" s="276">
        <f>PJM_01212000!AZ16</f>
        <v>1.0615000000000001</v>
      </c>
      <c r="BK13" s="276">
        <f>PJM_01212000!BA16</f>
        <v>1.0714999999999999</v>
      </c>
      <c r="BL13" s="277">
        <f>PJM_01212000!BB16</f>
        <v>1.0874999999999999</v>
      </c>
      <c r="BM13" s="312">
        <f t="shared" si="2"/>
        <v>11.403658109330177</v>
      </c>
    </row>
    <row r="14" spans="3:65">
      <c r="C14" s="302">
        <v>9</v>
      </c>
      <c r="D14" s="287"/>
      <c r="E14" s="287"/>
      <c r="F14" s="287"/>
      <c r="G14" s="287"/>
      <c r="H14" s="287"/>
      <c r="I14" s="287"/>
      <c r="J14" s="287"/>
      <c r="K14" s="295">
        <v>0</v>
      </c>
      <c r="L14" s="291">
        <v>0</v>
      </c>
      <c r="M14" s="291">
        <v>0</v>
      </c>
      <c r="N14" s="291">
        <v>0</v>
      </c>
      <c r="O14" s="291">
        <v>0</v>
      </c>
      <c r="P14" s="291">
        <v>0</v>
      </c>
      <c r="Q14" s="291">
        <v>0</v>
      </c>
      <c r="R14" s="291">
        <v>0</v>
      </c>
      <c r="S14" s="291">
        <v>0</v>
      </c>
      <c r="T14" s="322">
        <f>HLOOKUP($C14,$BA$4:$BL$22,$T$2)</f>
        <v>1.1345284089868721</v>
      </c>
      <c r="U14" s="322">
        <f>HLOOKUP($C14,$BA$4:$BL$23,$U$2)</f>
        <v>1.1066962078625975</v>
      </c>
      <c r="V14" s="291">
        <v>0</v>
      </c>
      <c r="W14" s="322">
        <f>HLOOKUP($C14,$BA$4:$BL$25,$W$2)</f>
        <v>1.184626371010566</v>
      </c>
      <c r="X14" s="322">
        <f>HLOOKUP($C14,$BA$4:$BL$26,$X$2)</f>
        <v>1.1944408840385996</v>
      </c>
      <c r="Y14" s="291">
        <v>0</v>
      </c>
      <c r="Z14" s="296">
        <v>0</v>
      </c>
      <c r="AA14" s="288"/>
      <c r="AB14" s="310">
        <f t="shared" si="1"/>
        <v>4.620291871898635</v>
      </c>
      <c r="AZ14" s="263">
        <v>9</v>
      </c>
      <c r="BA14" s="317">
        <f>PJM_01212000!AQ17</f>
        <v>1.1998117566192825</v>
      </c>
      <c r="BB14" s="318">
        <f>PJM_01212000!AR17</f>
        <v>1.1998117566192825</v>
      </c>
      <c r="BC14" s="318">
        <f>PJM_01212000!AS17</f>
        <v>1.1898</v>
      </c>
      <c r="BD14" s="318">
        <f>PJM_01212000!AT17</f>
        <v>1.1413154461256174</v>
      </c>
      <c r="BE14" s="279">
        <f>PJM_01212000!AU17</f>
        <v>1.0425355656238169</v>
      </c>
      <c r="BF14" s="279">
        <f>PJM_01212000!AV17</f>
        <v>0.7656754603028143</v>
      </c>
      <c r="BG14" s="279">
        <f>PJM_01212000!AW17</f>
        <v>0.64707720807596325</v>
      </c>
      <c r="BH14" s="279">
        <f>PJM_01212000!AX17</f>
        <v>0.72465065225651215</v>
      </c>
      <c r="BI14" s="279">
        <f>PJM_01212000!AY17</f>
        <v>0.75981909069269282</v>
      </c>
      <c r="BJ14" s="318">
        <f>PJM_01212000!AZ17</f>
        <v>1.1326000000000001</v>
      </c>
      <c r="BK14" s="318">
        <f>PJM_01212000!BA17</f>
        <v>1.1426000000000001</v>
      </c>
      <c r="BL14" s="320">
        <f>PJM_01212000!BB17</f>
        <v>1.1637999999999999</v>
      </c>
      <c r="BM14" s="312">
        <f t="shared" si="2"/>
        <v>12.109496936315983</v>
      </c>
    </row>
    <row r="15" spans="3:65">
      <c r="C15" s="302">
        <v>10</v>
      </c>
      <c r="D15" s="287"/>
      <c r="E15" s="287"/>
      <c r="F15" s="287"/>
      <c r="G15" s="287"/>
      <c r="H15" s="287"/>
      <c r="I15" s="287"/>
      <c r="J15" s="287"/>
      <c r="K15" s="295">
        <v>0</v>
      </c>
      <c r="L15" s="322">
        <f>HLOOKUP($C15,$BA$4:$BL$14,$L$2)</f>
        <v>1.1326000000000001</v>
      </c>
      <c r="M15" s="291">
        <v>0</v>
      </c>
      <c r="N15" s="291">
        <v>0</v>
      </c>
      <c r="O15" s="291">
        <v>0</v>
      </c>
      <c r="P15" s="291">
        <v>0</v>
      </c>
      <c r="Q15" s="291">
        <v>0</v>
      </c>
      <c r="R15" s="291">
        <v>0</v>
      </c>
      <c r="S15" s="291">
        <v>0</v>
      </c>
      <c r="T15" s="291">
        <v>0</v>
      </c>
      <c r="U15" s="322">
        <f>HLOOKUP($C15,$BA$4:$BL$23,$U$2)</f>
        <v>1.2000999999999999</v>
      </c>
      <c r="V15" s="322">
        <f>HLOOKUP($C15,$BA$4:$BL$24,$V$2)</f>
        <v>1.2095</v>
      </c>
      <c r="W15" s="322">
        <f>HLOOKUP($C15,$BA$4:$BL$25,$W$2)</f>
        <v>1.1567000000000001</v>
      </c>
      <c r="X15" s="291">
        <v>0</v>
      </c>
      <c r="Y15" s="291">
        <v>0</v>
      </c>
      <c r="Z15" s="296">
        <v>0</v>
      </c>
      <c r="AA15" s="288"/>
      <c r="AB15" s="310">
        <f t="shared" si="1"/>
        <v>4.6989000000000001</v>
      </c>
      <c r="AZ15" s="263">
        <v>10</v>
      </c>
      <c r="BA15" s="317">
        <f>PJM_01212000!AQ18</f>
        <v>1.1961600115620716</v>
      </c>
      <c r="BB15" s="318">
        <f>PJM_01212000!AR18</f>
        <v>1.1961600115620716</v>
      </c>
      <c r="BC15" s="318">
        <f>PJM_01212000!AS18</f>
        <v>1.1861999999999999</v>
      </c>
      <c r="BD15" s="279">
        <f>PJM_01212000!AT18</f>
        <v>1.09378612004454</v>
      </c>
      <c r="BE15" s="318">
        <f>PJM_01212000!AU18</f>
        <v>1.0610266218026732</v>
      </c>
      <c r="BF15" s="279">
        <f>PJM_01212000!AV18</f>
        <v>0.85640229836849369</v>
      </c>
      <c r="BG15" s="279">
        <f>PJM_01212000!AW18</f>
        <v>0.77472880286852364</v>
      </c>
      <c r="BH15" s="279">
        <f>PJM_01212000!AX18</f>
        <v>0.92931988010301025</v>
      </c>
      <c r="BI15" s="279">
        <f>PJM_01212000!AY18</f>
        <v>0.94849211726145832</v>
      </c>
      <c r="BJ15" s="279">
        <f>PJM_01212000!AZ18</f>
        <v>1.1291</v>
      </c>
      <c r="BK15" s="279">
        <f>PJM_01212000!BA18</f>
        <v>1.1352</v>
      </c>
      <c r="BL15" s="280">
        <f>PJM_01212000!BB18</f>
        <v>1.1578999999999999</v>
      </c>
      <c r="BM15" s="312">
        <f t="shared" si="2"/>
        <v>12.664475863572841</v>
      </c>
    </row>
    <row r="16" spans="3:65">
      <c r="C16" s="302">
        <v>11</v>
      </c>
      <c r="D16" s="287"/>
      <c r="E16" s="287"/>
      <c r="F16" s="287"/>
      <c r="G16" s="287"/>
      <c r="H16" s="287"/>
      <c r="I16" s="287"/>
      <c r="J16" s="287"/>
      <c r="K16" s="295">
        <v>0</v>
      </c>
      <c r="L16" s="322">
        <f>HLOOKUP($C16,$BA$4:$BL$14,$L$2)</f>
        <v>1.1426000000000001</v>
      </c>
      <c r="M16" s="291">
        <v>0</v>
      </c>
      <c r="N16" s="291">
        <v>0</v>
      </c>
      <c r="O16" s="291">
        <v>0</v>
      </c>
      <c r="P16" s="291">
        <v>0</v>
      </c>
      <c r="Q16" s="291">
        <v>0</v>
      </c>
      <c r="R16" s="291">
        <v>0</v>
      </c>
      <c r="S16" s="291">
        <v>0</v>
      </c>
      <c r="T16" s="291">
        <v>0</v>
      </c>
      <c r="U16" s="322">
        <f>HLOOKUP($C16,$BA$4:$BL$23,$U$2)</f>
        <v>1.2171000000000001</v>
      </c>
      <c r="V16" s="322">
        <f>HLOOKUP($C16,$BA$4:$BL$24,$V$2)</f>
        <v>1.2269000000000001</v>
      </c>
      <c r="W16" s="322">
        <f>HLOOKUP($C16,$BA$4:$BL$25,$W$2)</f>
        <v>1.1767000000000001</v>
      </c>
      <c r="X16" s="291">
        <v>0</v>
      </c>
      <c r="Y16" s="291">
        <v>0</v>
      </c>
      <c r="Z16" s="296">
        <v>0</v>
      </c>
      <c r="AA16" s="288"/>
      <c r="AB16" s="310">
        <f t="shared" si="1"/>
        <v>4.7633000000000001</v>
      </c>
      <c r="AZ16" s="263">
        <v>11</v>
      </c>
      <c r="BA16" s="278">
        <f>PJM_01212000!AQ19</f>
        <v>1.1752854504703492</v>
      </c>
      <c r="BB16" s="279">
        <f>PJM_01212000!AR19</f>
        <v>1.1752854504703492</v>
      </c>
      <c r="BC16" s="279">
        <f>PJM_01212000!AS19</f>
        <v>1.1653</v>
      </c>
      <c r="BD16" s="279">
        <f>PJM_01212000!AT19</f>
        <v>1.1163355903593366</v>
      </c>
      <c r="BE16" s="318">
        <f>PJM_01212000!AU19</f>
        <v>1.1254998619307197</v>
      </c>
      <c r="BF16" s="279">
        <f>PJM_01212000!AV19</f>
        <v>0.98511093402675809</v>
      </c>
      <c r="BG16" s="279">
        <f>PJM_01212000!AW19</f>
        <v>0.88155973155887868</v>
      </c>
      <c r="BH16" s="279">
        <f>PJM_01212000!AX19</f>
        <v>1.0488791320133406</v>
      </c>
      <c r="BI16" s="279">
        <f>PJM_01212000!AY19</f>
        <v>1.012945635654515</v>
      </c>
      <c r="BJ16" s="279">
        <f>PJM_01212000!AZ19</f>
        <v>1.1227</v>
      </c>
      <c r="BK16" s="279">
        <f>PJM_01212000!BA19</f>
        <v>1.1133</v>
      </c>
      <c r="BL16" s="280">
        <f>PJM_01212000!BB19</f>
        <v>1.1327</v>
      </c>
      <c r="BM16" s="312">
        <f t="shared" si="2"/>
        <v>13.054901786484248</v>
      </c>
    </row>
    <row r="17" spans="2:65">
      <c r="C17" s="303">
        <v>12</v>
      </c>
      <c r="D17" s="287"/>
      <c r="E17" s="287"/>
      <c r="F17" s="287"/>
      <c r="G17" s="287"/>
      <c r="H17" s="287"/>
      <c r="I17" s="287"/>
      <c r="J17" s="287"/>
      <c r="K17" s="297">
        <v>0</v>
      </c>
      <c r="L17" s="324">
        <f>HLOOKUP($C17,$BA$4:$BL$14,$L$2)</f>
        <v>1.1637999999999999</v>
      </c>
      <c r="M17" s="298">
        <v>0</v>
      </c>
      <c r="N17" s="298">
        <v>0</v>
      </c>
      <c r="O17" s="298">
        <v>0</v>
      </c>
      <c r="P17" s="298">
        <v>0</v>
      </c>
      <c r="Q17" s="298">
        <v>0</v>
      </c>
      <c r="R17" s="298">
        <v>0</v>
      </c>
      <c r="S17" s="298">
        <v>0</v>
      </c>
      <c r="T17" s="298">
        <v>0</v>
      </c>
      <c r="U17" s="324">
        <f>HLOOKUP($C17,$BA$4:$BL$23,$U$2)</f>
        <v>1.2396592528631896</v>
      </c>
      <c r="V17" s="324">
        <f>HLOOKUP($C17,$BA$4:$BL$24,$V$2)</f>
        <v>1.2314000000000001</v>
      </c>
      <c r="W17" s="324">
        <f>HLOOKUP($C17,$BA$4:$BL$25,$W$2)</f>
        <v>1.1889963083145296</v>
      </c>
      <c r="X17" s="298">
        <v>0</v>
      </c>
      <c r="Y17" s="298">
        <v>0</v>
      </c>
      <c r="Z17" s="299">
        <v>0</v>
      </c>
      <c r="AA17" s="288"/>
      <c r="AB17" s="310">
        <f t="shared" si="1"/>
        <v>4.8238555611777194</v>
      </c>
      <c r="AZ17" s="263">
        <v>12</v>
      </c>
      <c r="BA17" s="278">
        <f>PJM_01212000!AQ20</f>
        <v>0.88039999999999996</v>
      </c>
      <c r="BB17" s="279">
        <f>PJM_01212000!AR20</f>
        <v>0.88039999999999996</v>
      </c>
      <c r="BC17" s="279">
        <f>PJM_01212000!AS20</f>
        <v>0.89039999999999997</v>
      </c>
      <c r="BD17" s="318">
        <f>PJM_01212000!AT20</f>
        <v>1.1185245467924647</v>
      </c>
      <c r="BE17" s="318">
        <f>PJM_01212000!AU20</f>
        <v>1.1169907033351396</v>
      </c>
      <c r="BF17" s="279">
        <f>PJM_01212000!AV20</f>
        <v>1.0624166422010652</v>
      </c>
      <c r="BG17" s="279">
        <f>PJM_01212000!AW20</f>
        <v>1.0539439364924221</v>
      </c>
      <c r="BH17" s="279">
        <f>PJM_01212000!AX20</f>
        <v>1.0933254527800058</v>
      </c>
      <c r="BI17" s="279">
        <f>PJM_01212000!AY20</f>
        <v>1.0793034625455484</v>
      </c>
      <c r="BJ17" s="279">
        <f>PJM_01212000!AZ20</f>
        <v>0.94740000000000002</v>
      </c>
      <c r="BK17" s="279">
        <f>PJM_01212000!BA20</f>
        <v>0.93740000000000001</v>
      </c>
      <c r="BL17" s="280">
        <f>PJM_01212000!BB20</f>
        <v>0.9204</v>
      </c>
      <c r="BM17" s="312">
        <f t="shared" si="2"/>
        <v>11.980904744146647</v>
      </c>
    </row>
    <row r="18" spans="2:65">
      <c r="C18" s="304"/>
      <c r="D18" s="289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90"/>
      <c r="AZ18" s="263">
        <v>13</v>
      </c>
      <c r="BA18" s="278">
        <f>PJM_01212000!AQ21</f>
        <v>0.8548</v>
      </c>
      <c r="BB18" s="279">
        <f>PJM_01212000!AR21</f>
        <v>0.8548</v>
      </c>
      <c r="BC18" s="279">
        <f>PJM_01212000!AS21</f>
        <v>0.86480000000000001</v>
      </c>
      <c r="BD18" s="279">
        <f>PJM_01212000!AT21</f>
        <v>1.0164322625621052</v>
      </c>
      <c r="BE18" s="279">
        <f>PJM_01212000!AU21</f>
        <v>1.0525174632070931</v>
      </c>
      <c r="BF18" s="279">
        <f>PJM_01212000!AV21</f>
        <v>1.1040221448643206</v>
      </c>
      <c r="BG18" s="279">
        <f>PJM_01212000!AW21</f>
        <v>1.1615931446365755</v>
      </c>
      <c r="BH18" s="279">
        <f>PJM_01212000!AX21</f>
        <v>1.0846793599864903</v>
      </c>
      <c r="BI18" s="279">
        <f>PJM_01212000!AY21</f>
        <v>1.0205628696464217</v>
      </c>
      <c r="BJ18" s="279">
        <f>PJM_01212000!AZ21</f>
        <v>0.88990000000000002</v>
      </c>
      <c r="BK18" s="279">
        <f>PJM_01212000!BA21</f>
        <v>0.88290000000000002</v>
      </c>
      <c r="BL18" s="280">
        <f>PJM_01212000!BB21</f>
        <v>0.87490000000000001</v>
      </c>
      <c r="BM18" s="312">
        <f t="shared" si="2"/>
        <v>11.661907244903007</v>
      </c>
    </row>
    <row r="19" spans="2:65">
      <c r="AZ19" s="263">
        <v>14</v>
      </c>
      <c r="BA19" s="278">
        <f>PJM_01212000!AQ22</f>
        <v>0.82720000000000005</v>
      </c>
      <c r="BB19" s="279">
        <f>PJM_01212000!AR22</f>
        <v>0.82720000000000005</v>
      </c>
      <c r="BC19" s="279">
        <f>PJM_01212000!AS22</f>
        <v>0.83720000000000006</v>
      </c>
      <c r="BD19" s="279">
        <f>PJM_01212000!AT22</f>
        <v>1.0175267407786688</v>
      </c>
      <c r="BE19" s="279">
        <f>PJM_01212000!AU22</f>
        <v>1.0575902308313812</v>
      </c>
      <c r="BF19" s="318">
        <f>PJM_01212000!AV22</f>
        <v>1.2209201862181771</v>
      </c>
      <c r="BG19" s="279">
        <f>PJM_01212000!AW22</f>
        <v>1.2006887185402797</v>
      </c>
      <c r="BH19" s="318">
        <f>PJM_01212000!AX22</f>
        <v>1.1907290919069531</v>
      </c>
      <c r="BI19" s="279">
        <f>PJM_01212000!AY22</f>
        <v>1.1047918993646206</v>
      </c>
      <c r="BJ19" s="279">
        <f>PJM_01212000!AZ22</f>
        <v>0.86519999999999997</v>
      </c>
      <c r="BK19" s="279">
        <f>PJM_01212000!BA22</f>
        <v>0.85919999999999996</v>
      </c>
      <c r="BL19" s="280">
        <f>PJM_01212000!BB22</f>
        <v>0.83720000000000006</v>
      </c>
      <c r="BM19" s="312">
        <f t="shared" si="2"/>
        <v>11.845446867640078</v>
      </c>
    </row>
    <row r="20" spans="2:65" ht="14.4" thickBot="1">
      <c r="D20" s="310"/>
      <c r="U20" s="79"/>
      <c r="AZ20" s="263">
        <v>15</v>
      </c>
      <c r="BA20" s="278">
        <f>PJM_01212000!AQ23</f>
        <v>0.78510000000000002</v>
      </c>
      <c r="BB20" s="279">
        <f>PJM_01212000!AR23</f>
        <v>0.78510000000000002</v>
      </c>
      <c r="BC20" s="279">
        <f>PJM_01212000!AS23</f>
        <v>0.79510000000000003</v>
      </c>
      <c r="BD20" s="279">
        <f>PJM_01212000!AT23</f>
        <v>0.95436890957577869</v>
      </c>
      <c r="BE20" s="279">
        <f>PJM_01212000!AU23</f>
        <v>1.0258445237632567</v>
      </c>
      <c r="BF20" s="318">
        <f>PJM_01212000!AV23</f>
        <v>1.2303149771421382</v>
      </c>
      <c r="BG20" s="318">
        <f>PJM_01212000!AW23</f>
        <v>1.2506946851612968</v>
      </c>
      <c r="BH20" s="318">
        <f>PJM_01212000!AX23</f>
        <v>1.26057331025457</v>
      </c>
      <c r="BI20" s="279">
        <f>PJM_01212000!AY23</f>
        <v>1.087360152344681</v>
      </c>
      <c r="BJ20" s="279">
        <f>PJM_01212000!AZ23</f>
        <v>0.84509999999999996</v>
      </c>
      <c r="BK20" s="279">
        <f>PJM_01212000!BA23</f>
        <v>0.83909999999999996</v>
      </c>
      <c r="BL20" s="280">
        <f>PJM_01212000!BB23</f>
        <v>0.79510000000000003</v>
      </c>
      <c r="BM20" s="312">
        <f t="shared" si="2"/>
        <v>11.653756558241723</v>
      </c>
    </row>
    <row r="21" spans="2:65">
      <c r="C21" s="102"/>
      <c r="D21" s="102" t="s">
        <v>18</v>
      </c>
      <c r="U21" s="79"/>
      <c r="W21" s="307"/>
      <c r="AL21"/>
      <c r="AN21" s="325" t="s">
        <v>199</v>
      </c>
      <c r="AO21" s="329" t="s">
        <v>18</v>
      </c>
      <c r="AZ21" s="263">
        <v>16</v>
      </c>
      <c r="BA21" s="278">
        <f>PJM_01212000!AQ24</f>
        <v>0.76929999999999998</v>
      </c>
      <c r="BB21" s="279">
        <f>PJM_01212000!AR24</f>
        <v>0.76929999999999998</v>
      </c>
      <c r="BC21" s="279">
        <f>PJM_01212000!AS24</f>
        <v>0.77929999999999999</v>
      </c>
      <c r="BD21" s="279">
        <f>PJM_01212000!AT24</f>
        <v>0.89196755596374933</v>
      </c>
      <c r="BE21" s="279">
        <f>PJM_01212000!AU24</f>
        <v>0.98591693343015174</v>
      </c>
      <c r="BF21" s="318">
        <f>PJM_01212000!AV24</f>
        <v>1.2323281466258438</v>
      </c>
      <c r="BG21" s="318">
        <f>PJM_01212000!AW24</f>
        <v>1.3273401940004199</v>
      </c>
      <c r="BH21" s="318">
        <f>PJM_01212000!AX24</f>
        <v>1.2430109342677418</v>
      </c>
      <c r="BI21" s="279">
        <f>PJM_01212000!AY24</f>
        <v>1.0533755699192509</v>
      </c>
      <c r="BJ21" s="279">
        <f>PJM_01212000!AZ24</f>
        <v>0.83930000000000005</v>
      </c>
      <c r="BK21" s="279">
        <f>PJM_01212000!BA24</f>
        <v>0.82530000000000003</v>
      </c>
      <c r="BL21" s="280">
        <f>PJM_01212000!BB24</f>
        <v>0.78129999999999999</v>
      </c>
      <c r="BM21" s="312">
        <f t="shared" si="2"/>
        <v>11.497739334207157</v>
      </c>
    </row>
    <row r="22" spans="2:65" ht="14.4" thickBot="1">
      <c r="B22" s="313" t="s">
        <v>32</v>
      </c>
      <c r="C22" s="314" t="s">
        <v>60</v>
      </c>
      <c r="D22" s="314" t="s">
        <v>170</v>
      </c>
      <c r="E22" s="314">
        <v>8</v>
      </c>
      <c r="F22" s="314">
        <f>E22+1</f>
        <v>9</v>
      </c>
      <c r="G22" s="314">
        <f t="shared" ref="G22:T22" si="3">F22+1</f>
        <v>10</v>
      </c>
      <c r="H22" s="314">
        <f t="shared" si="3"/>
        <v>11</v>
      </c>
      <c r="I22" s="314">
        <f t="shared" si="3"/>
        <v>12</v>
      </c>
      <c r="J22" s="314">
        <f t="shared" si="3"/>
        <v>13</v>
      </c>
      <c r="K22" s="314">
        <f t="shared" si="3"/>
        <v>14</v>
      </c>
      <c r="L22" s="314">
        <f t="shared" si="3"/>
        <v>15</v>
      </c>
      <c r="M22" s="314">
        <f t="shared" si="3"/>
        <v>16</v>
      </c>
      <c r="N22" s="314">
        <f t="shared" si="3"/>
        <v>17</v>
      </c>
      <c r="O22" s="314">
        <f>N22+1</f>
        <v>18</v>
      </c>
      <c r="P22" s="314">
        <f t="shared" si="3"/>
        <v>19</v>
      </c>
      <c r="Q22" s="314">
        <f t="shared" si="3"/>
        <v>20</v>
      </c>
      <c r="R22" s="314">
        <f t="shared" si="3"/>
        <v>21</v>
      </c>
      <c r="S22" s="314">
        <f>R22+1</f>
        <v>22</v>
      </c>
      <c r="T22" s="314">
        <f t="shared" si="3"/>
        <v>23</v>
      </c>
      <c r="U22" s="151" t="s">
        <v>197</v>
      </c>
      <c r="W22" s="314">
        <v>8</v>
      </c>
      <c r="X22" s="314">
        <v>9</v>
      </c>
      <c r="Y22" s="314">
        <v>10</v>
      </c>
      <c r="Z22" s="314">
        <v>11</v>
      </c>
      <c r="AA22" s="314">
        <v>12</v>
      </c>
      <c r="AB22" s="314">
        <v>13</v>
      </c>
      <c r="AC22" s="314">
        <v>14</v>
      </c>
      <c r="AD22" s="314">
        <v>15</v>
      </c>
      <c r="AE22" s="314">
        <v>16</v>
      </c>
      <c r="AF22" s="314">
        <v>17</v>
      </c>
      <c r="AG22" s="314">
        <v>18</v>
      </c>
      <c r="AH22" s="314">
        <v>19</v>
      </c>
      <c r="AI22" s="314">
        <v>20</v>
      </c>
      <c r="AJ22" s="314">
        <v>21</v>
      </c>
      <c r="AK22" s="314">
        <v>22</v>
      </c>
      <c r="AL22" s="314">
        <v>23</v>
      </c>
      <c r="AN22" s="326" t="s">
        <v>170</v>
      </c>
      <c r="AO22" s="330" t="s">
        <v>170</v>
      </c>
      <c r="AZ22" s="263">
        <v>17</v>
      </c>
      <c r="BA22" s="278">
        <f>PJM_01212000!AQ25</f>
        <v>0.83960000000000001</v>
      </c>
      <c r="BB22" s="279">
        <f>PJM_01212000!AR25</f>
        <v>0.83960000000000001</v>
      </c>
      <c r="BC22" s="279">
        <f>PJM_01212000!AS25</f>
        <v>0.84960000000000002</v>
      </c>
      <c r="BD22" s="279">
        <f>PJM_01212000!AT25</f>
        <v>0.87001361056090987</v>
      </c>
      <c r="BE22" s="279">
        <f>PJM_01212000!AU25</f>
        <v>0.9993352219847198</v>
      </c>
      <c r="BF22" s="318">
        <f>PJM_01212000!AV25</f>
        <v>1.2523256301639896</v>
      </c>
      <c r="BG22" s="318">
        <f>PJM_01212000!AW25</f>
        <v>1.3538888162792144</v>
      </c>
      <c r="BH22" s="318">
        <f>PJM_01212000!AX25</f>
        <v>1.2150462278887151</v>
      </c>
      <c r="BI22" s="318">
        <f>PJM_01212000!AY25</f>
        <v>1.1345284089868721</v>
      </c>
      <c r="BJ22" s="279">
        <f>PJM_01212000!AZ25</f>
        <v>0.88959999999999995</v>
      </c>
      <c r="BK22" s="279">
        <f>PJM_01212000!BA25</f>
        <v>0.88660000000000005</v>
      </c>
      <c r="BL22" s="280">
        <f>PJM_01212000!BB25</f>
        <v>0.87960000000000005</v>
      </c>
      <c r="BM22" s="312">
        <f t="shared" si="2"/>
        <v>12.00973791586442</v>
      </c>
    </row>
    <row r="23" spans="2:65">
      <c r="B23" s="102">
        <f>MONTH(C23)</f>
        <v>2</v>
      </c>
      <c r="C23" s="113">
        <f>PJM_01212000!A7</f>
        <v>36568</v>
      </c>
      <c r="D23" s="315">
        <f>PJM_01212000!C7</f>
        <v>18.68499755859375</v>
      </c>
      <c r="E23" s="133">
        <f>VLOOKUP($B23,$C$6:$Z$17,E$22+1)</f>
        <v>0</v>
      </c>
      <c r="F23" s="133">
        <f t="shared" ref="F23:T23" si="4">VLOOKUP($B23,$C$6:$Z$17,F22+1)</f>
        <v>1.1998117566192825</v>
      </c>
      <c r="G23" s="133">
        <f t="shared" si="4"/>
        <v>1.1961600115620716</v>
      </c>
      <c r="H23" s="133">
        <f t="shared" si="4"/>
        <v>0</v>
      </c>
      <c r="I23" s="133">
        <f t="shared" si="4"/>
        <v>0</v>
      </c>
      <c r="J23" s="133">
        <f t="shared" si="4"/>
        <v>0</v>
      </c>
      <c r="K23" s="133">
        <f t="shared" si="4"/>
        <v>0</v>
      </c>
      <c r="L23" s="133">
        <f t="shared" si="4"/>
        <v>0</v>
      </c>
      <c r="M23" s="133">
        <f t="shared" si="4"/>
        <v>0</v>
      </c>
      <c r="N23" s="133">
        <f t="shared" si="4"/>
        <v>0</v>
      </c>
      <c r="O23" s="133">
        <f t="shared" si="4"/>
        <v>0</v>
      </c>
      <c r="P23" s="133">
        <f t="shared" si="4"/>
        <v>1.2818992289435116</v>
      </c>
      <c r="Q23" s="133">
        <f t="shared" si="4"/>
        <v>1.2270000000000001</v>
      </c>
      <c r="R23" s="133">
        <f t="shared" si="4"/>
        <v>0</v>
      </c>
      <c r="S23" s="133">
        <f t="shared" si="4"/>
        <v>0</v>
      </c>
      <c r="T23" s="133">
        <f t="shared" si="4"/>
        <v>0</v>
      </c>
      <c r="U23" s="133">
        <f>VLOOKUP($B23,$C$6:$AB$17,T$22+3)-SUM(E23:T23)</f>
        <v>0</v>
      </c>
      <c r="W23" s="308">
        <f>$D23*E23</f>
        <v>0</v>
      </c>
      <c r="X23" s="308">
        <f t="shared" ref="X23:X86" si="5">$D23*F23</f>
        <v>22.418479743203374</v>
      </c>
      <c r="Y23" s="308">
        <f t="shared" ref="Y23:Y86" si="6">$D23*G23</f>
        <v>22.35024689572478</v>
      </c>
      <c r="Z23" s="308">
        <f t="shared" ref="Z23:Z86" si="7">$D23*H23</f>
        <v>0</v>
      </c>
      <c r="AA23" s="308">
        <f t="shared" ref="AA23:AA86" si="8">$D23*I23</f>
        <v>0</v>
      </c>
      <c r="AB23" s="308">
        <f t="shared" ref="AB23:AB86" si="9">$D23*J23</f>
        <v>0</v>
      </c>
      <c r="AC23" s="308">
        <f t="shared" ref="AC23:AC86" si="10">$D23*K23</f>
        <v>0</v>
      </c>
      <c r="AD23" s="308">
        <f t="shared" ref="AD23:AD86" si="11">$D23*L23</f>
        <v>0</v>
      </c>
      <c r="AE23" s="308">
        <f t="shared" ref="AE23:AE86" si="12">$D23*M23</f>
        <v>0</v>
      </c>
      <c r="AF23" s="308">
        <f t="shared" ref="AF23:AF86" si="13">$D23*N23</f>
        <v>0</v>
      </c>
      <c r="AG23" s="308">
        <f t="shared" ref="AG23:AG86" si="14">$D23*O23</f>
        <v>0</v>
      </c>
      <c r="AH23" s="308">
        <f t="shared" ref="AH23:AH86" si="15">$D23*P23</f>
        <v>23.952283963172725</v>
      </c>
      <c r="AI23" s="308">
        <f t="shared" ref="AI23:AI86" si="16">$D23*Q23</f>
        <v>22.926492004394532</v>
      </c>
      <c r="AJ23" s="308">
        <f t="shared" ref="AJ23:AJ86" si="17">$D23*R23</f>
        <v>0</v>
      </c>
      <c r="AK23" s="308">
        <f t="shared" ref="AK23:AK86" si="18">$D23*S23</f>
        <v>0</v>
      </c>
      <c r="AL23" s="308">
        <f t="shared" ref="AL23:AL86" si="19">$D23*T23</f>
        <v>0</v>
      </c>
      <c r="AN23" s="327">
        <f>SUM(W23:AL23)/4</f>
        <v>22.911875651623852</v>
      </c>
      <c r="AO23" s="331">
        <f>D23</f>
        <v>18.68499755859375</v>
      </c>
      <c r="AP23" s="315"/>
      <c r="AQ23" s="315"/>
      <c r="AR23" s="315"/>
      <c r="AZ23" s="263">
        <v>18</v>
      </c>
      <c r="BA23" s="278">
        <f>PJM_01212000!AQ26</f>
        <v>1.1682669241080017</v>
      </c>
      <c r="BB23" s="279">
        <f>PJM_01212000!AR26</f>
        <v>1.1682669241080017</v>
      </c>
      <c r="BC23" s="279">
        <f>PJM_01212000!AS26</f>
        <v>1.1583000000000001</v>
      </c>
      <c r="BD23" s="279">
        <f>PJM_01212000!AT26</f>
        <v>0.8586986372337867</v>
      </c>
      <c r="BE23" s="279">
        <f>PJM_01212000!AU26</f>
        <v>0.96038945764341233</v>
      </c>
      <c r="BF23" s="279">
        <f>PJM_01212000!AV26</f>
        <v>1.2151491003648869</v>
      </c>
      <c r="BG23" s="318">
        <f>PJM_01212000!AW26</f>
        <v>1.3203393586734773</v>
      </c>
      <c r="BH23" s="279">
        <f>PJM_01212000!AX26</f>
        <v>1.125207919956094</v>
      </c>
      <c r="BI23" s="318">
        <f>PJM_01212000!AY26</f>
        <v>1.1066962078625975</v>
      </c>
      <c r="BJ23" s="318">
        <f>PJM_01212000!AZ26</f>
        <v>1.2000999999999999</v>
      </c>
      <c r="BK23" s="318">
        <f>PJM_01212000!BA26</f>
        <v>1.2171000000000001</v>
      </c>
      <c r="BL23" s="320">
        <f>PJM_01212000!BB26</f>
        <v>1.2396592528631896</v>
      </c>
      <c r="BM23" s="312">
        <f t="shared" si="2"/>
        <v>13.738173782813448</v>
      </c>
    </row>
    <row r="24" spans="2:65">
      <c r="B24" s="102">
        <f t="shared" ref="B24:B87" si="20">MONTH(C24)</f>
        <v>2</v>
      </c>
      <c r="C24" s="113">
        <f>PJM_01212000!A8</f>
        <v>36569</v>
      </c>
      <c r="D24" s="315">
        <f>PJM_01212000!C8</f>
        <v>18.774999618530273</v>
      </c>
      <c r="E24" s="133">
        <f t="shared" ref="E24:E70" si="21">VLOOKUP($B24,$C$6:$Z$17,E$22+1)</f>
        <v>0</v>
      </c>
      <c r="F24" s="133">
        <f t="shared" ref="F24:T39" si="22">VLOOKUP($B24,$C$6:$Z$17,F$22+1)</f>
        <v>1.1998117566192825</v>
      </c>
      <c r="G24" s="133">
        <f t="shared" si="22"/>
        <v>1.1961600115620716</v>
      </c>
      <c r="H24" s="133">
        <f t="shared" si="22"/>
        <v>0</v>
      </c>
      <c r="I24" s="133">
        <f t="shared" si="22"/>
        <v>0</v>
      </c>
      <c r="J24" s="133">
        <f t="shared" si="22"/>
        <v>0</v>
      </c>
      <c r="K24" s="133">
        <f t="shared" si="22"/>
        <v>0</v>
      </c>
      <c r="L24" s="133">
        <f t="shared" si="22"/>
        <v>0</v>
      </c>
      <c r="M24" s="133">
        <f t="shared" si="22"/>
        <v>0</v>
      </c>
      <c r="N24" s="133">
        <f t="shared" si="22"/>
        <v>0</v>
      </c>
      <c r="O24" s="133">
        <f t="shared" si="22"/>
        <v>0</v>
      </c>
      <c r="P24" s="133">
        <f t="shared" si="22"/>
        <v>1.2818992289435116</v>
      </c>
      <c r="Q24" s="133">
        <f t="shared" si="22"/>
        <v>1.2270000000000001</v>
      </c>
      <c r="R24" s="133">
        <f t="shared" si="22"/>
        <v>0</v>
      </c>
      <c r="S24" s="133">
        <f t="shared" si="22"/>
        <v>0</v>
      </c>
      <c r="T24" s="133">
        <f t="shared" si="22"/>
        <v>0</v>
      </c>
      <c r="U24" s="133">
        <f t="shared" ref="U24:U87" si="23">VLOOKUP($B24,$C$6:$AB$17,T$22+3)-SUM(E24:T24)</f>
        <v>0</v>
      </c>
      <c r="W24" s="308">
        <f t="shared" ref="W24:W87" si="24">$D24*E24</f>
        <v>0</v>
      </c>
      <c r="X24" s="308">
        <f t="shared" si="5"/>
        <v>22.526465272835168</v>
      </c>
      <c r="Y24" s="308">
        <f t="shared" si="6"/>
        <v>22.457903760779061</v>
      </c>
      <c r="Z24" s="308">
        <f t="shared" si="7"/>
        <v>0</v>
      </c>
      <c r="AA24" s="308">
        <f t="shared" si="8"/>
        <v>0</v>
      </c>
      <c r="AB24" s="308">
        <f t="shared" si="9"/>
        <v>0</v>
      </c>
      <c r="AC24" s="308">
        <f t="shared" si="10"/>
        <v>0</v>
      </c>
      <c r="AD24" s="308">
        <f t="shared" si="11"/>
        <v>0</v>
      </c>
      <c r="AE24" s="308">
        <f t="shared" si="12"/>
        <v>0</v>
      </c>
      <c r="AF24" s="308">
        <f t="shared" si="13"/>
        <v>0</v>
      </c>
      <c r="AG24" s="308">
        <f t="shared" si="14"/>
        <v>0</v>
      </c>
      <c r="AH24" s="308">
        <f t="shared" si="15"/>
        <v>24.067657534408681</v>
      </c>
      <c r="AI24" s="308">
        <f t="shared" si="16"/>
        <v>23.036924531936648</v>
      </c>
      <c r="AJ24" s="308">
        <f t="shared" si="17"/>
        <v>0</v>
      </c>
      <c r="AK24" s="308">
        <f t="shared" si="18"/>
        <v>0</v>
      </c>
      <c r="AL24" s="308">
        <f t="shared" si="19"/>
        <v>0</v>
      </c>
      <c r="AN24" s="327">
        <f t="shared" ref="AN24:AN87" si="25">SUM(W24:AL24)/4</f>
        <v>23.02223777498989</v>
      </c>
      <c r="AO24" s="331">
        <f t="shared" ref="AO24:AO87" si="26">D24</f>
        <v>18.774999618530273</v>
      </c>
      <c r="AP24" s="315"/>
      <c r="AQ24" s="315"/>
      <c r="AR24" s="315"/>
      <c r="AZ24" s="263">
        <v>19</v>
      </c>
      <c r="BA24" s="317">
        <f>PJM_01212000!AQ27</f>
        <v>1.2818992289435116</v>
      </c>
      <c r="BB24" s="318">
        <f>PJM_01212000!AR27</f>
        <v>1.2818992289435116</v>
      </c>
      <c r="BC24" s="318">
        <f>PJM_01212000!AS27</f>
        <v>1.2719</v>
      </c>
      <c r="BD24" s="279">
        <f>PJM_01212000!AT27</f>
        <v>0.85409539061706241</v>
      </c>
      <c r="BE24" s="279">
        <f>PJM_01212000!AU27</f>
        <v>0.832097528048518</v>
      </c>
      <c r="BF24" s="279">
        <f>PJM_01212000!AV27</f>
        <v>1.0375875519020257</v>
      </c>
      <c r="BG24" s="279">
        <f>PJM_01212000!AW27</f>
        <v>1.1027679439023967</v>
      </c>
      <c r="BH24" s="279">
        <f>PJM_01212000!AX27</f>
        <v>0.91716131211212903</v>
      </c>
      <c r="BI24" s="279">
        <f>PJM_01212000!AY27</f>
        <v>0.90645084503689632</v>
      </c>
      <c r="BJ24" s="318">
        <f>PJM_01212000!AZ27</f>
        <v>1.2095</v>
      </c>
      <c r="BK24" s="318">
        <f>PJM_01212000!BA27</f>
        <v>1.2269000000000001</v>
      </c>
      <c r="BL24" s="320">
        <f>PJM_01212000!BB27</f>
        <v>1.2314000000000001</v>
      </c>
      <c r="BM24" s="312">
        <f t="shared" si="2"/>
        <v>13.153659029506052</v>
      </c>
    </row>
    <row r="25" spans="2:65">
      <c r="B25" s="102">
        <f t="shared" si="20"/>
        <v>2</v>
      </c>
      <c r="C25" s="113">
        <f>PJM_01212000!A9</f>
        <v>36570</v>
      </c>
      <c r="D25" s="315">
        <f>PJM_01212000!C9</f>
        <v>26.994998931884766</v>
      </c>
      <c r="E25" s="133">
        <f t="shared" si="21"/>
        <v>0</v>
      </c>
      <c r="F25" s="133">
        <f t="shared" si="22"/>
        <v>1.1998117566192825</v>
      </c>
      <c r="G25" s="133">
        <f t="shared" si="22"/>
        <v>1.1961600115620716</v>
      </c>
      <c r="H25" s="133">
        <f t="shared" si="22"/>
        <v>0</v>
      </c>
      <c r="I25" s="133">
        <f t="shared" si="22"/>
        <v>0</v>
      </c>
      <c r="J25" s="133">
        <f t="shared" si="22"/>
        <v>0</v>
      </c>
      <c r="K25" s="133">
        <f t="shared" si="22"/>
        <v>0</v>
      </c>
      <c r="L25" s="133">
        <f t="shared" si="22"/>
        <v>0</v>
      </c>
      <c r="M25" s="133">
        <f t="shared" si="22"/>
        <v>0</v>
      </c>
      <c r="N25" s="133">
        <f t="shared" si="22"/>
        <v>0</v>
      </c>
      <c r="O25" s="133">
        <f t="shared" si="22"/>
        <v>0</v>
      </c>
      <c r="P25" s="133">
        <f t="shared" si="22"/>
        <v>1.2818992289435116</v>
      </c>
      <c r="Q25" s="133">
        <f t="shared" si="22"/>
        <v>1.2270000000000001</v>
      </c>
      <c r="R25" s="133">
        <f t="shared" si="22"/>
        <v>0</v>
      </c>
      <c r="S25" s="133">
        <f t="shared" si="22"/>
        <v>0</v>
      </c>
      <c r="T25" s="133">
        <f t="shared" si="22"/>
        <v>0</v>
      </c>
      <c r="U25" s="133">
        <f t="shared" si="23"/>
        <v>0</v>
      </c>
      <c r="W25" s="308">
        <f t="shared" si="24"/>
        <v>0</v>
      </c>
      <c r="X25" s="308">
        <f t="shared" si="5"/>
        <v>32.388917088400319</v>
      </c>
      <c r="Y25" s="308">
        <f t="shared" si="6"/>
        <v>32.290338234481389</v>
      </c>
      <c r="Z25" s="308">
        <f t="shared" si="7"/>
        <v>0</v>
      </c>
      <c r="AA25" s="308">
        <f t="shared" si="8"/>
        <v>0</v>
      </c>
      <c r="AB25" s="308">
        <f t="shared" si="9"/>
        <v>0</v>
      </c>
      <c r="AC25" s="308">
        <f t="shared" si="10"/>
        <v>0</v>
      </c>
      <c r="AD25" s="308">
        <f t="shared" si="11"/>
        <v>0</v>
      </c>
      <c r="AE25" s="308">
        <f t="shared" si="12"/>
        <v>0</v>
      </c>
      <c r="AF25" s="308">
        <f t="shared" si="13"/>
        <v>0</v>
      </c>
      <c r="AG25" s="308">
        <f t="shared" si="14"/>
        <v>0</v>
      </c>
      <c r="AH25" s="308">
        <f t="shared" si="15"/>
        <v>34.604868316114</v>
      </c>
      <c r="AI25" s="308">
        <f t="shared" si="16"/>
        <v>33.122863689422609</v>
      </c>
      <c r="AJ25" s="308">
        <f t="shared" si="17"/>
        <v>0</v>
      </c>
      <c r="AK25" s="308">
        <f t="shared" si="18"/>
        <v>0</v>
      </c>
      <c r="AL25" s="308">
        <f t="shared" si="19"/>
        <v>0</v>
      </c>
      <c r="AN25" s="327">
        <f t="shared" si="25"/>
        <v>33.101746832104581</v>
      </c>
      <c r="AO25" s="331">
        <f t="shared" si="26"/>
        <v>26.994998931884766</v>
      </c>
      <c r="AP25" s="315"/>
      <c r="AQ25" s="315"/>
      <c r="AR25" s="315"/>
      <c r="AZ25" s="263">
        <v>20</v>
      </c>
      <c r="BA25" s="317">
        <f>PJM_01212000!AQ28</f>
        <v>1.2270000000000001</v>
      </c>
      <c r="BB25" s="318">
        <f>PJM_01212000!AR28</f>
        <v>1.2270000000000001</v>
      </c>
      <c r="BC25" s="318">
        <f>PJM_01212000!AS28</f>
        <v>1.2170000000000001</v>
      </c>
      <c r="BD25" s="279">
        <f>PJM_01212000!AT28</f>
        <v>0.93680897230708571</v>
      </c>
      <c r="BE25" s="279">
        <f>PJM_01212000!AU28</f>
        <v>0.82997023839962336</v>
      </c>
      <c r="BF25" s="279">
        <f>PJM_01212000!AV28</f>
        <v>0.82969424988466234</v>
      </c>
      <c r="BG25" s="279">
        <f>PJM_01212000!AW28</f>
        <v>0.81600645531569072</v>
      </c>
      <c r="BH25" s="279">
        <f>PJM_01212000!AX28</f>
        <v>0.83502343057373252</v>
      </c>
      <c r="BI25" s="318">
        <f>PJM_01212000!AY28</f>
        <v>1.184626371010566</v>
      </c>
      <c r="BJ25" s="318">
        <f>PJM_01212000!AZ28</f>
        <v>1.1567000000000001</v>
      </c>
      <c r="BK25" s="318">
        <f>PJM_01212000!BA28</f>
        <v>1.1767000000000001</v>
      </c>
      <c r="BL25" s="320">
        <f>PJM_01212000!BB28</f>
        <v>1.1889963083145296</v>
      </c>
      <c r="BM25" s="312">
        <f t="shared" si="2"/>
        <v>12.62552602580589</v>
      </c>
    </row>
    <row r="26" spans="2:65">
      <c r="B26" s="102">
        <f t="shared" si="20"/>
        <v>2</v>
      </c>
      <c r="C26" s="113">
        <f>PJM_01212000!A10</f>
        <v>36571</v>
      </c>
      <c r="D26" s="315">
        <f>PJM_01212000!C10</f>
        <v>26.194999694824219</v>
      </c>
      <c r="E26" s="133">
        <f t="shared" si="21"/>
        <v>0</v>
      </c>
      <c r="F26" s="133">
        <f t="shared" si="22"/>
        <v>1.1998117566192825</v>
      </c>
      <c r="G26" s="133">
        <f t="shared" si="22"/>
        <v>1.1961600115620716</v>
      </c>
      <c r="H26" s="133">
        <f t="shared" si="22"/>
        <v>0</v>
      </c>
      <c r="I26" s="133">
        <f t="shared" si="22"/>
        <v>0</v>
      </c>
      <c r="J26" s="133">
        <f t="shared" si="22"/>
        <v>0</v>
      </c>
      <c r="K26" s="133">
        <f t="shared" si="22"/>
        <v>0</v>
      </c>
      <c r="L26" s="133">
        <f t="shared" si="22"/>
        <v>0</v>
      </c>
      <c r="M26" s="133">
        <f t="shared" si="22"/>
        <v>0</v>
      </c>
      <c r="N26" s="133">
        <f t="shared" si="22"/>
        <v>0</v>
      </c>
      <c r="O26" s="133">
        <f t="shared" si="22"/>
        <v>0</v>
      </c>
      <c r="P26" s="133">
        <f t="shared" si="22"/>
        <v>1.2818992289435116</v>
      </c>
      <c r="Q26" s="133">
        <f t="shared" si="22"/>
        <v>1.2270000000000001</v>
      </c>
      <c r="R26" s="133">
        <f t="shared" si="22"/>
        <v>0</v>
      </c>
      <c r="S26" s="133">
        <f t="shared" si="22"/>
        <v>0</v>
      </c>
      <c r="T26" s="133">
        <f t="shared" si="22"/>
        <v>0</v>
      </c>
      <c r="U26" s="133">
        <f t="shared" si="23"/>
        <v>0</v>
      </c>
      <c r="W26" s="308">
        <f t="shared" si="24"/>
        <v>0</v>
      </c>
      <c r="X26" s="308">
        <f t="shared" si="5"/>
        <v>31.429068598488616</v>
      </c>
      <c r="Y26" s="308">
        <f t="shared" si="6"/>
        <v>31.333411137829401</v>
      </c>
      <c r="Z26" s="308">
        <f t="shared" si="7"/>
        <v>0</v>
      </c>
      <c r="AA26" s="308">
        <f t="shared" si="8"/>
        <v>0</v>
      </c>
      <c r="AB26" s="308">
        <f t="shared" si="9"/>
        <v>0</v>
      </c>
      <c r="AC26" s="308">
        <f t="shared" si="10"/>
        <v>0</v>
      </c>
      <c r="AD26" s="308">
        <f t="shared" si="11"/>
        <v>0</v>
      </c>
      <c r="AE26" s="308">
        <f t="shared" si="12"/>
        <v>0</v>
      </c>
      <c r="AF26" s="308">
        <f t="shared" si="13"/>
        <v>0</v>
      </c>
      <c r="AG26" s="308">
        <f t="shared" si="14"/>
        <v>0</v>
      </c>
      <c r="AH26" s="308">
        <f t="shared" si="15"/>
        <v>33.579349910970684</v>
      </c>
      <c r="AI26" s="308">
        <f t="shared" si="16"/>
        <v>32.141264625549319</v>
      </c>
      <c r="AJ26" s="308">
        <f t="shared" si="17"/>
        <v>0</v>
      </c>
      <c r="AK26" s="308">
        <f t="shared" si="18"/>
        <v>0</v>
      </c>
      <c r="AL26" s="308">
        <f t="shared" si="19"/>
        <v>0</v>
      </c>
      <c r="AN26" s="327">
        <f t="shared" si="25"/>
        <v>32.120773568209508</v>
      </c>
      <c r="AO26" s="331">
        <f t="shared" si="26"/>
        <v>26.194999694824219</v>
      </c>
      <c r="AP26" s="315"/>
      <c r="AQ26" s="315"/>
      <c r="AR26" s="315"/>
      <c r="AZ26" s="263">
        <v>21</v>
      </c>
      <c r="BA26" s="278">
        <f>PJM_01212000!AQ29</f>
        <v>1.1550523732727651</v>
      </c>
      <c r="BB26" s="279">
        <f>PJM_01212000!AR29</f>
        <v>1.1550523732727651</v>
      </c>
      <c r="BC26" s="279">
        <f>PJM_01212000!AS29</f>
        <v>1.1451</v>
      </c>
      <c r="BD26" s="318">
        <f>PJM_01212000!AT29</f>
        <v>1.1543365178491491</v>
      </c>
      <c r="BE26" s="318">
        <f>PJM_01212000!AU29</f>
        <v>1.0876995612465097</v>
      </c>
      <c r="BF26" s="279">
        <f>PJM_01212000!AV29</f>
        <v>0.90163150610241982</v>
      </c>
      <c r="BG26" s="279">
        <f>PJM_01212000!AW29</f>
        <v>0.90256223753970599</v>
      </c>
      <c r="BH26" s="279">
        <f>PJM_01212000!AX29</f>
        <v>1.0506353696120232</v>
      </c>
      <c r="BI26" s="318">
        <f>PJM_01212000!AY29</f>
        <v>1.1944408840385996</v>
      </c>
      <c r="BJ26" s="279">
        <f>PJM_01212000!AZ29</f>
        <v>1.0689</v>
      </c>
      <c r="BK26" s="279">
        <f>PJM_01212000!BA29</f>
        <v>1.0889</v>
      </c>
      <c r="BL26" s="280">
        <f>PJM_01212000!BB29</f>
        <v>1.1550523732727651</v>
      </c>
      <c r="BM26" s="312">
        <f t="shared" si="2"/>
        <v>13.059363196206702</v>
      </c>
    </row>
    <row r="27" spans="2:65">
      <c r="B27" s="102">
        <f t="shared" si="20"/>
        <v>2</v>
      </c>
      <c r="C27" s="113">
        <f>PJM_01212000!A11</f>
        <v>36572</v>
      </c>
      <c r="D27" s="315">
        <f>PJM_01212000!C11</f>
        <v>26.194999694824219</v>
      </c>
      <c r="E27" s="133">
        <f t="shared" si="21"/>
        <v>0</v>
      </c>
      <c r="F27" s="133">
        <f t="shared" si="22"/>
        <v>1.1998117566192825</v>
      </c>
      <c r="G27" s="133">
        <f t="shared" si="22"/>
        <v>1.1961600115620716</v>
      </c>
      <c r="H27" s="133">
        <f t="shared" si="22"/>
        <v>0</v>
      </c>
      <c r="I27" s="133">
        <f t="shared" si="22"/>
        <v>0</v>
      </c>
      <c r="J27" s="133">
        <f t="shared" si="22"/>
        <v>0</v>
      </c>
      <c r="K27" s="133">
        <f t="shared" si="22"/>
        <v>0</v>
      </c>
      <c r="L27" s="133">
        <f t="shared" si="22"/>
        <v>0</v>
      </c>
      <c r="M27" s="133">
        <f t="shared" si="22"/>
        <v>0</v>
      </c>
      <c r="N27" s="133">
        <f t="shared" si="22"/>
        <v>0</v>
      </c>
      <c r="O27" s="133">
        <f t="shared" si="22"/>
        <v>0</v>
      </c>
      <c r="P27" s="133">
        <f t="shared" si="22"/>
        <v>1.2818992289435116</v>
      </c>
      <c r="Q27" s="133">
        <f t="shared" si="22"/>
        <v>1.2270000000000001</v>
      </c>
      <c r="R27" s="133">
        <f t="shared" si="22"/>
        <v>0</v>
      </c>
      <c r="S27" s="133">
        <f t="shared" si="22"/>
        <v>0</v>
      </c>
      <c r="T27" s="133">
        <f t="shared" si="22"/>
        <v>0</v>
      </c>
      <c r="U27" s="133">
        <f t="shared" si="23"/>
        <v>0</v>
      </c>
      <c r="W27" s="308">
        <f t="shared" si="24"/>
        <v>0</v>
      </c>
      <c r="X27" s="308">
        <f t="shared" si="5"/>
        <v>31.429068598488616</v>
      </c>
      <c r="Y27" s="308">
        <f t="shared" si="6"/>
        <v>31.333411137829401</v>
      </c>
      <c r="Z27" s="308">
        <f t="shared" si="7"/>
        <v>0</v>
      </c>
      <c r="AA27" s="308">
        <f t="shared" si="8"/>
        <v>0</v>
      </c>
      <c r="AB27" s="308">
        <f t="shared" si="9"/>
        <v>0</v>
      </c>
      <c r="AC27" s="308">
        <f t="shared" si="10"/>
        <v>0</v>
      </c>
      <c r="AD27" s="308">
        <f t="shared" si="11"/>
        <v>0</v>
      </c>
      <c r="AE27" s="308">
        <f t="shared" si="12"/>
        <v>0</v>
      </c>
      <c r="AF27" s="308">
        <f t="shared" si="13"/>
        <v>0</v>
      </c>
      <c r="AG27" s="308">
        <f t="shared" si="14"/>
        <v>0</v>
      </c>
      <c r="AH27" s="308">
        <f t="shared" si="15"/>
        <v>33.579349910970684</v>
      </c>
      <c r="AI27" s="308">
        <f t="shared" si="16"/>
        <v>32.141264625549319</v>
      </c>
      <c r="AJ27" s="308">
        <f t="shared" si="17"/>
        <v>0</v>
      </c>
      <c r="AK27" s="308">
        <f t="shared" si="18"/>
        <v>0</v>
      </c>
      <c r="AL27" s="308">
        <f t="shared" si="19"/>
        <v>0</v>
      </c>
      <c r="AN27" s="327">
        <f t="shared" si="25"/>
        <v>32.120773568209508</v>
      </c>
      <c r="AO27" s="331">
        <f t="shared" si="26"/>
        <v>26.194999694824219</v>
      </c>
      <c r="AP27" s="315"/>
      <c r="AQ27" s="315"/>
      <c r="AR27" s="315"/>
      <c r="AZ27" s="263">
        <v>22</v>
      </c>
      <c r="BA27" s="278">
        <f>PJM_01212000!AQ30</f>
        <v>0.82150000000000001</v>
      </c>
      <c r="BB27" s="279">
        <f>PJM_01212000!AR30</f>
        <v>0.82150000000000001</v>
      </c>
      <c r="BC27" s="279">
        <f>PJM_01212000!AS30</f>
        <v>0.83150000000000002</v>
      </c>
      <c r="BD27" s="279">
        <f>PJM_01212000!AT30</f>
        <v>0.98358182079729883</v>
      </c>
      <c r="BE27" s="279">
        <f>PJM_01212000!AU30</f>
        <v>1.0374627979995292</v>
      </c>
      <c r="BF27" s="279">
        <f>PJM_01212000!AV30</f>
        <v>0.91867634106446339</v>
      </c>
      <c r="BG27" s="279">
        <f>PJM_01212000!AW30</f>
        <v>0.95638684161178289</v>
      </c>
      <c r="BH27" s="279">
        <f>PJM_01212000!AX30</f>
        <v>0.89338455692996166</v>
      </c>
      <c r="BI27" s="279">
        <f>PJM_01212000!AY30</f>
        <v>0.90908757988024858</v>
      </c>
      <c r="BJ27" s="279">
        <f>PJM_01212000!AZ30</f>
        <v>0.88670000000000004</v>
      </c>
      <c r="BK27" s="279">
        <f>PJM_01212000!BA30</f>
        <v>0.86619999999999997</v>
      </c>
      <c r="BL27" s="280">
        <f>PJM_01212000!BB30</f>
        <v>0.85150000000000003</v>
      </c>
      <c r="BM27" s="312">
        <f t="shared" si="2"/>
        <v>10.777479938283284</v>
      </c>
    </row>
    <row r="28" spans="2:65">
      <c r="B28" s="102">
        <f t="shared" si="20"/>
        <v>2</v>
      </c>
      <c r="C28" s="113">
        <f>PJM_01212000!A12</f>
        <v>36573</v>
      </c>
      <c r="D28" s="315">
        <f>PJM_01212000!C12</f>
        <v>26.194999694824219</v>
      </c>
      <c r="E28" s="133">
        <f t="shared" si="21"/>
        <v>0</v>
      </c>
      <c r="F28" s="133">
        <f t="shared" si="22"/>
        <v>1.1998117566192825</v>
      </c>
      <c r="G28" s="133">
        <f t="shared" si="22"/>
        <v>1.1961600115620716</v>
      </c>
      <c r="H28" s="133">
        <f t="shared" si="22"/>
        <v>0</v>
      </c>
      <c r="I28" s="133">
        <f t="shared" si="22"/>
        <v>0</v>
      </c>
      <c r="J28" s="133">
        <f t="shared" si="22"/>
        <v>0</v>
      </c>
      <c r="K28" s="133">
        <f t="shared" si="22"/>
        <v>0</v>
      </c>
      <c r="L28" s="133">
        <f t="shared" si="22"/>
        <v>0</v>
      </c>
      <c r="M28" s="133">
        <f t="shared" si="22"/>
        <v>0</v>
      </c>
      <c r="N28" s="133">
        <f t="shared" si="22"/>
        <v>0</v>
      </c>
      <c r="O28" s="133">
        <f t="shared" si="22"/>
        <v>0</v>
      </c>
      <c r="P28" s="133">
        <f t="shared" si="22"/>
        <v>1.2818992289435116</v>
      </c>
      <c r="Q28" s="133">
        <f t="shared" si="22"/>
        <v>1.2270000000000001</v>
      </c>
      <c r="R28" s="133">
        <f t="shared" si="22"/>
        <v>0</v>
      </c>
      <c r="S28" s="133">
        <f t="shared" si="22"/>
        <v>0</v>
      </c>
      <c r="T28" s="133">
        <f t="shared" si="22"/>
        <v>0</v>
      </c>
      <c r="U28" s="133">
        <f t="shared" si="23"/>
        <v>0</v>
      </c>
      <c r="W28" s="308">
        <f t="shared" si="24"/>
        <v>0</v>
      </c>
      <c r="X28" s="308">
        <f t="shared" si="5"/>
        <v>31.429068598488616</v>
      </c>
      <c r="Y28" s="308">
        <f t="shared" si="6"/>
        <v>31.333411137829401</v>
      </c>
      <c r="Z28" s="308">
        <f t="shared" si="7"/>
        <v>0</v>
      </c>
      <c r="AA28" s="308">
        <f t="shared" si="8"/>
        <v>0</v>
      </c>
      <c r="AB28" s="308">
        <f t="shared" si="9"/>
        <v>0</v>
      </c>
      <c r="AC28" s="308">
        <f t="shared" si="10"/>
        <v>0</v>
      </c>
      <c r="AD28" s="308">
        <f t="shared" si="11"/>
        <v>0</v>
      </c>
      <c r="AE28" s="308">
        <f t="shared" si="12"/>
        <v>0</v>
      </c>
      <c r="AF28" s="308">
        <f t="shared" si="13"/>
        <v>0</v>
      </c>
      <c r="AG28" s="308">
        <f t="shared" si="14"/>
        <v>0</v>
      </c>
      <c r="AH28" s="308">
        <f t="shared" si="15"/>
        <v>33.579349910970684</v>
      </c>
      <c r="AI28" s="308">
        <f t="shared" si="16"/>
        <v>32.141264625549319</v>
      </c>
      <c r="AJ28" s="308">
        <f t="shared" si="17"/>
        <v>0</v>
      </c>
      <c r="AK28" s="308">
        <f t="shared" si="18"/>
        <v>0</v>
      </c>
      <c r="AL28" s="308">
        <f t="shared" si="19"/>
        <v>0</v>
      </c>
      <c r="AN28" s="327">
        <f t="shared" si="25"/>
        <v>32.120773568209508</v>
      </c>
      <c r="AO28" s="331">
        <f t="shared" si="26"/>
        <v>26.194999694824219</v>
      </c>
      <c r="AP28" s="315"/>
      <c r="AQ28" s="315"/>
      <c r="AR28" s="315"/>
      <c r="AZ28" s="263">
        <v>23</v>
      </c>
      <c r="BA28" s="281">
        <f>PJM_01212000!AQ31</f>
        <v>0.67249999999999999</v>
      </c>
      <c r="BB28" s="282">
        <f>PJM_01212000!AR31</f>
        <v>0.67249999999999999</v>
      </c>
      <c r="BC28" s="282">
        <f>PJM_01212000!AS31</f>
        <v>0.6825</v>
      </c>
      <c r="BD28" s="282">
        <f>PJM_01212000!AT31</f>
        <v>0.86893522761223685</v>
      </c>
      <c r="BE28" s="282">
        <f>PJM_01212000!AU31</f>
        <v>0.83226116571381781</v>
      </c>
      <c r="BF28" s="282">
        <f>PJM_01212000!AV31</f>
        <v>0.73668581973744907</v>
      </c>
      <c r="BG28" s="282">
        <f>PJM_01212000!AW31</f>
        <v>0.6641701566664201</v>
      </c>
      <c r="BH28" s="282">
        <f>PJM_01212000!AX31</f>
        <v>0.72343479545742373</v>
      </c>
      <c r="BI28" s="282">
        <f>PJM_01212000!AY31</f>
        <v>0.72041455331148319</v>
      </c>
      <c r="BJ28" s="282">
        <f>PJM_01212000!AZ31</f>
        <v>0.75600000000000001</v>
      </c>
      <c r="BK28" s="282">
        <f>PJM_01212000!BA31</f>
        <v>0.73050000000000004</v>
      </c>
      <c r="BL28" s="283">
        <f>PJM_01212000!BB31</f>
        <v>0.70250000000000001</v>
      </c>
      <c r="BM28" s="312">
        <f t="shared" si="2"/>
        <v>8.7624017184988308</v>
      </c>
    </row>
    <row r="29" spans="2:65" ht="14.4" thickBot="1">
      <c r="B29" s="102">
        <f t="shared" si="20"/>
        <v>2</v>
      </c>
      <c r="C29" s="113">
        <f>PJM_01212000!A13</f>
        <v>36574</v>
      </c>
      <c r="D29" s="315">
        <f>PJM_01212000!C13</f>
        <v>26.194999694824219</v>
      </c>
      <c r="E29" s="133">
        <f t="shared" si="21"/>
        <v>0</v>
      </c>
      <c r="F29" s="133">
        <f t="shared" si="22"/>
        <v>1.1998117566192825</v>
      </c>
      <c r="G29" s="133">
        <f t="shared" si="22"/>
        <v>1.1961600115620716</v>
      </c>
      <c r="H29" s="133">
        <f t="shared" si="22"/>
        <v>0</v>
      </c>
      <c r="I29" s="133">
        <f t="shared" si="22"/>
        <v>0</v>
      </c>
      <c r="J29" s="133">
        <f t="shared" si="22"/>
        <v>0</v>
      </c>
      <c r="K29" s="133">
        <f t="shared" si="22"/>
        <v>0</v>
      </c>
      <c r="L29" s="133">
        <f t="shared" si="22"/>
        <v>0</v>
      </c>
      <c r="M29" s="133">
        <f t="shared" si="22"/>
        <v>0</v>
      </c>
      <c r="N29" s="133">
        <f t="shared" si="22"/>
        <v>0</v>
      </c>
      <c r="O29" s="133">
        <f t="shared" si="22"/>
        <v>0</v>
      </c>
      <c r="P29" s="133">
        <f t="shared" si="22"/>
        <v>1.2818992289435116</v>
      </c>
      <c r="Q29" s="133">
        <f t="shared" si="22"/>
        <v>1.2270000000000001</v>
      </c>
      <c r="R29" s="133">
        <f t="shared" si="22"/>
        <v>0</v>
      </c>
      <c r="S29" s="133">
        <f t="shared" si="22"/>
        <v>0</v>
      </c>
      <c r="T29" s="133">
        <f t="shared" si="22"/>
        <v>0</v>
      </c>
      <c r="U29" s="133">
        <f t="shared" si="23"/>
        <v>0</v>
      </c>
      <c r="W29" s="308">
        <f t="shared" si="24"/>
        <v>0</v>
      </c>
      <c r="X29" s="308">
        <f t="shared" si="5"/>
        <v>31.429068598488616</v>
      </c>
      <c r="Y29" s="308">
        <f t="shared" si="6"/>
        <v>31.333411137829401</v>
      </c>
      <c r="Z29" s="308">
        <f t="shared" si="7"/>
        <v>0</v>
      </c>
      <c r="AA29" s="308">
        <f t="shared" si="8"/>
        <v>0</v>
      </c>
      <c r="AB29" s="308">
        <f t="shared" si="9"/>
        <v>0</v>
      </c>
      <c r="AC29" s="308">
        <f t="shared" si="10"/>
        <v>0</v>
      </c>
      <c r="AD29" s="308">
        <f t="shared" si="11"/>
        <v>0</v>
      </c>
      <c r="AE29" s="308">
        <f t="shared" si="12"/>
        <v>0</v>
      </c>
      <c r="AF29" s="308">
        <f t="shared" si="13"/>
        <v>0</v>
      </c>
      <c r="AG29" s="308">
        <f t="shared" si="14"/>
        <v>0</v>
      </c>
      <c r="AH29" s="308">
        <f t="shared" si="15"/>
        <v>33.579349910970684</v>
      </c>
      <c r="AI29" s="308">
        <f t="shared" si="16"/>
        <v>32.141264625549319</v>
      </c>
      <c r="AJ29" s="308">
        <f t="shared" si="17"/>
        <v>0</v>
      </c>
      <c r="AK29" s="308">
        <f t="shared" si="18"/>
        <v>0</v>
      </c>
      <c r="AL29" s="308">
        <f t="shared" si="19"/>
        <v>0</v>
      </c>
      <c r="AN29" s="327">
        <f t="shared" si="25"/>
        <v>32.120773568209508</v>
      </c>
      <c r="AO29" s="331">
        <f t="shared" si="26"/>
        <v>26.194999694824219</v>
      </c>
      <c r="AP29" s="315"/>
      <c r="AQ29" s="315"/>
      <c r="AR29" s="315"/>
      <c r="AZ29" s="274">
        <v>24</v>
      </c>
      <c r="BA29" s="311">
        <f>PJM_01212000!AQ32</f>
        <v>1.2250000000000001</v>
      </c>
      <c r="BB29" s="311">
        <f>PJM_01212000!AR32</f>
        <v>1.2250000000000001</v>
      </c>
      <c r="BC29" s="311">
        <f>PJM_01212000!AS32</f>
        <v>1.0449999999999999</v>
      </c>
      <c r="BD29" s="311">
        <f>PJM_01212000!AT32</f>
        <v>1.0496774949890499</v>
      </c>
      <c r="BE29" s="311">
        <f>PJM_01212000!AU32</f>
        <v>1.1779685918573899</v>
      </c>
      <c r="BF29" s="311">
        <f>PJM_01212000!AV32</f>
        <v>1.3963883955002958</v>
      </c>
      <c r="BG29" s="311">
        <f>PJM_01212000!AW32</f>
        <v>1.2616588759647784</v>
      </c>
      <c r="BH29" s="311">
        <f>PJM_01212000!AX32</f>
        <v>1.2636171008350987</v>
      </c>
      <c r="BI29" s="311">
        <f>PJM_01212000!AY32</f>
        <v>1.1249920891082836</v>
      </c>
      <c r="BJ29" s="311">
        <f>PJM_01212000!AZ32</f>
        <v>1.0505</v>
      </c>
      <c r="BK29" s="311">
        <f>PJM_01212000!BA32</f>
        <v>1.0505</v>
      </c>
      <c r="BL29" s="311">
        <f>PJM_01212000!BB32</f>
        <v>1.0505</v>
      </c>
      <c r="BM29" s="316">
        <f t="shared" si="2"/>
        <v>13.920802548254894</v>
      </c>
    </row>
    <row r="30" spans="2:65">
      <c r="B30" s="102">
        <f t="shared" si="20"/>
        <v>2</v>
      </c>
      <c r="C30" s="113">
        <f>PJM_01212000!A14</f>
        <v>36575</v>
      </c>
      <c r="D30" s="315">
        <f>PJM_01212000!C14</f>
        <v>18.674999237060547</v>
      </c>
      <c r="E30" s="133">
        <f t="shared" si="21"/>
        <v>0</v>
      </c>
      <c r="F30" s="133">
        <f t="shared" si="22"/>
        <v>1.1998117566192825</v>
      </c>
      <c r="G30" s="133">
        <f t="shared" si="22"/>
        <v>1.1961600115620716</v>
      </c>
      <c r="H30" s="133">
        <f t="shared" si="22"/>
        <v>0</v>
      </c>
      <c r="I30" s="133">
        <f t="shared" si="22"/>
        <v>0</v>
      </c>
      <c r="J30" s="133">
        <f t="shared" si="22"/>
        <v>0</v>
      </c>
      <c r="K30" s="133">
        <f t="shared" si="22"/>
        <v>0</v>
      </c>
      <c r="L30" s="133">
        <f t="shared" si="22"/>
        <v>0</v>
      </c>
      <c r="M30" s="133">
        <f t="shared" si="22"/>
        <v>0</v>
      </c>
      <c r="N30" s="133">
        <f t="shared" si="22"/>
        <v>0</v>
      </c>
      <c r="O30" s="133">
        <f t="shared" si="22"/>
        <v>0</v>
      </c>
      <c r="P30" s="133">
        <f t="shared" si="22"/>
        <v>1.2818992289435116</v>
      </c>
      <c r="Q30" s="133">
        <f t="shared" si="22"/>
        <v>1.2270000000000001</v>
      </c>
      <c r="R30" s="133">
        <f t="shared" si="22"/>
        <v>0</v>
      </c>
      <c r="S30" s="133">
        <f t="shared" si="22"/>
        <v>0</v>
      </c>
      <c r="T30" s="133">
        <f t="shared" si="22"/>
        <v>0</v>
      </c>
      <c r="U30" s="133">
        <f t="shared" si="23"/>
        <v>0</v>
      </c>
      <c r="W30" s="308">
        <f t="shared" si="24"/>
        <v>0</v>
      </c>
      <c r="X30" s="308">
        <f t="shared" si="5"/>
        <v>22.406483639481376</v>
      </c>
      <c r="Y30" s="308">
        <f t="shared" si="6"/>
        <v>22.338287303324023</v>
      </c>
      <c r="Z30" s="308">
        <f t="shared" si="7"/>
        <v>0</v>
      </c>
      <c r="AA30" s="308">
        <f t="shared" si="8"/>
        <v>0</v>
      </c>
      <c r="AB30" s="308">
        <f t="shared" si="9"/>
        <v>0</v>
      </c>
      <c r="AC30" s="308">
        <f t="shared" si="10"/>
        <v>0</v>
      </c>
      <c r="AD30" s="308">
        <f t="shared" si="11"/>
        <v>0</v>
      </c>
      <c r="AE30" s="308">
        <f t="shared" si="12"/>
        <v>0</v>
      </c>
      <c r="AF30" s="308">
        <f t="shared" si="13"/>
        <v>0</v>
      </c>
      <c r="AG30" s="308">
        <f t="shared" si="14"/>
        <v>0</v>
      </c>
      <c r="AH30" s="308">
        <f t="shared" si="15"/>
        <v>23.939467122508582</v>
      </c>
      <c r="AI30" s="308">
        <f t="shared" si="16"/>
        <v>22.914224063873291</v>
      </c>
      <c r="AJ30" s="308">
        <f t="shared" si="17"/>
        <v>0</v>
      </c>
      <c r="AK30" s="308">
        <f t="shared" si="18"/>
        <v>0</v>
      </c>
      <c r="AL30" s="308">
        <f t="shared" si="19"/>
        <v>0</v>
      </c>
      <c r="AN30" s="327">
        <f t="shared" si="25"/>
        <v>22.899615532296821</v>
      </c>
      <c r="AO30" s="331">
        <f t="shared" si="26"/>
        <v>18.674999237060547</v>
      </c>
      <c r="AP30" s="315"/>
      <c r="AQ30" s="315"/>
      <c r="AR30" s="315"/>
    </row>
    <row r="31" spans="2:65">
      <c r="B31" s="102">
        <f t="shared" si="20"/>
        <v>2</v>
      </c>
      <c r="C31" s="113">
        <f>PJM_01212000!A15</f>
        <v>36576</v>
      </c>
      <c r="D31" s="315">
        <f>PJM_01212000!C15</f>
        <v>18.774999618530273</v>
      </c>
      <c r="E31" s="133">
        <f t="shared" si="21"/>
        <v>0</v>
      </c>
      <c r="F31" s="133">
        <f t="shared" si="22"/>
        <v>1.1998117566192825</v>
      </c>
      <c r="G31" s="133">
        <f t="shared" si="22"/>
        <v>1.1961600115620716</v>
      </c>
      <c r="H31" s="133">
        <f t="shared" si="22"/>
        <v>0</v>
      </c>
      <c r="I31" s="133">
        <f t="shared" si="22"/>
        <v>0</v>
      </c>
      <c r="J31" s="133">
        <f t="shared" si="22"/>
        <v>0</v>
      </c>
      <c r="K31" s="133">
        <f t="shared" si="22"/>
        <v>0</v>
      </c>
      <c r="L31" s="133">
        <f t="shared" si="22"/>
        <v>0</v>
      </c>
      <c r="M31" s="133">
        <f t="shared" si="22"/>
        <v>0</v>
      </c>
      <c r="N31" s="133">
        <f t="shared" si="22"/>
        <v>0</v>
      </c>
      <c r="O31" s="133">
        <f t="shared" si="22"/>
        <v>0</v>
      </c>
      <c r="P31" s="133">
        <f t="shared" si="22"/>
        <v>1.2818992289435116</v>
      </c>
      <c r="Q31" s="133">
        <f t="shared" si="22"/>
        <v>1.2270000000000001</v>
      </c>
      <c r="R31" s="133">
        <f t="shared" si="22"/>
        <v>0</v>
      </c>
      <c r="S31" s="133">
        <f t="shared" si="22"/>
        <v>0</v>
      </c>
      <c r="T31" s="133">
        <f t="shared" si="22"/>
        <v>0</v>
      </c>
      <c r="U31" s="133">
        <f t="shared" si="23"/>
        <v>0</v>
      </c>
      <c r="W31" s="308">
        <f t="shared" si="24"/>
        <v>0</v>
      </c>
      <c r="X31" s="308">
        <f t="shared" si="5"/>
        <v>22.526465272835168</v>
      </c>
      <c r="Y31" s="308">
        <f t="shared" si="6"/>
        <v>22.457903760779061</v>
      </c>
      <c r="Z31" s="308">
        <f t="shared" si="7"/>
        <v>0</v>
      </c>
      <c r="AA31" s="308">
        <f t="shared" si="8"/>
        <v>0</v>
      </c>
      <c r="AB31" s="308">
        <f t="shared" si="9"/>
        <v>0</v>
      </c>
      <c r="AC31" s="308">
        <f t="shared" si="10"/>
        <v>0</v>
      </c>
      <c r="AD31" s="308">
        <f t="shared" si="11"/>
        <v>0</v>
      </c>
      <c r="AE31" s="308">
        <f t="shared" si="12"/>
        <v>0</v>
      </c>
      <c r="AF31" s="308">
        <f t="shared" si="13"/>
        <v>0</v>
      </c>
      <c r="AG31" s="308">
        <f t="shared" si="14"/>
        <v>0</v>
      </c>
      <c r="AH31" s="308">
        <f t="shared" si="15"/>
        <v>24.067657534408681</v>
      </c>
      <c r="AI31" s="308">
        <f t="shared" si="16"/>
        <v>23.036924531936648</v>
      </c>
      <c r="AJ31" s="308">
        <f t="shared" si="17"/>
        <v>0</v>
      </c>
      <c r="AK31" s="308">
        <f t="shared" si="18"/>
        <v>0</v>
      </c>
      <c r="AL31" s="308">
        <f t="shared" si="19"/>
        <v>0</v>
      </c>
      <c r="AN31" s="327">
        <f t="shared" si="25"/>
        <v>23.02223777498989</v>
      </c>
      <c r="AO31" s="331">
        <f t="shared" si="26"/>
        <v>18.774999618530273</v>
      </c>
      <c r="AP31" s="315"/>
      <c r="AQ31" s="315"/>
      <c r="AR31" s="315"/>
    </row>
    <row r="32" spans="2:65">
      <c r="B32" s="102">
        <f t="shared" si="20"/>
        <v>2</v>
      </c>
      <c r="C32" s="113">
        <f>PJM_01212000!A16</f>
        <v>36577</v>
      </c>
      <c r="D32" s="315">
        <f>PJM_01212000!C16</f>
        <v>27.004999160766602</v>
      </c>
      <c r="E32" s="133">
        <f t="shared" si="21"/>
        <v>0</v>
      </c>
      <c r="F32" s="133">
        <f t="shared" si="22"/>
        <v>1.1998117566192825</v>
      </c>
      <c r="G32" s="133">
        <f t="shared" si="22"/>
        <v>1.1961600115620716</v>
      </c>
      <c r="H32" s="133">
        <f t="shared" si="22"/>
        <v>0</v>
      </c>
      <c r="I32" s="133">
        <f t="shared" si="22"/>
        <v>0</v>
      </c>
      <c r="J32" s="133">
        <f t="shared" si="22"/>
        <v>0</v>
      </c>
      <c r="K32" s="133">
        <f t="shared" si="22"/>
        <v>0</v>
      </c>
      <c r="L32" s="133">
        <f t="shared" si="22"/>
        <v>0</v>
      </c>
      <c r="M32" s="133">
        <f t="shared" si="22"/>
        <v>0</v>
      </c>
      <c r="N32" s="133">
        <f t="shared" si="22"/>
        <v>0</v>
      </c>
      <c r="O32" s="133">
        <f t="shared" si="22"/>
        <v>0</v>
      </c>
      <c r="P32" s="133">
        <f t="shared" si="22"/>
        <v>1.2818992289435116</v>
      </c>
      <c r="Q32" s="133">
        <f t="shared" si="22"/>
        <v>1.2270000000000001</v>
      </c>
      <c r="R32" s="133">
        <f t="shared" si="22"/>
        <v>0</v>
      </c>
      <c r="S32" s="133">
        <f t="shared" si="22"/>
        <v>0</v>
      </c>
      <c r="T32" s="133">
        <f t="shared" si="22"/>
        <v>0</v>
      </c>
      <c r="U32" s="133">
        <f t="shared" si="23"/>
        <v>0</v>
      </c>
      <c r="W32" s="308">
        <f t="shared" si="24"/>
        <v>0</v>
      </c>
      <c r="X32" s="308">
        <f t="shared" si="5"/>
        <v>32.400915480581624</v>
      </c>
      <c r="Y32" s="308">
        <f t="shared" si="6"/>
        <v>32.302300108376315</v>
      </c>
      <c r="Z32" s="308">
        <f t="shared" si="7"/>
        <v>0</v>
      </c>
      <c r="AA32" s="308">
        <f t="shared" si="8"/>
        <v>0</v>
      </c>
      <c r="AB32" s="308">
        <f t="shared" si="9"/>
        <v>0</v>
      </c>
      <c r="AC32" s="308">
        <f t="shared" si="10"/>
        <v>0</v>
      </c>
      <c r="AD32" s="308">
        <f t="shared" si="11"/>
        <v>0</v>
      </c>
      <c r="AE32" s="308">
        <f t="shared" si="12"/>
        <v>0</v>
      </c>
      <c r="AF32" s="308">
        <f t="shared" si="13"/>
        <v>0</v>
      </c>
      <c r="AG32" s="308">
        <f t="shared" si="14"/>
        <v>0</v>
      </c>
      <c r="AH32" s="308">
        <f t="shared" si="15"/>
        <v>34.617687601806885</v>
      </c>
      <c r="AI32" s="308">
        <f t="shared" si="16"/>
        <v>33.135133970260625</v>
      </c>
      <c r="AJ32" s="308">
        <f t="shared" si="17"/>
        <v>0</v>
      </c>
      <c r="AK32" s="308">
        <f t="shared" si="18"/>
        <v>0</v>
      </c>
      <c r="AL32" s="308">
        <f t="shared" si="19"/>
        <v>0</v>
      </c>
      <c r="AN32" s="327">
        <f t="shared" si="25"/>
        <v>33.114009290256362</v>
      </c>
      <c r="AO32" s="331">
        <f t="shared" si="26"/>
        <v>27.004999160766602</v>
      </c>
      <c r="AP32" s="315"/>
      <c r="AQ32" s="315"/>
      <c r="AR32" s="315"/>
    </row>
    <row r="33" spans="2:44">
      <c r="B33" s="102">
        <f t="shared" si="20"/>
        <v>2</v>
      </c>
      <c r="C33" s="113">
        <f>PJM_01212000!A17</f>
        <v>36578</v>
      </c>
      <c r="D33" s="315">
        <f>PJM_01212000!C17</f>
        <v>26.194999694824219</v>
      </c>
      <c r="E33" s="133">
        <f t="shared" si="21"/>
        <v>0</v>
      </c>
      <c r="F33" s="133">
        <f t="shared" si="22"/>
        <v>1.1998117566192825</v>
      </c>
      <c r="G33" s="133">
        <f t="shared" si="22"/>
        <v>1.1961600115620716</v>
      </c>
      <c r="H33" s="133">
        <f t="shared" si="22"/>
        <v>0</v>
      </c>
      <c r="I33" s="133">
        <f t="shared" si="22"/>
        <v>0</v>
      </c>
      <c r="J33" s="133">
        <f t="shared" si="22"/>
        <v>0</v>
      </c>
      <c r="K33" s="133">
        <f t="shared" si="22"/>
        <v>0</v>
      </c>
      <c r="L33" s="133">
        <f t="shared" si="22"/>
        <v>0</v>
      </c>
      <c r="M33" s="133">
        <f t="shared" si="22"/>
        <v>0</v>
      </c>
      <c r="N33" s="133">
        <f t="shared" si="22"/>
        <v>0</v>
      </c>
      <c r="O33" s="133">
        <f t="shared" si="22"/>
        <v>0</v>
      </c>
      <c r="P33" s="133">
        <f t="shared" si="22"/>
        <v>1.2818992289435116</v>
      </c>
      <c r="Q33" s="133">
        <f t="shared" si="22"/>
        <v>1.2270000000000001</v>
      </c>
      <c r="R33" s="133">
        <f t="shared" si="22"/>
        <v>0</v>
      </c>
      <c r="S33" s="133">
        <f t="shared" si="22"/>
        <v>0</v>
      </c>
      <c r="T33" s="133">
        <f t="shared" si="22"/>
        <v>0</v>
      </c>
      <c r="U33" s="133">
        <f t="shared" si="23"/>
        <v>0</v>
      </c>
      <c r="W33" s="308">
        <f t="shared" si="24"/>
        <v>0</v>
      </c>
      <c r="X33" s="308">
        <f t="shared" si="5"/>
        <v>31.429068598488616</v>
      </c>
      <c r="Y33" s="308">
        <f t="shared" si="6"/>
        <v>31.333411137829401</v>
      </c>
      <c r="Z33" s="308">
        <f t="shared" si="7"/>
        <v>0</v>
      </c>
      <c r="AA33" s="308">
        <f t="shared" si="8"/>
        <v>0</v>
      </c>
      <c r="AB33" s="308">
        <f t="shared" si="9"/>
        <v>0</v>
      </c>
      <c r="AC33" s="308">
        <f t="shared" si="10"/>
        <v>0</v>
      </c>
      <c r="AD33" s="308">
        <f t="shared" si="11"/>
        <v>0</v>
      </c>
      <c r="AE33" s="308">
        <f t="shared" si="12"/>
        <v>0</v>
      </c>
      <c r="AF33" s="308">
        <f t="shared" si="13"/>
        <v>0</v>
      </c>
      <c r="AG33" s="308">
        <f t="shared" si="14"/>
        <v>0</v>
      </c>
      <c r="AH33" s="308">
        <f t="shared" si="15"/>
        <v>33.579349910970684</v>
      </c>
      <c r="AI33" s="308">
        <f t="shared" si="16"/>
        <v>32.141264625549319</v>
      </c>
      <c r="AJ33" s="308">
        <f t="shared" si="17"/>
        <v>0</v>
      </c>
      <c r="AK33" s="308">
        <f t="shared" si="18"/>
        <v>0</v>
      </c>
      <c r="AL33" s="308">
        <f t="shared" si="19"/>
        <v>0</v>
      </c>
      <c r="AN33" s="327">
        <f t="shared" si="25"/>
        <v>32.120773568209508</v>
      </c>
      <c r="AO33" s="331">
        <f t="shared" si="26"/>
        <v>26.194999694824219</v>
      </c>
      <c r="AP33" s="315"/>
      <c r="AQ33" s="315"/>
      <c r="AR33" s="315"/>
    </row>
    <row r="34" spans="2:44">
      <c r="B34" s="102">
        <f t="shared" si="20"/>
        <v>2</v>
      </c>
      <c r="C34" s="113">
        <f>PJM_01212000!A18</f>
        <v>36579</v>
      </c>
      <c r="D34" s="315">
        <f>PJM_01212000!C18</f>
        <v>26.194999694824219</v>
      </c>
      <c r="E34" s="133">
        <f t="shared" si="21"/>
        <v>0</v>
      </c>
      <c r="F34" s="133">
        <f t="shared" si="22"/>
        <v>1.1998117566192825</v>
      </c>
      <c r="G34" s="133">
        <f t="shared" si="22"/>
        <v>1.1961600115620716</v>
      </c>
      <c r="H34" s="133">
        <f t="shared" si="22"/>
        <v>0</v>
      </c>
      <c r="I34" s="133">
        <f t="shared" si="22"/>
        <v>0</v>
      </c>
      <c r="J34" s="133">
        <f t="shared" si="22"/>
        <v>0</v>
      </c>
      <c r="K34" s="133">
        <f t="shared" si="22"/>
        <v>0</v>
      </c>
      <c r="L34" s="133">
        <f t="shared" si="22"/>
        <v>0</v>
      </c>
      <c r="M34" s="133">
        <f t="shared" si="22"/>
        <v>0</v>
      </c>
      <c r="N34" s="133">
        <f t="shared" si="22"/>
        <v>0</v>
      </c>
      <c r="O34" s="133">
        <f t="shared" si="22"/>
        <v>0</v>
      </c>
      <c r="P34" s="133">
        <f t="shared" si="22"/>
        <v>1.2818992289435116</v>
      </c>
      <c r="Q34" s="133">
        <f t="shared" si="22"/>
        <v>1.2270000000000001</v>
      </c>
      <c r="R34" s="133">
        <f t="shared" si="22"/>
        <v>0</v>
      </c>
      <c r="S34" s="133">
        <f t="shared" si="22"/>
        <v>0</v>
      </c>
      <c r="T34" s="133">
        <f t="shared" si="22"/>
        <v>0</v>
      </c>
      <c r="U34" s="133">
        <f t="shared" si="23"/>
        <v>0</v>
      </c>
      <c r="W34" s="308">
        <f t="shared" si="24"/>
        <v>0</v>
      </c>
      <c r="X34" s="308">
        <f t="shared" si="5"/>
        <v>31.429068598488616</v>
      </c>
      <c r="Y34" s="308">
        <f t="shared" si="6"/>
        <v>31.333411137829401</v>
      </c>
      <c r="Z34" s="308">
        <f t="shared" si="7"/>
        <v>0</v>
      </c>
      <c r="AA34" s="308">
        <f t="shared" si="8"/>
        <v>0</v>
      </c>
      <c r="AB34" s="308">
        <f t="shared" si="9"/>
        <v>0</v>
      </c>
      <c r="AC34" s="308">
        <f t="shared" si="10"/>
        <v>0</v>
      </c>
      <c r="AD34" s="308">
        <f t="shared" si="11"/>
        <v>0</v>
      </c>
      <c r="AE34" s="308">
        <f t="shared" si="12"/>
        <v>0</v>
      </c>
      <c r="AF34" s="308">
        <f t="shared" si="13"/>
        <v>0</v>
      </c>
      <c r="AG34" s="308">
        <f t="shared" si="14"/>
        <v>0</v>
      </c>
      <c r="AH34" s="308">
        <f t="shared" si="15"/>
        <v>33.579349910970684</v>
      </c>
      <c r="AI34" s="308">
        <f t="shared" si="16"/>
        <v>32.141264625549319</v>
      </c>
      <c r="AJ34" s="308">
        <f t="shared" si="17"/>
        <v>0</v>
      </c>
      <c r="AK34" s="308">
        <f t="shared" si="18"/>
        <v>0</v>
      </c>
      <c r="AL34" s="308">
        <f t="shared" si="19"/>
        <v>0</v>
      </c>
      <c r="AN34" s="327">
        <f t="shared" si="25"/>
        <v>32.120773568209508</v>
      </c>
      <c r="AO34" s="331">
        <f t="shared" si="26"/>
        <v>26.194999694824219</v>
      </c>
      <c r="AP34" s="315"/>
      <c r="AQ34" s="315"/>
      <c r="AR34" s="315"/>
    </row>
    <row r="35" spans="2:44">
      <c r="B35" s="102">
        <f t="shared" si="20"/>
        <v>2</v>
      </c>
      <c r="C35" s="113">
        <f>PJM_01212000!A19</f>
        <v>36580</v>
      </c>
      <c r="D35" s="315">
        <f>PJM_01212000!C19</f>
        <v>26.194999694824219</v>
      </c>
      <c r="E35" s="133">
        <f t="shared" si="21"/>
        <v>0</v>
      </c>
      <c r="F35" s="133">
        <f t="shared" si="22"/>
        <v>1.1998117566192825</v>
      </c>
      <c r="G35" s="133">
        <f t="shared" si="22"/>
        <v>1.1961600115620716</v>
      </c>
      <c r="H35" s="133">
        <f t="shared" si="22"/>
        <v>0</v>
      </c>
      <c r="I35" s="133">
        <f t="shared" si="22"/>
        <v>0</v>
      </c>
      <c r="J35" s="133">
        <f t="shared" si="22"/>
        <v>0</v>
      </c>
      <c r="K35" s="133">
        <f t="shared" si="22"/>
        <v>0</v>
      </c>
      <c r="L35" s="133">
        <f t="shared" si="22"/>
        <v>0</v>
      </c>
      <c r="M35" s="133">
        <f t="shared" si="22"/>
        <v>0</v>
      </c>
      <c r="N35" s="133">
        <f t="shared" si="22"/>
        <v>0</v>
      </c>
      <c r="O35" s="133">
        <f t="shared" si="22"/>
        <v>0</v>
      </c>
      <c r="P35" s="133">
        <f t="shared" si="22"/>
        <v>1.2818992289435116</v>
      </c>
      <c r="Q35" s="133">
        <f t="shared" si="22"/>
        <v>1.2270000000000001</v>
      </c>
      <c r="R35" s="133">
        <f t="shared" si="22"/>
        <v>0</v>
      </c>
      <c r="S35" s="133">
        <f t="shared" si="22"/>
        <v>0</v>
      </c>
      <c r="T35" s="133">
        <f t="shared" si="22"/>
        <v>0</v>
      </c>
      <c r="U35" s="133">
        <f t="shared" si="23"/>
        <v>0</v>
      </c>
      <c r="W35" s="308">
        <f t="shared" si="24"/>
        <v>0</v>
      </c>
      <c r="X35" s="308">
        <f t="shared" si="5"/>
        <v>31.429068598488616</v>
      </c>
      <c r="Y35" s="308">
        <f t="shared" si="6"/>
        <v>31.333411137829401</v>
      </c>
      <c r="Z35" s="308">
        <f t="shared" si="7"/>
        <v>0</v>
      </c>
      <c r="AA35" s="308">
        <f t="shared" si="8"/>
        <v>0</v>
      </c>
      <c r="AB35" s="308">
        <f t="shared" si="9"/>
        <v>0</v>
      </c>
      <c r="AC35" s="308">
        <f t="shared" si="10"/>
        <v>0</v>
      </c>
      <c r="AD35" s="308">
        <f t="shared" si="11"/>
        <v>0</v>
      </c>
      <c r="AE35" s="308">
        <f t="shared" si="12"/>
        <v>0</v>
      </c>
      <c r="AF35" s="308">
        <f t="shared" si="13"/>
        <v>0</v>
      </c>
      <c r="AG35" s="308">
        <f t="shared" si="14"/>
        <v>0</v>
      </c>
      <c r="AH35" s="308">
        <f t="shared" si="15"/>
        <v>33.579349910970684</v>
      </c>
      <c r="AI35" s="308">
        <f t="shared" si="16"/>
        <v>32.141264625549319</v>
      </c>
      <c r="AJ35" s="308">
        <f t="shared" si="17"/>
        <v>0</v>
      </c>
      <c r="AK35" s="308">
        <f t="shared" si="18"/>
        <v>0</v>
      </c>
      <c r="AL35" s="308">
        <f t="shared" si="19"/>
        <v>0</v>
      </c>
      <c r="AN35" s="327">
        <f t="shared" si="25"/>
        <v>32.120773568209508</v>
      </c>
      <c r="AO35" s="331">
        <f t="shared" si="26"/>
        <v>26.194999694824219</v>
      </c>
      <c r="AP35" s="315"/>
      <c r="AQ35" s="315"/>
      <c r="AR35" s="315"/>
    </row>
    <row r="36" spans="2:44">
      <c r="B36" s="102">
        <f t="shared" si="20"/>
        <v>2</v>
      </c>
      <c r="C36" s="113">
        <f>PJM_01212000!A20</f>
        <v>36581</v>
      </c>
      <c r="D36" s="315">
        <f>PJM_01212000!C20</f>
        <v>26.194999694824219</v>
      </c>
      <c r="E36" s="133">
        <f t="shared" si="21"/>
        <v>0</v>
      </c>
      <c r="F36" s="133">
        <f t="shared" si="22"/>
        <v>1.1998117566192825</v>
      </c>
      <c r="G36" s="133">
        <f t="shared" si="22"/>
        <v>1.1961600115620716</v>
      </c>
      <c r="H36" s="133">
        <f t="shared" si="22"/>
        <v>0</v>
      </c>
      <c r="I36" s="133">
        <f t="shared" si="22"/>
        <v>0</v>
      </c>
      <c r="J36" s="133">
        <f t="shared" si="22"/>
        <v>0</v>
      </c>
      <c r="K36" s="133">
        <f t="shared" si="22"/>
        <v>0</v>
      </c>
      <c r="L36" s="133">
        <f t="shared" si="22"/>
        <v>0</v>
      </c>
      <c r="M36" s="133">
        <f t="shared" si="22"/>
        <v>0</v>
      </c>
      <c r="N36" s="133">
        <f t="shared" si="22"/>
        <v>0</v>
      </c>
      <c r="O36" s="133">
        <f t="shared" si="22"/>
        <v>0</v>
      </c>
      <c r="P36" s="133">
        <f t="shared" si="22"/>
        <v>1.2818992289435116</v>
      </c>
      <c r="Q36" s="133">
        <f t="shared" si="22"/>
        <v>1.2270000000000001</v>
      </c>
      <c r="R36" s="133">
        <f t="shared" si="22"/>
        <v>0</v>
      </c>
      <c r="S36" s="133">
        <f t="shared" si="22"/>
        <v>0</v>
      </c>
      <c r="T36" s="133">
        <f t="shared" si="22"/>
        <v>0</v>
      </c>
      <c r="U36" s="133">
        <f t="shared" si="23"/>
        <v>0</v>
      </c>
      <c r="W36" s="308">
        <f t="shared" si="24"/>
        <v>0</v>
      </c>
      <c r="X36" s="308">
        <f t="shared" si="5"/>
        <v>31.429068598488616</v>
      </c>
      <c r="Y36" s="308">
        <f t="shared" si="6"/>
        <v>31.333411137829401</v>
      </c>
      <c r="Z36" s="308">
        <f t="shared" si="7"/>
        <v>0</v>
      </c>
      <c r="AA36" s="308">
        <f t="shared" si="8"/>
        <v>0</v>
      </c>
      <c r="AB36" s="308">
        <f t="shared" si="9"/>
        <v>0</v>
      </c>
      <c r="AC36" s="308">
        <f t="shared" si="10"/>
        <v>0</v>
      </c>
      <c r="AD36" s="308">
        <f t="shared" si="11"/>
        <v>0</v>
      </c>
      <c r="AE36" s="308">
        <f t="shared" si="12"/>
        <v>0</v>
      </c>
      <c r="AF36" s="308">
        <f t="shared" si="13"/>
        <v>0</v>
      </c>
      <c r="AG36" s="308">
        <f t="shared" si="14"/>
        <v>0</v>
      </c>
      <c r="AH36" s="308">
        <f t="shared" si="15"/>
        <v>33.579349910970684</v>
      </c>
      <c r="AI36" s="308">
        <f t="shared" si="16"/>
        <v>32.141264625549319</v>
      </c>
      <c r="AJ36" s="308">
        <f t="shared" si="17"/>
        <v>0</v>
      </c>
      <c r="AK36" s="308">
        <f t="shared" si="18"/>
        <v>0</v>
      </c>
      <c r="AL36" s="308">
        <f t="shared" si="19"/>
        <v>0</v>
      </c>
      <c r="AN36" s="327">
        <f t="shared" si="25"/>
        <v>32.120773568209508</v>
      </c>
      <c r="AO36" s="331">
        <f t="shared" si="26"/>
        <v>26.194999694824219</v>
      </c>
      <c r="AP36" s="315"/>
      <c r="AQ36" s="315"/>
      <c r="AR36" s="315"/>
    </row>
    <row r="37" spans="2:44">
      <c r="B37" s="102">
        <f t="shared" si="20"/>
        <v>2</v>
      </c>
      <c r="C37" s="113">
        <f>PJM_01212000!A21</f>
        <v>36582</v>
      </c>
      <c r="D37" s="315">
        <f>PJM_01212000!C21</f>
        <v>18.375</v>
      </c>
      <c r="E37" s="133">
        <f t="shared" si="21"/>
        <v>0</v>
      </c>
      <c r="F37" s="133">
        <f t="shared" si="22"/>
        <v>1.1998117566192825</v>
      </c>
      <c r="G37" s="133">
        <f t="shared" si="22"/>
        <v>1.1961600115620716</v>
      </c>
      <c r="H37" s="133">
        <f t="shared" si="22"/>
        <v>0</v>
      </c>
      <c r="I37" s="133">
        <f t="shared" si="22"/>
        <v>0</v>
      </c>
      <c r="J37" s="133">
        <f t="shared" si="22"/>
        <v>0</v>
      </c>
      <c r="K37" s="133">
        <f t="shared" si="22"/>
        <v>0</v>
      </c>
      <c r="L37" s="133">
        <f t="shared" si="22"/>
        <v>0</v>
      </c>
      <c r="M37" s="133">
        <f t="shared" si="22"/>
        <v>0</v>
      </c>
      <c r="N37" s="133">
        <f t="shared" si="22"/>
        <v>0</v>
      </c>
      <c r="O37" s="133">
        <f t="shared" si="22"/>
        <v>0</v>
      </c>
      <c r="P37" s="133">
        <f t="shared" si="22"/>
        <v>1.2818992289435116</v>
      </c>
      <c r="Q37" s="133">
        <f t="shared" si="22"/>
        <v>1.2270000000000001</v>
      </c>
      <c r="R37" s="133">
        <f t="shared" si="22"/>
        <v>0</v>
      </c>
      <c r="S37" s="133">
        <f t="shared" si="22"/>
        <v>0</v>
      </c>
      <c r="T37" s="133">
        <f t="shared" si="22"/>
        <v>0</v>
      </c>
      <c r="U37" s="133">
        <f t="shared" si="23"/>
        <v>0</v>
      </c>
      <c r="W37" s="308">
        <f t="shared" si="24"/>
        <v>0</v>
      </c>
      <c r="X37" s="308">
        <f t="shared" si="5"/>
        <v>22.046541027879318</v>
      </c>
      <c r="Y37" s="308">
        <f t="shared" si="6"/>
        <v>21.979440212453067</v>
      </c>
      <c r="Z37" s="308">
        <f t="shared" si="7"/>
        <v>0</v>
      </c>
      <c r="AA37" s="308">
        <f t="shared" si="8"/>
        <v>0</v>
      </c>
      <c r="AB37" s="308">
        <f t="shared" si="9"/>
        <v>0</v>
      </c>
      <c r="AC37" s="308">
        <f t="shared" si="10"/>
        <v>0</v>
      </c>
      <c r="AD37" s="308">
        <f t="shared" si="11"/>
        <v>0</v>
      </c>
      <c r="AE37" s="308">
        <f t="shared" si="12"/>
        <v>0</v>
      </c>
      <c r="AF37" s="308">
        <f t="shared" si="13"/>
        <v>0</v>
      </c>
      <c r="AG37" s="308">
        <f t="shared" si="14"/>
        <v>0</v>
      </c>
      <c r="AH37" s="308">
        <f t="shared" si="15"/>
        <v>23.554898331837027</v>
      </c>
      <c r="AI37" s="308">
        <f t="shared" si="16"/>
        <v>22.546125</v>
      </c>
      <c r="AJ37" s="308">
        <f t="shared" si="17"/>
        <v>0</v>
      </c>
      <c r="AK37" s="308">
        <f t="shared" si="18"/>
        <v>0</v>
      </c>
      <c r="AL37" s="308">
        <f t="shared" si="19"/>
        <v>0</v>
      </c>
      <c r="AN37" s="327">
        <f t="shared" si="25"/>
        <v>22.531751143042353</v>
      </c>
      <c r="AO37" s="331">
        <f t="shared" si="26"/>
        <v>18.375</v>
      </c>
      <c r="AP37" s="315"/>
      <c r="AQ37" s="315"/>
      <c r="AR37" s="315"/>
    </row>
    <row r="38" spans="2:44">
      <c r="B38" s="102">
        <f t="shared" si="20"/>
        <v>2</v>
      </c>
      <c r="C38" s="113">
        <f>PJM_01212000!A22</f>
        <v>36583</v>
      </c>
      <c r="D38" s="315">
        <f>PJM_01212000!C22</f>
        <v>18.475000381469727</v>
      </c>
      <c r="E38" s="133">
        <f t="shared" si="21"/>
        <v>0</v>
      </c>
      <c r="F38" s="133">
        <f t="shared" si="22"/>
        <v>1.1998117566192825</v>
      </c>
      <c r="G38" s="133">
        <f t="shared" si="22"/>
        <v>1.1961600115620716</v>
      </c>
      <c r="H38" s="133">
        <f t="shared" si="22"/>
        <v>0</v>
      </c>
      <c r="I38" s="133">
        <f t="shared" si="22"/>
        <v>0</v>
      </c>
      <c r="J38" s="133">
        <f t="shared" si="22"/>
        <v>0</v>
      </c>
      <c r="K38" s="133">
        <f t="shared" si="22"/>
        <v>0</v>
      </c>
      <c r="L38" s="133">
        <f t="shared" si="22"/>
        <v>0</v>
      </c>
      <c r="M38" s="133">
        <f t="shared" si="22"/>
        <v>0</v>
      </c>
      <c r="N38" s="133">
        <f t="shared" si="22"/>
        <v>0</v>
      </c>
      <c r="O38" s="133">
        <f t="shared" si="22"/>
        <v>0</v>
      </c>
      <c r="P38" s="133">
        <f t="shared" si="22"/>
        <v>1.2818992289435116</v>
      </c>
      <c r="Q38" s="133">
        <f t="shared" si="22"/>
        <v>1.2270000000000001</v>
      </c>
      <c r="R38" s="133">
        <f t="shared" si="22"/>
        <v>0</v>
      </c>
      <c r="S38" s="133">
        <f t="shared" si="22"/>
        <v>0</v>
      </c>
      <c r="T38" s="133">
        <f t="shared" si="22"/>
        <v>0</v>
      </c>
      <c r="U38" s="133">
        <f t="shared" si="23"/>
        <v>0</v>
      </c>
      <c r="W38" s="308">
        <f t="shared" si="24"/>
        <v>0</v>
      </c>
      <c r="X38" s="308">
        <f t="shared" si="5"/>
        <v>22.166522661233106</v>
      </c>
      <c r="Y38" s="308">
        <f t="shared" si="6"/>
        <v>22.099056669908105</v>
      </c>
      <c r="Z38" s="308">
        <f t="shared" si="7"/>
        <v>0</v>
      </c>
      <c r="AA38" s="308">
        <f t="shared" si="8"/>
        <v>0</v>
      </c>
      <c r="AB38" s="308">
        <f t="shared" si="9"/>
        <v>0</v>
      </c>
      <c r="AC38" s="308">
        <f t="shared" si="10"/>
        <v>0</v>
      </c>
      <c r="AD38" s="308">
        <f t="shared" si="11"/>
        <v>0</v>
      </c>
      <c r="AE38" s="308">
        <f t="shared" si="12"/>
        <v>0</v>
      </c>
      <c r="AF38" s="308">
        <f t="shared" si="13"/>
        <v>0</v>
      </c>
      <c r="AG38" s="308">
        <f t="shared" si="14"/>
        <v>0</v>
      </c>
      <c r="AH38" s="308">
        <f t="shared" si="15"/>
        <v>23.683088743737127</v>
      </c>
      <c r="AI38" s="308">
        <f t="shared" si="16"/>
        <v>22.668825468063357</v>
      </c>
      <c r="AJ38" s="308">
        <f t="shared" si="17"/>
        <v>0</v>
      </c>
      <c r="AK38" s="308">
        <f t="shared" si="18"/>
        <v>0</v>
      </c>
      <c r="AL38" s="308">
        <f t="shared" si="19"/>
        <v>0</v>
      </c>
      <c r="AN38" s="327">
        <f t="shared" si="25"/>
        <v>22.654373385735425</v>
      </c>
      <c r="AO38" s="331">
        <f t="shared" si="26"/>
        <v>18.475000381469727</v>
      </c>
      <c r="AP38" s="315"/>
      <c r="AQ38" s="315"/>
      <c r="AR38" s="315"/>
    </row>
    <row r="39" spans="2:44">
      <c r="B39" s="102">
        <f t="shared" si="20"/>
        <v>2</v>
      </c>
      <c r="C39" s="113">
        <f>PJM_01212000!A23</f>
        <v>36584</v>
      </c>
      <c r="D39" s="315">
        <f>PJM_01212000!C23</f>
        <v>26.475000381469727</v>
      </c>
      <c r="E39" s="133">
        <f t="shared" si="21"/>
        <v>0</v>
      </c>
      <c r="F39" s="133">
        <f t="shared" si="22"/>
        <v>1.1998117566192825</v>
      </c>
      <c r="G39" s="133">
        <f t="shared" si="22"/>
        <v>1.1961600115620716</v>
      </c>
      <c r="H39" s="133">
        <f t="shared" si="22"/>
        <v>0</v>
      </c>
      <c r="I39" s="133">
        <f t="shared" si="22"/>
        <v>0</v>
      </c>
      <c r="J39" s="133">
        <f t="shared" si="22"/>
        <v>0</v>
      </c>
      <c r="K39" s="133">
        <f t="shared" si="22"/>
        <v>0</v>
      </c>
      <c r="L39" s="133">
        <f t="shared" si="22"/>
        <v>0</v>
      </c>
      <c r="M39" s="133">
        <f t="shared" si="22"/>
        <v>0</v>
      </c>
      <c r="N39" s="133">
        <f t="shared" si="22"/>
        <v>0</v>
      </c>
      <c r="O39" s="133">
        <f t="shared" si="22"/>
        <v>0</v>
      </c>
      <c r="P39" s="133">
        <f t="shared" si="22"/>
        <v>1.2818992289435116</v>
      </c>
      <c r="Q39" s="133">
        <f t="shared" si="22"/>
        <v>1.2270000000000001</v>
      </c>
      <c r="R39" s="133">
        <f t="shared" si="22"/>
        <v>0</v>
      </c>
      <c r="S39" s="133">
        <f t="shared" si="22"/>
        <v>0</v>
      </c>
      <c r="T39" s="133">
        <f t="shared" si="22"/>
        <v>0</v>
      </c>
      <c r="U39" s="133">
        <f t="shared" si="23"/>
        <v>0</v>
      </c>
      <c r="W39" s="308">
        <f t="shared" si="24"/>
        <v>0</v>
      </c>
      <c r="X39" s="308">
        <f t="shared" si="5"/>
        <v>31.765016714187368</v>
      </c>
      <c r="Y39" s="308">
        <f t="shared" si="6"/>
        <v>31.668336762404678</v>
      </c>
      <c r="Z39" s="308">
        <f t="shared" si="7"/>
        <v>0</v>
      </c>
      <c r="AA39" s="308">
        <f t="shared" si="8"/>
        <v>0</v>
      </c>
      <c r="AB39" s="308">
        <f t="shared" si="9"/>
        <v>0</v>
      </c>
      <c r="AC39" s="308">
        <f t="shared" si="10"/>
        <v>0</v>
      </c>
      <c r="AD39" s="308">
        <f t="shared" si="11"/>
        <v>0</v>
      </c>
      <c r="AE39" s="308">
        <f t="shared" si="12"/>
        <v>0</v>
      </c>
      <c r="AF39" s="308">
        <f t="shared" si="13"/>
        <v>0</v>
      </c>
      <c r="AG39" s="308">
        <f t="shared" si="14"/>
        <v>0</v>
      </c>
      <c r="AH39" s="308">
        <f t="shared" si="15"/>
        <v>33.938282575285221</v>
      </c>
      <c r="AI39" s="308">
        <f t="shared" si="16"/>
        <v>32.484825468063356</v>
      </c>
      <c r="AJ39" s="308">
        <f t="shared" si="17"/>
        <v>0</v>
      </c>
      <c r="AK39" s="308">
        <f t="shared" si="18"/>
        <v>0</v>
      </c>
      <c r="AL39" s="308">
        <f t="shared" si="19"/>
        <v>0</v>
      </c>
      <c r="AN39" s="327">
        <f t="shared" si="25"/>
        <v>32.464115379985152</v>
      </c>
      <c r="AO39" s="331">
        <f t="shared" si="26"/>
        <v>26.475000381469727</v>
      </c>
      <c r="AP39" s="315"/>
      <c r="AQ39" s="315"/>
      <c r="AR39" s="315"/>
    </row>
    <row r="40" spans="2:44">
      <c r="B40" s="102">
        <f t="shared" si="20"/>
        <v>2</v>
      </c>
      <c r="C40" s="113">
        <f>PJM_01212000!A24</f>
        <v>36585</v>
      </c>
      <c r="D40" s="315">
        <f>PJM_01212000!C24</f>
        <v>26.475000381469727</v>
      </c>
      <c r="E40" s="133">
        <f t="shared" si="21"/>
        <v>0</v>
      </c>
      <c r="F40" s="133">
        <f t="shared" ref="F40:T49" si="27">VLOOKUP($B40,$C$6:$Z$17,F$22+1)</f>
        <v>1.1998117566192825</v>
      </c>
      <c r="G40" s="133">
        <f t="shared" si="27"/>
        <v>1.1961600115620716</v>
      </c>
      <c r="H40" s="133">
        <f t="shared" si="27"/>
        <v>0</v>
      </c>
      <c r="I40" s="133">
        <f t="shared" si="27"/>
        <v>0</v>
      </c>
      <c r="J40" s="133">
        <f t="shared" si="27"/>
        <v>0</v>
      </c>
      <c r="K40" s="133">
        <f t="shared" si="27"/>
        <v>0</v>
      </c>
      <c r="L40" s="133">
        <f t="shared" si="27"/>
        <v>0</v>
      </c>
      <c r="M40" s="133">
        <f t="shared" si="27"/>
        <v>0</v>
      </c>
      <c r="N40" s="133">
        <f t="shared" si="27"/>
        <v>0</v>
      </c>
      <c r="O40" s="133">
        <f t="shared" si="27"/>
        <v>0</v>
      </c>
      <c r="P40" s="133">
        <f t="shared" si="27"/>
        <v>1.2818992289435116</v>
      </c>
      <c r="Q40" s="133">
        <f t="shared" si="27"/>
        <v>1.2270000000000001</v>
      </c>
      <c r="R40" s="133">
        <f t="shared" si="27"/>
        <v>0</v>
      </c>
      <c r="S40" s="133">
        <f t="shared" si="27"/>
        <v>0</v>
      </c>
      <c r="T40" s="133">
        <f t="shared" si="27"/>
        <v>0</v>
      </c>
      <c r="U40" s="133">
        <f t="shared" si="23"/>
        <v>0</v>
      </c>
      <c r="W40" s="308">
        <f t="shared" si="24"/>
        <v>0</v>
      </c>
      <c r="X40" s="308">
        <f t="shared" si="5"/>
        <v>31.765016714187368</v>
      </c>
      <c r="Y40" s="308">
        <f t="shared" si="6"/>
        <v>31.668336762404678</v>
      </c>
      <c r="Z40" s="308">
        <f t="shared" si="7"/>
        <v>0</v>
      </c>
      <c r="AA40" s="308">
        <f t="shared" si="8"/>
        <v>0</v>
      </c>
      <c r="AB40" s="308">
        <f t="shared" si="9"/>
        <v>0</v>
      </c>
      <c r="AC40" s="308">
        <f t="shared" si="10"/>
        <v>0</v>
      </c>
      <c r="AD40" s="308">
        <f t="shared" si="11"/>
        <v>0</v>
      </c>
      <c r="AE40" s="308">
        <f t="shared" si="12"/>
        <v>0</v>
      </c>
      <c r="AF40" s="308">
        <f t="shared" si="13"/>
        <v>0</v>
      </c>
      <c r="AG40" s="308">
        <f t="shared" si="14"/>
        <v>0</v>
      </c>
      <c r="AH40" s="308">
        <f t="shared" si="15"/>
        <v>33.938282575285221</v>
      </c>
      <c r="AI40" s="308">
        <f t="shared" si="16"/>
        <v>32.484825468063356</v>
      </c>
      <c r="AJ40" s="308">
        <f t="shared" si="17"/>
        <v>0</v>
      </c>
      <c r="AK40" s="308">
        <f t="shared" si="18"/>
        <v>0</v>
      </c>
      <c r="AL40" s="308">
        <f t="shared" si="19"/>
        <v>0</v>
      </c>
      <c r="AN40" s="327">
        <f t="shared" si="25"/>
        <v>32.464115379985152</v>
      </c>
      <c r="AO40" s="331">
        <f t="shared" si="26"/>
        <v>26.475000381469727</v>
      </c>
      <c r="AP40" s="315"/>
      <c r="AQ40" s="315"/>
      <c r="AR40" s="315"/>
    </row>
    <row r="41" spans="2:44">
      <c r="B41" s="102">
        <f t="shared" si="20"/>
        <v>3</v>
      </c>
      <c r="C41" s="113">
        <f>PJM_01212000!A25</f>
        <v>36586</v>
      </c>
      <c r="D41" s="315">
        <f>PJM_01212000!C25</f>
        <v>25.649999618530273</v>
      </c>
      <c r="E41" s="133">
        <f t="shared" si="21"/>
        <v>0</v>
      </c>
      <c r="F41" s="133">
        <f t="shared" si="27"/>
        <v>1.1898</v>
      </c>
      <c r="G41" s="133">
        <f t="shared" si="27"/>
        <v>1.1861999999999999</v>
      </c>
      <c r="H41" s="133">
        <f t="shared" si="27"/>
        <v>0</v>
      </c>
      <c r="I41" s="133">
        <f t="shared" si="27"/>
        <v>0</v>
      </c>
      <c r="J41" s="133">
        <f t="shared" si="27"/>
        <v>0</v>
      </c>
      <c r="K41" s="133">
        <f t="shared" si="27"/>
        <v>0</v>
      </c>
      <c r="L41" s="133">
        <f t="shared" si="27"/>
        <v>0</v>
      </c>
      <c r="M41" s="133">
        <f t="shared" si="27"/>
        <v>0</v>
      </c>
      <c r="N41" s="133">
        <f t="shared" si="27"/>
        <v>0</v>
      </c>
      <c r="O41" s="133">
        <f t="shared" si="27"/>
        <v>0</v>
      </c>
      <c r="P41" s="133">
        <f t="shared" si="27"/>
        <v>1.2719</v>
      </c>
      <c r="Q41" s="133">
        <f t="shared" si="27"/>
        <v>1.2170000000000001</v>
      </c>
      <c r="R41" s="133">
        <f t="shared" si="27"/>
        <v>0</v>
      </c>
      <c r="S41" s="133">
        <f t="shared" si="27"/>
        <v>0</v>
      </c>
      <c r="T41" s="133">
        <f t="shared" si="27"/>
        <v>0</v>
      </c>
      <c r="U41" s="133">
        <f t="shared" si="23"/>
        <v>0</v>
      </c>
      <c r="W41" s="308">
        <f t="shared" si="24"/>
        <v>0</v>
      </c>
      <c r="X41" s="308">
        <f t="shared" si="5"/>
        <v>30.518369546127317</v>
      </c>
      <c r="Y41" s="308">
        <f t="shared" si="6"/>
        <v>30.426029547500608</v>
      </c>
      <c r="Z41" s="308">
        <f t="shared" si="7"/>
        <v>0</v>
      </c>
      <c r="AA41" s="308">
        <f t="shared" si="8"/>
        <v>0</v>
      </c>
      <c r="AB41" s="308">
        <f t="shared" si="9"/>
        <v>0</v>
      </c>
      <c r="AC41" s="308">
        <f t="shared" si="10"/>
        <v>0</v>
      </c>
      <c r="AD41" s="308">
        <f t="shared" si="11"/>
        <v>0</v>
      </c>
      <c r="AE41" s="308">
        <f t="shared" si="12"/>
        <v>0</v>
      </c>
      <c r="AF41" s="308">
        <f t="shared" si="13"/>
        <v>0</v>
      </c>
      <c r="AG41" s="308">
        <f t="shared" si="14"/>
        <v>0</v>
      </c>
      <c r="AH41" s="308">
        <f t="shared" si="15"/>
        <v>32.624234514808656</v>
      </c>
      <c r="AI41" s="308">
        <f t="shared" si="16"/>
        <v>31.216049535751345</v>
      </c>
      <c r="AJ41" s="308">
        <f t="shared" si="17"/>
        <v>0</v>
      </c>
      <c r="AK41" s="308">
        <f t="shared" si="18"/>
        <v>0</v>
      </c>
      <c r="AL41" s="308">
        <f t="shared" si="19"/>
        <v>0</v>
      </c>
      <c r="AN41" s="327">
        <f t="shared" si="25"/>
        <v>31.196170786046984</v>
      </c>
      <c r="AO41" s="331">
        <f t="shared" si="26"/>
        <v>25.649999618530273</v>
      </c>
      <c r="AP41" s="315"/>
      <c r="AQ41" s="315"/>
      <c r="AR41" s="315"/>
    </row>
    <row r="42" spans="2:44">
      <c r="B42" s="102">
        <f t="shared" si="20"/>
        <v>3</v>
      </c>
      <c r="C42" s="113">
        <f>PJM_01212000!A26</f>
        <v>36587</v>
      </c>
      <c r="D42" s="315">
        <f>PJM_01212000!C26</f>
        <v>25.649999618530273</v>
      </c>
      <c r="E42" s="133">
        <f t="shared" si="21"/>
        <v>0</v>
      </c>
      <c r="F42" s="133">
        <f t="shared" si="27"/>
        <v>1.1898</v>
      </c>
      <c r="G42" s="133">
        <f t="shared" si="27"/>
        <v>1.1861999999999999</v>
      </c>
      <c r="H42" s="133">
        <f t="shared" si="27"/>
        <v>0</v>
      </c>
      <c r="I42" s="133">
        <f t="shared" si="27"/>
        <v>0</v>
      </c>
      <c r="J42" s="133">
        <f t="shared" si="27"/>
        <v>0</v>
      </c>
      <c r="K42" s="133">
        <f t="shared" si="27"/>
        <v>0</v>
      </c>
      <c r="L42" s="133">
        <f t="shared" si="27"/>
        <v>0</v>
      </c>
      <c r="M42" s="133">
        <f t="shared" si="27"/>
        <v>0</v>
      </c>
      <c r="N42" s="133">
        <f t="shared" si="27"/>
        <v>0</v>
      </c>
      <c r="O42" s="133">
        <f t="shared" si="27"/>
        <v>0</v>
      </c>
      <c r="P42" s="133">
        <f t="shared" si="27"/>
        <v>1.2719</v>
      </c>
      <c r="Q42" s="133">
        <f t="shared" si="27"/>
        <v>1.2170000000000001</v>
      </c>
      <c r="R42" s="133">
        <f t="shared" si="27"/>
        <v>0</v>
      </c>
      <c r="S42" s="133">
        <f t="shared" si="27"/>
        <v>0</v>
      </c>
      <c r="T42" s="133">
        <f t="shared" si="27"/>
        <v>0</v>
      </c>
      <c r="U42" s="133">
        <f t="shared" si="23"/>
        <v>0</v>
      </c>
      <c r="W42" s="308">
        <f t="shared" si="24"/>
        <v>0</v>
      </c>
      <c r="X42" s="308">
        <f t="shared" si="5"/>
        <v>30.518369546127317</v>
      </c>
      <c r="Y42" s="308">
        <f t="shared" si="6"/>
        <v>30.426029547500608</v>
      </c>
      <c r="Z42" s="308">
        <f t="shared" si="7"/>
        <v>0</v>
      </c>
      <c r="AA42" s="308">
        <f t="shared" si="8"/>
        <v>0</v>
      </c>
      <c r="AB42" s="308">
        <f t="shared" si="9"/>
        <v>0</v>
      </c>
      <c r="AC42" s="308">
        <f t="shared" si="10"/>
        <v>0</v>
      </c>
      <c r="AD42" s="308">
        <f t="shared" si="11"/>
        <v>0</v>
      </c>
      <c r="AE42" s="308">
        <f t="shared" si="12"/>
        <v>0</v>
      </c>
      <c r="AF42" s="308">
        <f t="shared" si="13"/>
        <v>0</v>
      </c>
      <c r="AG42" s="308">
        <f t="shared" si="14"/>
        <v>0</v>
      </c>
      <c r="AH42" s="308">
        <f t="shared" si="15"/>
        <v>32.624234514808656</v>
      </c>
      <c r="AI42" s="308">
        <f t="shared" si="16"/>
        <v>31.216049535751345</v>
      </c>
      <c r="AJ42" s="308">
        <f t="shared" si="17"/>
        <v>0</v>
      </c>
      <c r="AK42" s="308">
        <f t="shared" si="18"/>
        <v>0</v>
      </c>
      <c r="AL42" s="308">
        <f t="shared" si="19"/>
        <v>0</v>
      </c>
      <c r="AN42" s="327">
        <f t="shared" si="25"/>
        <v>31.196170786046984</v>
      </c>
      <c r="AO42" s="331">
        <f t="shared" si="26"/>
        <v>25.649999618530273</v>
      </c>
    </row>
    <row r="43" spans="2:44">
      <c r="B43" s="102">
        <f t="shared" si="20"/>
        <v>3</v>
      </c>
      <c r="C43" s="113">
        <f>PJM_01212000!A27</f>
        <v>36588</v>
      </c>
      <c r="D43" s="315">
        <f>PJM_01212000!C27</f>
        <v>25.649999618530273</v>
      </c>
      <c r="E43" s="133">
        <f t="shared" si="21"/>
        <v>0</v>
      </c>
      <c r="F43" s="133">
        <f t="shared" si="27"/>
        <v>1.1898</v>
      </c>
      <c r="G43" s="133">
        <f t="shared" si="27"/>
        <v>1.1861999999999999</v>
      </c>
      <c r="H43" s="133">
        <f t="shared" si="27"/>
        <v>0</v>
      </c>
      <c r="I43" s="133">
        <f t="shared" si="27"/>
        <v>0</v>
      </c>
      <c r="J43" s="133">
        <f t="shared" si="27"/>
        <v>0</v>
      </c>
      <c r="K43" s="133">
        <f t="shared" si="27"/>
        <v>0</v>
      </c>
      <c r="L43" s="133">
        <f t="shared" si="27"/>
        <v>0</v>
      </c>
      <c r="M43" s="133">
        <f t="shared" si="27"/>
        <v>0</v>
      </c>
      <c r="N43" s="133">
        <f t="shared" si="27"/>
        <v>0</v>
      </c>
      <c r="O43" s="133">
        <f t="shared" si="27"/>
        <v>0</v>
      </c>
      <c r="P43" s="133">
        <f t="shared" si="27"/>
        <v>1.2719</v>
      </c>
      <c r="Q43" s="133">
        <f t="shared" si="27"/>
        <v>1.2170000000000001</v>
      </c>
      <c r="R43" s="133">
        <f t="shared" si="27"/>
        <v>0</v>
      </c>
      <c r="S43" s="133">
        <f t="shared" si="27"/>
        <v>0</v>
      </c>
      <c r="T43" s="133">
        <f t="shared" si="27"/>
        <v>0</v>
      </c>
      <c r="U43" s="133">
        <f t="shared" si="23"/>
        <v>0</v>
      </c>
      <c r="W43" s="308">
        <f t="shared" si="24"/>
        <v>0</v>
      </c>
      <c r="X43" s="308">
        <f t="shared" si="5"/>
        <v>30.518369546127317</v>
      </c>
      <c r="Y43" s="308">
        <f t="shared" si="6"/>
        <v>30.426029547500608</v>
      </c>
      <c r="Z43" s="308">
        <f t="shared" si="7"/>
        <v>0</v>
      </c>
      <c r="AA43" s="308">
        <f t="shared" si="8"/>
        <v>0</v>
      </c>
      <c r="AB43" s="308">
        <f t="shared" si="9"/>
        <v>0</v>
      </c>
      <c r="AC43" s="308">
        <f t="shared" si="10"/>
        <v>0</v>
      </c>
      <c r="AD43" s="308">
        <f t="shared" si="11"/>
        <v>0</v>
      </c>
      <c r="AE43" s="308">
        <f t="shared" si="12"/>
        <v>0</v>
      </c>
      <c r="AF43" s="308">
        <f t="shared" si="13"/>
        <v>0</v>
      </c>
      <c r="AG43" s="308">
        <f t="shared" si="14"/>
        <v>0</v>
      </c>
      <c r="AH43" s="308">
        <f t="shared" si="15"/>
        <v>32.624234514808656</v>
      </c>
      <c r="AI43" s="308">
        <f t="shared" si="16"/>
        <v>31.216049535751345</v>
      </c>
      <c r="AJ43" s="308">
        <f t="shared" si="17"/>
        <v>0</v>
      </c>
      <c r="AK43" s="308">
        <f t="shared" si="18"/>
        <v>0</v>
      </c>
      <c r="AL43" s="308">
        <f t="shared" si="19"/>
        <v>0</v>
      </c>
      <c r="AN43" s="327">
        <f t="shared" si="25"/>
        <v>31.196170786046984</v>
      </c>
      <c r="AO43" s="331">
        <f t="shared" si="26"/>
        <v>25.649999618530273</v>
      </c>
    </row>
    <row r="44" spans="2:44">
      <c r="B44" s="102">
        <f t="shared" si="20"/>
        <v>3</v>
      </c>
      <c r="C44" s="113">
        <f>PJM_01212000!A28</f>
        <v>36589</v>
      </c>
      <c r="D44" s="315">
        <f>PJM_01212000!C28</f>
        <v>17</v>
      </c>
      <c r="E44" s="133">
        <f t="shared" si="21"/>
        <v>0</v>
      </c>
      <c r="F44" s="133">
        <f t="shared" si="27"/>
        <v>1.1898</v>
      </c>
      <c r="G44" s="133">
        <f t="shared" si="27"/>
        <v>1.1861999999999999</v>
      </c>
      <c r="H44" s="133">
        <f t="shared" si="27"/>
        <v>0</v>
      </c>
      <c r="I44" s="133">
        <f t="shared" si="27"/>
        <v>0</v>
      </c>
      <c r="J44" s="133">
        <f t="shared" si="27"/>
        <v>0</v>
      </c>
      <c r="K44" s="133">
        <f t="shared" si="27"/>
        <v>0</v>
      </c>
      <c r="L44" s="133">
        <f t="shared" si="27"/>
        <v>0</v>
      </c>
      <c r="M44" s="133">
        <f t="shared" si="27"/>
        <v>0</v>
      </c>
      <c r="N44" s="133">
        <f t="shared" si="27"/>
        <v>0</v>
      </c>
      <c r="O44" s="133">
        <f t="shared" si="27"/>
        <v>0</v>
      </c>
      <c r="P44" s="133">
        <f t="shared" si="27"/>
        <v>1.2719</v>
      </c>
      <c r="Q44" s="133">
        <f t="shared" si="27"/>
        <v>1.2170000000000001</v>
      </c>
      <c r="R44" s="133">
        <f t="shared" si="27"/>
        <v>0</v>
      </c>
      <c r="S44" s="133">
        <f t="shared" si="27"/>
        <v>0</v>
      </c>
      <c r="T44" s="133">
        <f t="shared" si="27"/>
        <v>0</v>
      </c>
      <c r="U44" s="133">
        <f t="shared" si="23"/>
        <v>0</v>
      </c>
      <c r="W44" s="308">
        <f t="shared" si="24"/>
        <v>0</v>
      </c>
      <c r="X44" s="308">
        <f t="shared" si="5"/>
        <v>20.226599999999998</v>
      </c>
      <c r="Y44" s="308">
        <f t="shared" si="6"/>
        <v>20.165399999999998</v>
      </c>
      <c r="Z44" s="308">
        <f t="shared" si="7"/>
        <v>0</v>
      </c>
      <c r="AA44" s="308">
        <f t="shared" si="8"/>
        <v>0</v>
      </c>
      <c r="AB44" s="308">
        <f t="shared" si="9"/>
        <v>0</v>
      </c>
      <c r="AC44" s="308">
        <f t="shared" si="10"/>
        <v>0</v>
      </c>
      <c r="AD44" s="308">
        <f t="shared" si="11"/>
        <v>0</v>
      </c>
      <c r="AE44" s="308">
        <f t="shared" si="12"/>
        <v>0</v>
      </c>
      <c r="AF44" s="308">
        <f t="shared" si="13"/>
        <v>0</v>
      </c>
      <c r="AG44" s="308">
        <f t="shared" si="14"/>
        <v>0</v>
      </c>
      <c r="AH44" s="308">
        <f t="shared" si="15"/>
        <v>21.622299999999999</v>
      </c>
      <c r="AI44" s="308">
        <f t="shared" si="16"/>
        <v>20.689</v>
      </c>
      <c r="AJ44" s="308">
        <f t="shared" si="17"/>
        <v>0</v>
      </c>
      <c r="AK44" s="308">
        <f t="shared" si="18"/>
        <v>0</v>
      </c>
      <c r="AL44" s="308">
        <f t="shared" si="19"/>
        <v>0</v>
      </c>
      <c r="AN44" s="327">
        <f t="shared" si="25"/>
        <v>20.675824999999996</v>
      </c>
      <c r="AO44" s="331">
        <f t="shared" si="26"/>
        <v>17</v>
      </c>
    </row>
    <row r="45" spans="2:44">
      <c r="B45" s="102">
        <f t="shared" si="20"/>
        <v>3</v>
      </c>
      <c r="C45" s="113">
        <f>PJM_01212000!A29</f>
        <v>36590</v>
      </c>
      <c r="D45" s="315">
        <f>PJM_01212000!C29</f>
        <v>17</v>
      </c>
      <c r="E45" s="133">
        <f t="shared" si="21"/>
        <v>0</v>
      </c>
      <c r="F45" s="133">
        <f t="shared" si="27"/>
        <v>1.1898</v>
      </c>
      <c r="G45" s="133">
        <f t="shared" si="27"/>
        <v>1.1861999999999999</v>
      </c>
      <c r="H45" s="133">
        <f t="shared" si="27"/>
        <v>0</v>
      </c>
      <c r="I45" s="133">
        <f t="shared" si="27"/>
        <v>0</v>
      </c>
      <c r="J45" s="133">
        <f t="shared" si="27"/>
        <v>0</v>
      </c>
      <c r="K45" s="133">
        <f t="shared" si="27"/>
        <v>0</v>
      </c>
      <c r="L45" s="133">
        <f t="shared" si="27"/>
        <v>0</v>
      </c>
      <c r="M45" s="133">
        <f t="shared" si="27"/>
        <v>0</v>
      </c>
      <c r="N45" s="133">
        <f t="shared" si="27"/>
        <v>0</v>
      </c>
      <c r="O45" s="133">
        <f t="shared" si="27"/>
        <v>0</v>
      </c>
      <c r="P45" s="133">
        <f t="shared" si="27"/>
        <v>1.2719</v>
      </c>
      <c r="Q45" s="133">
        <f t="shared" si="27"/>
        <v>1.2170000000000001</v>
      </c>
      <c r="R45" s="133">
        <f t="shared" si="27"/>
        <v>0</v>
      </c>
      <c r="S45" s="133">
        <f t="shared" si="27"/>
        <v>0</v>
      </c>
      <c r="T45" s="133">
        <f t="shared" si="27"/>
        <v>0</v>
      </c>
      <c r="U45" s="133">
        <f t="shared" si="23"/>
        <v>0</v>
      </c>
      <c r="W45" s="308">
        <f t="shared" si="24"/>
        <v>0</v>
      </c>
      <c r="X45" s="308">
        <f t="shared" si="5"/>
        <v>20.226599999999998</v>
      </c>
      <c r="Y45" s="308">
        <f t="shared" si="6"/>
        <v>20.165399999999998</v>
      </c>
      <c r="Z45" s="308">
        <f t="shared" si="7"/>
        <v>0</v>
      </c>
      <c r="AA45" s="308">
        <f t="shared" si="8"/>
        <v>0</v>
      </c>
      <c r="AB45" s="308">
        <f t="shared" si="9"/>
        <v>0</v>
      </c>
      <c r="AC45" s="308">
        <f t="shared" si="10"/>
        <v>0</v>
      </c>
      <c r="AD45" s="308">
        <f t="shared" si="11"/>
        <v>0</v>
      </c>
      <c r="AE45" s="308">
        <f t="shared" si="12"/>
        <v>0</v>
      </c>
      <c r="AF45" s="308">
        <f t="shared" si="13"/>
        <v>0</v>
      </c>
      <c r="AG45" s="308">
        <f t="shared" si="14"/>
        <v>0</v>
      </c>
      <c r="AH45" s="308">
        <f t="shared" si="15"/>
        <v>21.622299999999999</v>
      </c>
      <c r="AI45" s="308">
        <f t="shared" si="16"/>
        <v>20.689</v>
      </c>
      <c r="AJ45" s="308">
        <f t="shared" si="17"/>
        <v>0</v>
      </c>
      <c r="AK45" s="308">
        <f t="shared" si="18"/>
        <v>0</v>
      </c>
      <c r="AL45" s="308">
        <f t="shared" si="19"/>
        <v>0</v>
      </c>
      <c r="AN45" s="327">
        <f t="shared" si="25"/>
        <v>20.675824999999996</v>
      </c>
      <c r="AO45" s="331">
        <f t="shared" si="26"/>
        <v>17</v>
      </c>
    </row>
    <row r="46" spans="2:44">
      <c r="B46" s="102">
        <f t="shared" si="20"/>
        <v>3</v>
      </c>
      <c r="C46" s="113">
        <f>PJM_01212000!A30</f>
        <v>36591</v>
      </c>
      <c r="D46" s="315">
        <f>PJM_01212000!C30</f>
        <v>25.649999618530273</v>
      </c>
      <c r="E46" s="133">
        <f t="shared" si="21"/>
        <v>0</v>
      </c>
      <c r="F46" s="133">
        <f t="shared" si="27"/>
        <v>1.1898</v>
      </c>
      <c r="G46" s="133">
        <f t="shared" si="27"/>
        <v>1.1861999999999999</v>
      </c>
      <c r="H46" s="133">
        <f t="shared" si="27"/>
        <v>0</v>
      </c>
      <c r="I46" s="133">
        <f t="shared" si="27"/>
        <v>0</v>
      </c>
      <c r="J46" s="133">
        <f t="shared" si="27"/>
        <v>0</v>
      </c>
      <c r="K46" s="133">
        <f t="shared" si="27"/>
        <v>0</v>
      </c>
      <c r="L46" s="133">
        <f t="shared" si="27"/>
        <v>0</v>
      </c>
      <c r="M46" s="133">
        <f t="shared" si="27"/>
        <v>0</v>
      </c>
      <c r="N46" s="133">
        <f t="shared" si="27"/>
        <v>0</v>
      </c>
      <c r="O46" s="133">
        <f t="shared" si="27"/>
        <v>0</v>
      </c>
      <c r="P46" s="133">
        <f t="shared" si="27"/>
        <v>1.2719</v>
      </c>
      <c r="Q46" s="133">
        <f t="shared" si="27"/>
        <v>1.2170000000000001</v>
      </c>
      <c r="R46" s="133">
        <f t="shared" si="27"/>
        <v>0</v>
      </c>
      <c r="S46" s="133">
        <f t="shared" si="27"/>
        <v>0</v>
      </c>
      <c r="T46" s="133">
        <f t="shared" si="27"/>
        <v>0</v>
      </c>
      <c r="U46" s="133">
        <f t="shared" si="23"/>
        <v>0</v>
      </c>
      <c r="W46" s="308">
        <f t="shared" si="24"/>
        <v>0</v>
      </c>
      <c r="X46" s="308">
        <f t="shared" si="5"/>
        <v>30.518369546127317</v>
      </c>
      <c r="Y46" s="308">
        <f t="shared" si="6"/>
        <v>30.426029547500608</v>
      </c>
      <c r="Z46" s="308">
        <f t="shared" si="7"/>
        <v>0</v>
      </c>
      <c r="AA46" s="308">
        <f t="shared" si="8"/>
        <v>0</v>
      </c>
      <c r="AB46" s="308">
        <f t="shared" si="9"/>
        <v>0</v>
      </c>
      <c r="AC46" s="308">
        <f t="shared" si="10"/>
        <v>0</v>
      </c>
      <c r="AD46" s="308">
        <f t="shared" si="11"/>
        <v>0</v>
      </c>
      <c r="AE46" s="308">
        <f t="shared" si="12"/>
        <v>0</v>
      </c>
      <c r="AF46" s="308">
        <f t="shared" si="13"/>
        <v>0</v>
      </c>
      <c r="AG46" s="308">
        <f t="shared" si="14"/>
        <v>0</v>
      </c>
      <c r="AH46" s="308">
        <f t="shared" si="15"/>
        <v>32.624234514808656</v>
      </c>
      <c r="AI46" s="308">
        <f t="shared" si="16"/>
        <v>31.216049535751345</v>
      </c>
      <c r="AJ46" s="308">
        <f t="shared" si="17"/>
        <v>0</v>
      </c>
      <c r="AK46" s="308">
        <f t="shared" si="18"/>
        <v>0</v>
      </c>
      <c r="AL46" s="308">
        <f t="shared" si="19"/>
        <v>0</v>
      </c>
      <c r="AN46" s="327">
        <f t="shared" si="25"/>
        <v>31.196170786046984</v>
      </c>
      <c r="AO46" s="331">
        <f t="shared" si="26"/>
        <v>25.649999618530273</v>
      </c>
    </row>
    <row r="47" spans="2:44">
      <c r="B47" s="102">
        <f t="shared" si="20"/>
        <v>3</v>
      </c>
      <c r="C47" s="113">
        <f>PJM_01212000!A31</f>
        <v>36592</v>
      </c>
      <c r="D47" s="315">
        <f>PJM_01212000!C31</f>
        <v>25.649999618530273</v>
      </c>
      <c r="E47" s="133">
        <f t="shared" si="21"/>
        <v>0</v>
      </c>
      <c r="F47" s="133">
        <f t="shared" si="27"/>
        <v>1.1898</v>
      </c>
      <c r="G47" s="133">
        <f t="shared" si="27"/>
        <v>1.1861999999999999</v>
      </c>
      <c r="H47" s="133">
        <f t="shared" si="27"/>
        <v>0</v>
      </c>
      <c r="I47" s="133">
        <f t="shared" si="27"/>
        <v>0</v>
      </c>
      <c r="J47" s="133">
        <f t="shared" si="27"/>
        <v>0</v>
      </c>
      <c r="K47" s="133">
        <f t="shared" si="27"/>
        <v>0</v>
      </c>
      <c r="L47" s="133">
        <f t="shared" si="27"/>
        <v>0</v>
      </c>
      <c r="M47" s="133">
        <f t="shared" si="27"/>
        <v>0</v>
      </c>
      <c r="N47" s="133">
        <f t="shared" si="27"/>
        <v>0</v>
      </c>
      <c r="O47" s="133">
        <f t="shared" si="27"/>
        <v>0</v>
      </c>
      <c r="P47" s="133">
        <f t="shared" si="27"/>
        <v>1.2719</v>
      </c>
      <c r="Q47" s="133">
        <f t="shared" si="27"/>
        <v>1.2170000000000001</v>
      </c>
      <c r="R47" s="133">
        <f t="shared" si="27"/>
        <v>0</v>
      </c>
      <c r="S47" s="133">
        <f t="shared" si="27"/>
        <v>0</v>
      </c>
      <c r="T47" s="133">
        <f t="shared" si="27"/>
        <v>0</v>
      </c>
      <c r="U47" s="133">
        <f t="shared" si="23"/>
        <v>0</v>
      </c>
      <c r="W47" s="308">
        <f t="shared" si="24"/>
        <v>0</v>
      </c>
      <c r="X47" s="308">
        <f t="shared" si="5"/>
        <v>30.518369546127317</v>
      </c>
      <c r="Y47" s="308">
        <f t="shared" si="6"/>
        <v>30.426029547500608</v>
      </c>
      <c r="Z47" s="308">
        <f t="shared" si="7"/>
        <v>0</v>
      </c>
      <c r="AA47" s="308">
        <f t="shared" si="8"/>
        <v>0</v>
      </c>
      <c r="AB47" s="308">
        <f t="shared" si="9"/>
        <v>0</v>
      </c>
      <c r="AC47" s="308">
        <f t="shared" si="10"/>
        <v>0</v>
      </c>
      <c r="AD47" s="308">
        <f t="shared" si="11"/>
        <v>0</v>
      </c>
      <c r="AE47" s="308">
        <f t="shared" si="12"/>
        <v>0</v>
      </c>
      <c r="AF47" s="308">
        <f t="shared" si="13"/>
        <v>0</v>
      </c>
      <c r="AG47" s="308">
        <f t="shared" si="14"/>
        <v>0</v>
      </c>
      <c r="AH47" s="308">
        <f t="shared" si="15"/>
        <v>32.624234514808656</v>
      </c>
      <c r="AI47" s="308">
        <f t="shared" si="16"/>
        <v>31.216049535751345</v>
      </c>
      <c r="AJ47" s="308">
        <f t="shared" si="17"/>
        <v>0</v>
      </c>
      <c r="AK47" s="308">
        <f t="shared" si="18"/>
        <v>0</v>
      </c>
      <c r="AL47" s="308">
        <f t="shared" si="19"/>
        <v>0</v>
      </c>
      <c r="AN47" s="327">
        <f t="shared" si="25"/>
        <v>31.196170786046984</v>
      </c>
      <c r="AO47" s="331">
        <f t="shared" si="26"/>
        <v>25.649999618530273</v>
      </c>
    </row>
    <row r="48" spans="2:44">
      <c r="B48" s="102">
        <f t="shared" si="20"/>
        <v>3</v>
      </c>
      <c r="C48" s="113">
        <f>PJM_01212000!A32</f>
        <v>36593</v>
      </c>
      <c r="D48" s="315">
        <f>PJM_01212000!C32</f>
        <v>25.649999618530273</v>
      </c>
      <c r="E48" s="133">
        <f t="shared" si="21"/>
        <v>0</v>
      </c>
      <c r="F48" s="133">
        <f t="shared" si="27"/>
        <v>1.1898</v>
      </c>
      <c r="G48" s="133">
        <f t="shared" si="27"/>
        <v>1.1861999999999999</v>
      </c>
      <c r="H48" s="133">
        <f t="shared" si="27"/>
        <v>0</v>
      </c>
      <c r="I48" s="133">
        <f t="shared" si="27"/>
        <v>0</v>
      </c>
      <c r="J48" s="133">
        <f t="shared" si="27"/>
        <v>0</v>
      </c>
      <c r="K48" s="133">
        <f t="shared" si="27"/>
        <v>0</v>
      </c>
      <c r="L48" s="133">
        <f t="shared" si="27"/>
        <v>0</v>
      </c>
      <c r="M48" s="133">
        <f t="shared" si="27"/>
        <v>0</v>
      </c>
      <c r="N48" s="133">
        <f t="shared" si="27"/>
        <v>0</v>
      </c>
      <c r="O48" s="133">
        <f t="shared" si="27"/>
        <v>0</v>
      </c>
      <c r="P48" s="133">
        <f t="shared" si="27"/>
        <v>1.2719</v>
      </c>
      <c r="Q48" s="133">
        <f t="shared" si="27"/>
        <v>1.2170000000000001</v>
      </c>
      <c r="R48" s="133">
        <f t="shared" si="27"/>
        <v>0</v>
      </c>
      <c r="S48" s="133">
        <f t="shared" si="27"/>
        <v>0</v>
      </c>
      <c r="T48" s="133">
        <f t="shared" si="27"/>
        <v>0</v>
      </c>
      <c r="U48" s="133">
        <f t="shared" si="23"/>
        <v>0</v>
      </c>
      <c r="W48" s="308">
        <f t="shared" si="24"/>
        <v>0</v>
      </c>
      <c r="X48" s="308">
        <f t="shared" si="5"/>
        <v>30.518369546127317</v>
      </c>
      <c r="Y48" s="308">
        <f t="shared" si="6"/>
        <v>30.426029547500608</v>
      </c>
      <c r="Z48" s="308">
        <f t="shared" si="7"/>
        <v>0</v>
      </c>
      <c r="AA48" s="308">
        <f t="shared" si="8"/>
        <v>0</v>
      </c>
      <c r="AB48" s="308">
        <f t="shared" si="9"/>
        <v>0</v>
      </c>
      <c r="AC48" s="308">
        <f t="shared" si="10"/>
        <v>0</v>
      </c>
      <c r="AD48" s="308">
        <f t="shared" si="11"/>
        <v>0</v>
      </c>
      <c r="AE48" s="308">
        <f t="shared" si="12"/>
        <v>0</v>
      </c>
      <c r="AF48" s="308">
        <f t="shared" si="13"/>
        <v>0</v>
      </c>
      <c r="AG48" s="308">
        <f t="shared" si="14"/>
        <v>0</v>
      </c>
      <c r="AH48" s="308">
        <f t="shared" si="15"/>
        <v>32.624234514808656</v>
      </c>
      <c r="AI48" s="308">
        <f t="shared" si="16"/>
        <v>31.216049535751345</v>
      </c>
      <c r="AJ48" s="308">
        <f t="shared" si="17"/>
        <v>0</v>
      </c>
      <c r="AK48" s="308">
        <f t="shared" si="18"/>
        <v>0</v>
      </c>
      <c r="AL48" s="308">
        <f t="shared" si="19"/>
        <v>0</v>
      </c>
      <c r="AN48" s="327">
        <f t="shared" si="25"/>
        <v>31.196170786046984</v>
      </c>
      <c r="AO48" s="331">
        <f t="shared" si="26"/>
        <v>25.649999618530273</v>
      </c>
    </row>
    <row r="49" spans="1:41">
      <c r="B49" s="102">
        <f t="shared" si="20"/>
        <v>3</v>
      </c>
      <c r="C49" s="113">
        <f>PJM_01212000!A33</f>
        <v>36594</v>
      </c>
      <c r="D49" s="315">
        <f>PJM_01212000!C33</f>
        <v>25.649999618530273</v>
      </c>
      <c r="E49" s="133">
        <f t="shared" si="21"/>
        <v>0</v>
      </c>
      <c r="F49" s="133">
        <f t="shared" si="27"/>
        <v>1.1898</v>
      </c>
      <c r="G49" s="133">
        <f t="shared" si="27"/>
        <v>1.1861999999999999</v>
      </c>
      <c r="H49" s="133">
        <f t="shared" si="27"/>
        <v>0</v>
      </c>
      <c r="I49" s="133">
        <f t="shared" si="27"/>
        <v>0</v>
      </c>
      <c r="J49" s="133">
        <f t="shared" si="27"/>
        <v>0</v>
      </c>
      <c r="K49" s="133">
        <f t="shared" si="27"/>
        <v>0</v>
      </c>
      <c r="L49" s="133">
        <f t="shared" si="27"/>
        <v>0</v>
      </c>
      <c r="M49" s="133">
        <f t="shared" si="27"/>
        <v>0</v>
      </c>
      <c r="N49" s="133">
        <f t="shared" si="27"/>
        <v>0</v>
      </c>
      <c r="O49" s="133">
        <f t="shared" si="27"/>
        <v>0</v>
      </c>
      <c r="P49" s="133">
        <f t="shared" si="27"/>
        <v>1.2719</v>
      </c>
      <c r="Q49" s="133">
        <f t="shared" si="27"/>
        <v>1.2170000000000001</v>
      </c>
      <c r="R49" s="133">
        <f t="shared" si="27"/>
        <v>0</v>
      </c>
      <c r="S49" s="133">
        <f t="shared" si="27"/>
        <v>0</v>
      </c>
      <c r="T49" s="133">
        <f t="shared" si="27"/>
        <v>0</v>
      </c>
      <c r="U49" s="133">
        <f t="shared" si="23"/>
        <v>0</v>
      </c>
      <c r="W49" s="308">
        <f t="shared" si="24"/>
        <v>0</v>
      </c>
      <c r="X49" s="308">
        <f t="shared" si="5"/>
        <v>30.518369546127317</v>
      </c>
      <c r="Y49" s="308">
        <f t="shared" si="6"/>
        <v>30.426029547500608</v>
      </c>
      <c r="Z49" s="308">
        <f t="shared" si="7"/>
        <v>0</v>
      </c>
      <c r="AA49" s="308">
        <f t="shared" si="8"/>
        <v>0</v>
      </c>
      <c r="AB49" s="308">
        <f t="shared" si="9"/>
        <v>0</v>
      </c>
      <c r="AC49" s="308">
        <f t="shared" si="10"/>
        <v>0</v>
      </c>
      <c r="AD49" s="308">
        <f t="shared" si="11"/>
        <v>0</v>
      </c>
      <c r="AE49" s="308">
        <f t="shared" si="12"/>
        <v>0</v>
      </c>
      <c r="AF49" s="308">
        <f t="shared" si="13"/>
        <v>0</v>
      </c>
      <c r="AG49" s="308">
        <f t="shared" si="14"/>
        <v>0</v>
      </c>
      <c r="AH49" s="308">
        <f t="shared" si="15"/>
        <v>32.624234514808656</v>
      </c>
      <c r="AI49" s="308">
        <f t="shared" si="16"/>
        <v>31.216049535751345</v>
      </c>
      <c r="AJ49" s="308">
        <f t="shared" si="17"/>
        <v>0</v>
      </c>
      <c r="AK49" s="308">
        <f t="shared" si="18"/>
        <v>0</v>
      </c>
      <c r="AL49" s="308">
        <f t="shared" si="19"/>
        <v>0</v>
      </c>
      <c r="AN49" s="327">
        <f t="shared" si="25"/>
        <v>31.196170786046984</v>
      </c>
      <c r="AO49" s="331">
        <f t="shared" si="26"/>
        <v>25.649999618530273</v>
      </c>
    </row>
    <row r="50" spans="1:41">
      <c r="B50" s="102">
        <f t="shared" si="20"/>
        <v>3</v>
      </c>
      <c r="C50" s="113">
        <f>PJM_01212000!A34</f>
        <v>36595</v>
      </c>
      <c r="D50" s="315">
        <f>PJM_01212000!C34</f>
        <v>25.649999618530273</v>
      </c>
      <c r="E50" s="133">
        <f t="shared" si="21"/>
        <v>0</v>
      </c>
      <c r="F50" s="133">
        <f t="shared" ref="F50:T59" si="28">VLOOKUP($B50,$C$6:$Z$17,F$22+1)</f>
        <v>1.1898</v>
      </c>
      <c r="G50" s="133">
        <f t="shared" si="28"/>
        <v>1.1861999999999999</v>
      </c>
      <c r="H50" s="133">
        <f t="shared" si="28"/>
        <v>0</v>
      </c>
      <c r="I50" s="133">
        <f t="shared" si="28"/>
        <v>0</v>
      </c>
      <c r="J50" s="133">
        <f t="shared" si="28"/>
        <v>0</v>
      </c>
      <c r="K50" s="133">
        <f t="shared" si="28"/>
        <v>0</v>
      </c>
      <c r="L50" s="133">
        <f t="shared" si="28"/>
        <v>0</v>
      </c>
      <c r="M50" s="133">
        <f t="shared" si="28"/>
        <v>0</v>
      </c>
      <c r="N50" s="133">
        <f t="shared" si="28"/>
        <v>0</v>
      </c>
      <c r="O50" s="133">
        <f t="shared" si="28"/>
        <v>0</v>
      </c>
      <c r="P50" s="133">
        <f t="shared" si="28"/>
        <v>1.2719</v>
      </c>
      <c r="Q50" s="133">
        <f t="shared" si="28"/>
        <v>1.2170000000000001</v>
      </c>
      <c r="R50" s="133">
        <f t="shared" si="28"/>
        <v>0</v>
      </c>
      <c r="S50" s="133">
        <f t="shared" si="28"/>
        <v>0</v>
      </c>
      <c r="T50" s="133">
        <f t="shared" si="28"/>
        <v>0</v>
      </c>
      <c r="U50" s="133">
        <f t="shared" si="23"/>
        <v>0</v>
      </c>
      <c r="W50" s="308">
        <f t="shared" si="24"/>
        <v>0</v>
      </c>
      <c r="X50" s="308">
        <f t="shared" si="5"/>
        <v>30.518369546127317</v>
      </c>
      <c r="Y50" s="308">
        <f t="shared" si="6"/>
        <v>30.426029547500608</v>
      </c>
      <c r="Z50" s="308">
        <f t="shared" si="7"/>
        <v>0</v>
      </c>
      <c r="AA50" s="308">
        <f t="shared" si="8"/>
        <v>0</v>
      </c>
      <c r="AB50" s="308">
        <f t="shared" si="9"/>
        <v>0</v>
      </c>
      <c r="AC50" s="308">
        <f t="shared" si="10"/>
        <v>0</v>
      </c>
      <c r="AD50" s="308">
        <f t="shared" si="11"/>
        <v>0</v>
      </c>
      <c r="AE50" s="308">
        <f t="shared" si="12"/>
        <v>0</v>
      </c>
      <c r="AF50" s="308">
        <f t="shared" si="13"/>
        <v>0</v>
      </c>
      <c r="AG50" s="308">
        <f t="shared" si="14"/>
        <v>0</v>
      </c>
      <c r="AH50" s="308">
        <f t="shared" si="15"/>
        <v>32.624234514808656</v>
      </c>
      <c r="AI50" s="308">
        <f t="shared" si="16"/>
        <v>31.216049535751345</v>
      </c>
      <c r="AJ50" s="308">
        <f t="shared" si="17"/>
        <v>0</v>
      </c>
      <c r="AK50" s="308">
        <f t="shared" si="18"/>
        <v>0</v>
      </c>
      <c r="AL50" s="308">
        <f t="shared" si="19"/>
        <v>0</v>
      </c>
      <c r="AN50" s="327">
        <f t="shared" si="25"/>
        <v>31.196170786046984</v>
      </c>
      <c r="AO50" s="331">
        <f t="shared" si="26"/>
        <v>25.649999618530273</v>
      </c>
    </row>
    <row r="51" spans="1:41">
      <c r="B51" s="102">
        <f t="shared" si="20"/>
        <v>3</v>
      </c>
      <c r="C51" s="113">
        <f>PJM_01212000!A35</f>
        <v>36596</v>
      </c>
      <c r="D51" s="315">
        <f>PJM_01212000!C35</f>
        <v>17</v>
      </c>
      <c r="E51" s="133">
        <f t="shared" si="21"/>
        <v>0</v>
      </c>
      <c r="F51" s="133">
        <f t="shared" si="28"/>
        <v>1.1898</v>
      </c>
      <c r="G51" s="133">
        <f t="shared" si="28"/>
        <v>1.1861999999999999</v>
      </c>
      <c r="H51" s="133">
        <f t="shared" si="28"/>
        <v>0</v>
      </c>
      <c r="I51" s="133">
        <f t="shared" si="28"/>
        <v>0</v>
      </c>
      <c r="J51" s="133">
        <f t="shared" si="28"/>
        <v>0</v>
      </c>
      <c r="K51" s="133">
        <f t="shared" si="28"/>
        <v>0</v>
      </c>
      <c r="L51" s="133">
        <f t="shared" si="28"/>
        <v>0</v>
      </c>
      <c r="M51" s="133">
        <f t="shared" si="28"/>
        <v>0</v>
      </c>
      <c r="N51" s="133">
        <f t="shared" si="28"/>
        <v>0</v>
      </c>
      <c r="O51" s="133">
        <f t="shared" si="28"/>
        <v>0</v>
      </c>
      <c r="P51" s="133">
        <f t="shared" si="28"/>
        <v>1.2719</v>
      </c>
      <c r="Q51" s="133">
        <f t="shared" si="28"/>
        <v>1.2170000000000001</v>
      </c>
      <c r="R51" s="133">
        <f t="shared" si="28"/>
        <v>0</v>
      </c>
      <c r="S51" s="133">
        <f t="shared" si="28"/>
        <v>0</v>
      </c>
      <c r="T51" s="133">
        <f t="shared" si="28"/>
        <v>0</v>
      </c>
      <c r="U51" s="133">
        <f t="shared" si="23"/>
        <v>0</v>
      </c>
      <c r="W51" s="308">
        <f t="shared" si="24"/>
        <v>0</v>
      </c>
      <c r="X51" s="308">
        <f t="shared" si="5"/>
        <v>20.226599999999998</v>
      </c>
      <c r="Y51" s="308">
        <f t="shared" si="6"/>
        <v>20.165399999999998</v>
      </c>
      <c r="Z51" s="308">
        <f t="shared" si="7"/>
        <v>0</v>
      </c>
      <c r="AA51" s="308">
        <f t="shared" si="8"/>
        <v>0</v>
      </c>
      <c r="AB51" s="308">
        <f t="shared" si="9"/>
        <v>0</v>
      </c>
      <c r="AC51" s="308">
        <f t="shared" si="10"/>
        <v>0</v>
      </c>
      <c r="AD51" s="308">
        <f t="shared" si="11"/>
        <v>0</v>
      </c>
      <c r="AE51" s="308">
        <f t="shared" si="12"/>
        <v>0</v>
      </c>
      <c r="AF51" s="308">
        <f t="shared" si="13"/>
        <v>0</v>
      </c>
      <c r="AG51" s="308">
        <f t="shared" si="14"/>
        <v>0</v>
      </c>
      <c r="AH51" s="308">
        <f t="shared" si="15"/>
        <v>21.622299999999999</v>
      </c>
      <c r="AI51" s="308">
        <f t="shared" si="16"/>
        <v>20.689</v>
      </c>
      <c r="AJ51" s="308">
        <f t="shared" si="17"/>
        <v>0</v>
      </c>
      <c r="AK51" s="308">
        <f t="shared" si="18"/>
        <v>0</v>
      </c>
      <c r="AL51" s="308">
        <f t="shared" si="19"/>
        <v>0</v>
      </c>
      <c r="AN51" s="327">
        <f t="shared" si="25"/>
        <v>20.675824999999996</v>
      </c>
      <c r="AO51" s="331">
        <f t="shared" si="26"/>
        <v>17</v>
      </c>
    </row>
    <row r="52" spans="1:41">
      <c r="B52" s="102">
        <f t="shared" si="20"/>
        <v>3</v>
      </c>
      <c r="C52" s="113">
        <f>PJM_01212000!A36</f>
        <v>36597</v>
      </c>
      <c r="D52" s="315">
        <f>PJM_01212000!C36</f>
        <v>17</v>
      </c>
      <c r="E52" s="133">
        <f t="shared" si="21"/>
        <v>0</v>
      </c>
      <c r="F52" s="133">
        <f t="shared" si="28"/>
        <v>1.1898</v>
      </c>
      <c r="G52" s="133">
        <f t="shared" si="28"/>
        <v>1.1861999999999999</v>
      </c>
      <c r="H52" s="133">
        <f t="shared" si="28"/>
        <v>0</v>
      </c>
      <c r="I52" s="133">
        <f t="shared" si="28"/>
        <v>0</v>
      </c>
      <c r="J52" s="133">
        <f t="shared" si="28"/>
        <v>0</v>
      </c>
      <c r="K52" s="133">
        <f t="shared" si="28"/>
        <v>0</v>
      </c>
      <c r="L52" s="133">
        <f t="shared" si="28"/>
        <v>0</v>
      </c>
      <c r="M52" s="133">
        <f t="shared" si="28"/>
        <v>0</v>
      </c>
      <c r="N52" s="133">
        <f t="shared" si="28"/>
        <v>0</v>
      </c>
      <c r="O52" s="133">
        <f t="shared" si="28"/>
        <v>0</v>
      </c>
      <c r="P52" s="133">
        <f t="shared" si="28"/>
        <v>1.2719</v>
      </c>
      <c r="Q52" s="133">
        <f t="shared" si="28"/>
        <v>1.2170000000000001</v>
      </c>
      <c r="R52" s="133">
        <f t="shared" si="28"/>
        <v>0</v>
      </c>
      <c r="S52" s="133">
        <f t="shared" si="28"/>
        <v>0</v>
      </c>
      <c r="T52" s="133">
        <f t="shared" si="28"/>
        <v>0</v>
      </c>
      <c r="U52" s="133">
        <f t="shared" si="23"/>
        <v>0</v>
      </c>
      <c r="W52" s="308">
        <f t="shared" si="24"/>
        <v>0</v>
      </c>
      <c r="X52" s="308">
        <f t="shared" si="5"/>
        <v>20.226599999999998</v>
      </c>
      <c r="Y52" s="308">
        <f t="shared" si="6"/>
        <v>20.165399999999998</v>
      </c>
      <c r="Z52" s="308">
        <f t="shared" si="7"/>
        <v>0</v>
      </c>
      <c r="AA52" s="308">
        <f t="shared" si="8"/>
        <v>0</v>
      </c>
      <c r="AB52" s="308">
        <f t="shared" si="9"/>
        <v>0</v>
      </c>
      <c r="AC52" s="308">
        <f t="shared" si="10"/>
        <v>0</v>
      </c>
      <c r="AD52" s="308">
        <f t="shared" si="11"/>
        <v>0</v>
      </c>
      <c r="AE52" s="308">
        <f t="shared" si="12"/>
        <v>0</v>
      </c>
      <c r="AF52" s="308">
        <f t="shared" si="13"/>
        <v>0</v>
      </c>
      <c r="AG52" s="308">
        <f t="shared" si="14"/>
        <v>0</v>
      </c>
      <c r="AH52" s="308">
        <f t="shared" si="15"/>
        <v>21.622299999999999</v>
      </c>
      <c r="AI52" s="308">
        <f t="shared" si="16"/>
        <v>20.689</v>
      </c>
      <c r="AJ52" s="308">
        <f t="shared" si="17"/>
        <v>0</v>
      </c>
      <c r="AK52" s="308">
        <f t="shared" si="18"/>
        <v>0</v>
      </c>
      <c r="AL52" s="308">
        <f t="shared" si="19"/>
        <v>0</v>
      </c>
      <c r="AN52" s="327">
        <f t="shared" si="25"/>
        <v>20.675824999999996</v>
      </c>
      <c r="AO52" s="331">
        <f t="shared" si="26"/>
        <v>17</v>
      </c>
    </row>
    <row r="53" spans="1:41">
      <c r="B53" s="102">
        <f t="shared" si="20"/>
        <v>3</v>
      </c>
      <c r="C53" s="113">
        <f>PJM_01212000!A37</f>
        <v>36598</v>
      </c>
      <c r="D53" s="315">
        <f>PJM_01212000!C37</f>
        <v>24.649999618530273</v>
      </c>
      <c r="E53" s="133">
        <f t="shared" si="21"/>
        <v>0</v>
      </c>
      <c r="F53" s="133">
        <f t="shared" si="28"/>
        <v>1.1898</v>
      </c>
      <c r="G53" s="133">
        <f t="shared" si="28"/>
        <v>1.1861999999999999</v>
      </c>
      <c r="H53" s="133">
        <f t="shared" si="28"/>
        <v>0</v>
      </c>
      <c r="I53" s="133">
        <f t="shared" si="28"/>
        <v>0</v>
      </c>
      <c r="J53" s="133">
        <f t="shared" si="28"/>
        <v>0</v>
      </c>
      <c r="K53" s="133">
        <f t="shared" si="28"/>
        <v>0</v>
      </c>
      <c r="L53" s="133">
        <f t="shared" si="28"/>
        <v>0</v>
      </c>
      <c r="M53" s="133">
        <f t="shared" si="28"/>
        <v>0</v>
      </c>
      <c r="N53" s="133">
        <f t="shared" si="28"/>
        <v>0</v>
      </c>
      <c r="O53" s="133">
        <f t="shared" si="28"/>
        <v>0</v>
      </c>
      <c r="P53" s="133">
        <f t="shared" si="28"/>
        <v>1.2719</v>
      </c>
      <c r="Q53" s="133">
        <f t="shared" si="28"/>
        <v>1.2170000000000001</v>
      </c>
      <c r="R53" s="133">
        <f t="shared" si="28"/>
        <v>0</v>
      </c>
      <c r="S53" s="133">
        <f t="shared" si="28"/>
        <v>0</v>
      </c>
      <c r="T53" s="133">
        <f t="shared" si="28"/>
        <v>0</v>
      </c>
      <c r="U53" s="133">
        <f t="shared" si="23"/>
        <v>0</v>
      </c>
      <c r="W53" s="308">
        <f t="shared" si="24"/>
        <v>0</v>
      </c>
      <c r="X53" s="308">
        <f t="shared" si="5"/>
        <v>29.328569546127319</v>
      </c>
      <c r="Y53" s="308">
        <f t="shared" si="6"/>
        <v>29.239829547500609</v>
      </c>
      <c r="Z53" s="308">
        <f t="shared" si="7"/>
        <v>0</v>
      </c>
      <c r="AA53" s="308">
        <f t="shared" si="8"/>
        <v>0</v>
      </c>
      <c r="AB53" s="308">
        <f t="shared" si="9"/>
        <v>0</v>
      </c>
      <c r="AC53" s="308">
        <f t="shared" si="10"/>
        <v>0</v>
      </c>
      <c r="AD53" s="308">
        <f t="shared" si="11"/>
        <v>0</v>
      </c>
      <c r="AE53" s="308">
        <f t="shared" si="12"/>
        <v>0</v>
      </c>
      <c r="AF53" s="308">
        <f t="shared" si="13"/>
        <v>0</v>
      </c>
      <c r="AG53" s="308">
        <f t="shared" si="14"/>
        <v>0</v>
      </c>
      <c r="AH53" s="308">
        <f t="shared" si="15"/>
        <v>31.352334514808657</v>
      </c>
      <c r="AI53" s="308">
        <f t="shared" si="16"/>
        <v>29.999049535751343</v>
      </c>
      <c r="AJ53" s="308">
        <f t="shared" si="17"/>
        <v>0</v>
      </c>
      <c r="AK53" s="308">
        <f t="shared" si="18"/>
        <v>0</v>
      </c>
      <c r="AL53" s="308">
        <f t="shared" si="19"/>
        <v>0</v>
      </c>
      <c r="AN53" s="327">
        <f t="shared" si="25"/>
        <v>29.979945786046983</v>
      </c>
      <c r="AO53" s="331">
        <f t="shared" si="26"/>
        <v>24.649999618530273</v>
      </c>
    </row>
    <row r="54" spans="1:41">
      <c r="B54" s="102">
        <f t="shared" si="20"/>
        <v>3</v>
      </c>
      <c r="C54" s="113">
        <f>PJM_01212000!A38</f>
        <v>36616</v>
      </c>
      <c r="D54" s="315">
        <f>PJM_01212000!C38</f>
        <v>25</v>
      </c>
      <c r="E54" s="133">
        <f t="shared" si="21"/>
        <v>0</v>
      </c>
      <c r="F54" s="133">
        <f t="shared" si="28"/>
        <v>1.1898</v>
      </c>
      <c r="G54" s="133">
        <f t="shared" si="28"/>
        <v>1.1861999999999999</v>
      </c>
      <c r="H54" s="133">
        <f t="shared" si="28"/>
        <v>0</v>
      </c>
      <c r="I54" s="133">
        <f t="shared" si="28"/>
        <v>0</v>
      </c>
      <c r="J54" s="133">
        <f t="shared" si="28"/>
        <v>0</v>
      </c>
      <c r="K54" s="133">
        <f t="shared" si="28"/>
        <v>0</v>
      </c>
      <c r="L54" s="133">
        <f t="shared" si="28"/>
        <v>0</v>
      </c>
      <c r="M54" s="133">
        <f t="shared" si="28"/>
        <v>0</v>
      </c>
      <c r="N54" s="133">
        <f t="shared" si="28"/>
        <v>0</v>
      </c>
      <c r="O54" s="133">
        <f t="shared" si="28"/>
        <v>0</v>
      </c>
      <c r="P54" s="133">
        <f t="shared" si="28"/>
        <v>1.2719</v>
      </c>
      <c r="Q54" s="133">
        <f t="shared" si="28"/>
        <v>1.2170000000000001</v>
      </c>
      <c r="R54" s="133">
        <f t="shared" si="28"/>
        <v>0</v>
      </c>
      <c r="S54" s="133">
        <f t="shared" si="28"/>
        <v>0</v>
      </c>
      <c r="T54" s="133">
        <f t="shared" si="28"/>
        <v>0</v>
      </c>
      <c r="U54" s="133">
        <f t="shared" si="23"/>
        <v>0</v>
      </c>
      <c r="W54" s="308">
        <f t="shared" si="24"/>
        <v>0</v>
      </c>
      <c r="X54" s="308">
        <f t="shared" si="5"/>
        <v>29.744999999999997</v>
      </c>
      <c r="Y54" s="308">
        <f t="shared" si="6"/>
        <v>29.654999999999998</v>
      </c>
      <c r="Z54" s="308">
        <f t="shared" si="7"/>
        <v>0</v>
      </c>
      <c r="AA54" s="308">
        <f t="shared" si="8"/>
        <v>0</v>
      </c>
      <c r="AB54" s="308">
        <f t="shared" si="9"/>
        <v>0</v>
      </c>
      <c r="AC54" s="308">
        <f t="shared" si="10"/>
        <v>0</v>
      </c>
      <c r="AD54" s="308">
        <f t="shared" si="11"/>
        <v>0</v>
      </c>
      <c r="AE54" s="308">
        <f t="shared" si="12"/>
        <v>0</v>
      </c>
      <c r="AF54" s="308">
        <f t="shared" si="13"/>
        <v>0</v>
      </c>
      <c r="AG54" s="308">
        <f t="shared" si="14"/>
        <v>0</v>
      </c>
      <c r="AH54" s="308">
        <f t="shared" si="15"/>
        <v>31.797499999999999</v>
      </c>
      <c r="AI54" s="308">
        <f t="shared" si="16"/>
        <v>30.425000000000001</v>
      </c>
      <c r="AJ54" s="308">
        <f t="shared" si="17"/>
        <v>0</v>
      </c>
      <c r="AK54" s="308">
        <f t="shared" si="18"/>
        <v>0</v>
      </c>
      <c r="AL54" s="308">
        <f t="shared" si="19"/>
        <v>0</v>
      </c>
      <c r="AN54" s="327">
        <f t="shared" si="25"/>
        <v>30.405624999999997</v>
      </c>
      <c r="AO54" s="331">
        <f t="shared" si="26"/>
        <v>25</v>
      </c>
    </row>
    <row r="55" spans="1:41">
      <c r="B55" s="102">
        <f t="shared" si="20"/>
        <v>4</v>
      </c>
      <c r="C55" s="113">
        <f>PJM_01212000!A39</f>
        <v>36617</v>
      </c>
      <c r="D55" s="315">
        <f>PJM_01212000!C39</f>
        <v>25.399999237060548</v>
      </c>
      <c r="E55" s="133">
        <f t="shared" si="21"/>
        <v>1.1232726508202047</v>
      </c>
      <c r="F55" s="133">
        <f t="shared" si="28"/>
        <v>1.1413154461256174</v>
      </c>
      <c r="G55" s="133">
        <f t="shared" si="28"/>
        <v>0</v>
      </c>
      <c r="H55" s="133">
        <f t="shared" si="28"/>
        <v>0</v>
      </c>
      <c r="I55" s="133">
        <f t="shared" si="28"/>
        <v>1.1185245467924647</v>
      </c>
      <c r="J55" s="133">
        <f t="shared" si="28"/>
        <v>0</v>
      </c>
      <c r="K55" s="133">
        <f t="shared" si="28"/>
        <v>0</v>
      </c>
      <c r="L55" s="133">
        <f t="shared" si="28"/>
        <v>0</v>
      </c>
      <c r="M55" s="133">
        <f t="shared" si="28"/>
        <v>0</v>
      </c>
      <c r="N55" s="133">
        <f t="shared" si="28"/>
        <v>0</v>
      </c>
      <c r="O55" s="133">
        <f t="shared" si="28"/>
        <v>0</v>
      </c>
      <c r="P55" s="133">
        <f t="shared" si="28"/>
        <v>0</v>
      </c>
      <c r="Q55" s="133">
        <f t="shared" si="28"/>
        <v>0</v>
      </c>
      <c r="R55" s="133">
        <f t="shared" si="28"/>
        <v>1.1543365178491491</v>
      </c>
      <c r="S55" s="133">
        <f t="shared" si="28"/>
        <v>0</v>
      </c>
      <c r="T55" s="133">
        <f t="shared" si="28"/>
        <v>0</v>
      </c>
      <c r="U55" s="133">
        <f t="shared" si="23"/>
        <v>0</v>
      </c>
      <c r="W55" s="308">
        <f t="shared" si="24"/>
        <v>28.531124473844176</v>
      </c>
      <c r="X55" s="308">
        <f t="shared" si="5"/>
        <v>28.989411460836102</v>
      </c>
      <c r="Y55" s="308">
        <f t="shared" si="6"/>
        <v>0</v>
      </c>
      <c r="Z55" s="308">
        <f t="shared" si="7"/>
        <v>0</v>
      </c>
      <c r="AA55" s="308">
        <f t="shared" si="8"/>
        <v>28.410522635162099</v>
      </c>
      <c r="AB55" s="308">
        <f t="shared" si="9"/>
        <v>0</v>
      </c>
      <c r="AC55" s="308">
        <f t="shared" si="10"/>
        <v>0</v>
      </c>
      <c r="AD55" s="308">
        <f t="shared" si="11"/>
        <v>0</v>
      </c>
      <c r="AE55" s="308">
        <f t="shared" si="12"/>
        <v>0</v>
      </c>
      <c r="AF55" s="308">
        <f t="shared" si="13"/>
        <v>0</v>
      </c>
      <c r="AG55" s="308">
        <f t="shared" si="14"/>
        <v>0</v>
      </c>
      <c r="AH55" s="308">
        <f t="shared" si="15"/>
        <v>0</v>
      </c>
      <c r="AI55" s="308">
        <f t="shared" si="16"/>
        <v>0</v>
      </c>
      <c r="AJ55" s="308">
        <f t="shared" si="17"/>
        <v>29.320146672679517</v>
      </c>
      <c r="AK55" s="308">
        <f t="shared" si="18"/>
        <v>0</v>
      </c>
      <c r="AL55" s="308">
        <f t="shared" si="19"/>
        <v>0</v>
      </c>
      <c r="AN55" s="327">
        <f t="shared" si="25"/>
        <v>28.812801310630473</v>
      </c>
      <c r="AO55" s="331">
        <f t="shared" si="26"/>
        <v>25.399999237060548</v>
      </c>
    </row>
    <row r="56" spans="1:41">
      <c r="B56" s="102">
        <f t="shared" si="20"/>
        <v>5</v>
      </c>
      <c r="C56" s="113">
        <f>PJM_01212000!A40</f>
        <v>36647</v>
      </c>
      <c r="D56" s="315">
        <f>PJM_01212000!C40</f>
        <v>30.700000762939453</v>
      </c>
      <c r="E56" s="133">
        <f t="shared" si="21"/>
        <v>0</v>
      </c>
      <c r="F56" s="133">
        <f t="shared" si="28"/>
        <v>0</v>
      </c>
      <c r="G56" s="133">
        <f t="shared" si="28"/>
        <v>1.0610266218026732</v>
      </c>
      <c r="H56" s="133">
        <f t="shared" si="28"/>
        <v>1.1254998619307197</v>
      </c>
      <c r="I56" s="133">
        <f t="shared" si="28"/>
        <v>1.1169907033351396</v>
      </c>
      <c r="J56" s="133">
        <f t="shared" si="28"/>
        <v>0</v>
      </c>
      <c r="K56" s="133">
        <f t="shared" si="28"/>
        <v>0</v>
      </c>
      <c r="L56" s="133">
        <f t="shared" si="28"/>
        <v>0</v>
      </c>
      <c r="M56" s="133">
        <f t="shared" si="28"/>
        <v>0</v>
      </c>
      <c r="N56" s="133">
        <f t="shared" si="28"/>
        <v>0</v>
      </c>
      <c r="O56" s="133">
        <f t="shared" si="28"/>
        <v>0</v>
      </c>
      <c r="P56" s="133">
        <f t="shared" si="28"/>
        <v>0</v>
      </c>
      <c r="Q56" s="133">
        <f t="shared" si="28"/>
        <v>0</v>
      </c>
      <c r="R56" s="133">
        <f t="shared" si="28"/>
        <v>1.0876995612465097</v>
      </c>
      <c r="S56" s="133">
        <f t="shared" si="28"/>
        <v>0</v>
      </c>
      <c r="T56" s="133">
        <f t="shared" si="28"/>
        <v>0</v>
      </c>
      <c r="U56" s="133">
        <f t="shared" si="23"/>
        <v>0</v>
      </c>
      <c r="W56" s="308">
        <f t="shared" si="24"/>
        <v>0</v>
      </c>
      <c r="X56" s="308">
        <f t="shared" si="5"/>
        <v>0</v>
      </c>
      <c r="Y56" s="308">
        <f t="shared" si="6"/>
        <v>32.573518098841134</v>
      </c>
      <c r="Z56" s="308">
        <f t="shared" si="7"/>
        <v>34.552846619961343</v>
      </c>
      <c r="AA56" s="308">
        <f t="shared" si="8"/>
        <v>34.291615444585062</v>
      </c>
      <c r="AB56" s="308">
        <f t="shared" si="9"/>
        <v>0</v>
      </c>
      <c r="AC56" s="308">
        <f t="shared" si="10"/>
        <v>0</v>
      </c>
      <c r="AD56" s="308">
        <f t="shared" si="11"/>
        <v>0</v>
      </c>
      <c r="AE56" s="308">
        <f t="shared" si="12"/>
        <v>0</v>
      </c>
      <c r="AF56" s="308">
        <f t="shared" si="13"/>
        <v>0</v>
      </c>
      <c r="AG56" s="308">
        <f t="shared" si="14"/>
        <v>0</v>
      </c>
      <c r="AH56" s="308">
        <f t="shared" si="15"/>
        <v>0</v>
      </c>
      <c r="AI56" s="308">
        <f t="shared" si="16"/>
        <v>0</v>
      </c>
      <c r="AJ56" s="308">
        <f t="shared" si="17"/>
        <v>33.392377360116754</v>
      </c>
      <c r="AK56" s="308">
        <f t="shared" si="18"/>
        <v>0</v>
      </c>
      <c r="AL56" s="308">
        <f t="shared" si="19"/>
        <v>0</v>
      </c>
      <c r="AN56" s="327">
        <f t="shared" si="25"/>
        <v>33.702589380876077</v>
      </c>
      <c r="AO56" s="331">
        <f t="shared" si="26"/>
        <v>30.700000762939453</v>
      </c>
    </row>
    <row r="57" spans="1:41" s="445" customFormat="1">
      <c r="A57" s="442"/>
      <c r="B57" s="438">
        <f t="shared" si="20"/>
        <v>6</v>
      </c>
      <c r="C57" s="439">
        <f>PJM_01212000!A41</f>
        <v>36678</v>
      </c>
      <c r="D57" s="440">
        <f>PJM_01212000!C41</f>
        <v>58.075000762939453</v>
      </c>
      <c r="E57" s="441">
        <f t="shared" si="21"/>
        <v>0</v>
      </c>
      <c r="F57" s="441">
        <f t="shared" si="28"/>
        <v>0</v>
      </c>
      <c r="G57" s="441">
        <f t="shared" si="28"/>
        <v>0</v>
      </c>
      <c r="H57" s="441">
        <f t="shared" si="28"/>
        <v>0</v>
      </c>
      <c r="I57" s="441">
        <f t="shared" si="28"/>
        <v>0</v>
      </c>
      <c r="J57" s="441">
        <f t="shared" si="28"/>
        <v>0</v>
      </c>
      <c r="K57" s="441">
        <f t="shared" si="28"/>
        <v>1.2209201862181771</v>
      </c>
      <c r="L57" s="441">
        <f t="shared" si="28"/>
        <v>1.2303149771421382</v>
      </c>
      <c r="M57" s="441">
        <f t="shared" si="28"/>
        <v>1.2323281466258438</v>
      </c>
      <c r="N57" s="441">
        <f t="shared" si="28"/>
        <v>1.2523256301639896</v>
      </c>
      <c r="O57" s="441">
        <f t="shared" si="28"/>
        <v>0</v>
      </c>
      <c r="P57" s="441">
        <f t="shared" si="28"/>
        <v>0</v>
      </c>
      <c r="Q57" s="441">
        <f t="shared" si="28"/>
        <v>0</v>
      </c>
      <c r="R57" s="441">
        <f t="shared" si="28"/>
        <v>0</v>
      </c>
      <c r="S57" s="441">
        <f t="shared" si="28"/>
        <v>0</v>
      </c>
      <c r="T57" s="441">
        <f t="shared" si="28"/>
        <v>0</v>
      </c>
      <c r="U57" s="441">
        <f t="shared" si="23"/>
        <v>0</v>
      </c>
      <c r="V57" s="442"/>
      <c r="W57" s="443">
        <f t="shared" si="24"/>
        <v>0</v>
      </c>
      <c r="X57" s="443">
        <f t="shared" si="5"/>
        <v>0</v>
      </c>
      <c r="Y57" s="443">
        <f t="shared" si="6"/>
        <v>0</v>
      </c>
      <c r="Z57" s="443">
        <f t="shared" si="7"/>
        <v>0</v>
      </c>
      <c r="AA57" s="443">
        <f t="shared" si="8"/>
        <v>0</v>
      </c>
      <c r="AB57" s="443">
        <f t="shared" si="9"/>
        <v>0</v>
      </c>
      <c r="AC57" s="443">
        <f t="shared" si="10"/>
        <v>70.904940746108821</v>
      </c>
      <c r="AD57" s="443">
        <f t="shared" si="11"/>
        <v>71.45054323618551</v>
      </c>
      <c r="AE57" s="443">
        <f t="shared" si="12"/>
        <v>71.567458055487634</v>
      </c>
      <c r="AF57" s="443">
        <f t="shared" si="13"/>
        <v>72.728811927222324</v>
      </c>
      <c r="AG57" s="443">
        <f t="shared" si="14"/>
        <v>0</v>
      </c>
      <c r="AH57" s="443">
        <f t="shared" si="15"/>
        <v>0</v>
      </c>
      <c r="AI57" s="443">
        <f t="shared" si="16"/>
        <v>0</v>
      </c>
      <c r="AJ57" s="443">
        <f t="shared" si="17"/>
        <v>0</v>
      </c>
      <c r="AK57" s="443">
        <f t="shared" si="18"/>
        <v>0</v>
      </c>
      <c r="AL57" s="443">
        <f t="shared" si="19"/>
        <v>0</v>
      </c>
      <c r="AM57" s="442"/>
      <c r="AN57" s="437">
        <f t="shared" si="25"/>
        <v>71.662938491251083</v>
      </c>
      <c r="AO57" s="444">
        <f t="shared" si="26"/>
        <v>58.075000762939453</v>
      </c>
    </row>
    <row r="58" spans="1:41">
      <c r="B58" s="102">
        <f t="shared" si="20"/>
        <v>7</v>
      </c>
      <c r="C58" s="113">
        <f>PJM_01212000!A42</f>
        <v>36708</v>
      </c>
      <c r="D58" s="315">
        <f>PJM_01212000!C42</f>
        <v>103.75</v>
      </c>
      <c r="E58" s="133">
        <f t="shared" si="21"/>
        <v>0</v>
      </c>
      <c r="F58" s="133">
        <f t="shared" si="28"/>
        <v>0</v>
      </c>
      <c r="G58" s="133">
        <f t="shared" si="28"/>
        <v>0</v>
      </c>
      <c r="H58" s="133">
        <f t="shared" si="28"/>
        <v>0</v>
      </c>
      <c r="I58" s="133">
        <f t="shared" si="28"/>
        <v>0</v>
      </c>
      <c r="J58" s="133">
        <f t="shared" si="28"/>
        <v>0</v>
      </c>
      <c r="K58" s="133">
        <f t="shared" si="28"/>
        <v>0</v>
      </c>
      <c r="L58" s="133">
        <f t="shared" si="28"/>
        <v>1.2506946851612968</v>
      </c>
      <c r="M58" s="133">
        <f t="shared" si="28"/>
        <v>1.3273401940004199</v>
      </c>
      <c r="N58" s="133">
        <f t="shared" si="28"/>
        <v>1.3538888162792144</v>
      </c>
      <c r="O58" s="133">
        <f t="shared" si="28"/>
        <v>1.3203393586734773</v>
      </c>
      <c r="P58" s="133">
        <f t="shared" si="28"/>
        <v>0</v>
      </c>
      <c r="Q58" s="133">
        <f t="shared" si="28"/>
        <v>0</v>
      </c>
      <c r="R58" s="133">
        <f t="shared" si="28"/>
        <v>0</v>
      </c>
      <c r="S58" s="133">
        <f t="shared" si="28"/>
        <v>0</v>
      </c>
      <c r="T58" s="133">
        <f t="shared" si="28"/>
        <v>0</v>
      </c>
      <c r="U58" s="133">
        <f t="shared" si="23"/>
        <v>0</v>
      </c>
      <c r="W58" s="308">
        <f t="shared" si="24"/>
        <v>0</v>
      </c>
      <c r="X58" s="308">
        <f t="shared" si="5"/>
        <v>0</v>
      </c>
      <c r="Y58" s="308">
        <f t="shared" si="6"/>
        <v>0</v>
      </c>
      <c r="Z58" s="308">
        <f t="shared" si="7"/>
        <v>0</v>
      </c>
      <c r="AA58" s="308">
        <f t="shared" si="8"/>
        <v>0</v>
      </c>
      <c r="AB58" s="308">
        <f t="shared" si="9"/>
        <v>0</v>
      </c>
      <c r="AC58" s="308">
        <f t="shared" si="10"/>
        <v>0</v>
      </c>
      <c r="AD58" s="308">
        <f t="shared" si="11"/>
        <v>129.75957358548453</v>
      </c>
      <c r="AE58" s="308">
        <f t="shared" si="12"/>
        <v>137.71154512754356</v>
      </c>
      <c r="AF58" s="308">
        <f t="shared" si="13"/>
        <v>140.46596468896848</v>
      </c>
      <c r="AG58" s="308">
        <f t="shared" si="14"/>
        <v>136.98520846237327</v>
      </c>
      <c r="AH58" s="308">
        <f t="shared" si="15"/>
        <v>0</v>
      </c>
      <c r="AI58" s="308">
        <f t="shared" si="16"/>
        <v>0</v>
      </c>
      <c r="AJ58" s="308">
        <f t="shared" si="17"/>
        <v>0</v>
      </c>
      <c r="AK58" s="308">
        <f t="shared" si="18"/>
        <v>0</v>
      </c>
      <c r="AL58" s="308">
        <f t="shared" si="19"/>
        <v>0</v>
      </c>
      <c r="AN58" s="327">
        <f t="shared" si="25"/>
        <v>136.23057296609247</v>
      </c>
      <c r="AO58" s="331">
        <f t="shared" si="26"/>
        <v>103.75</v>
      </c>
    </row>
    <row r="59" spans="1:41">
      <c r="B59" s="102">
        <f t="shared" si="20"/>
        <v>8</v>
      </c>
      <c r="C59" s="113">
        <f>PJM_01212000!A43</f>
        <v>36739</v>
      </c>
      <c r="D59" s="315">
        <f>PJM_01212000!C43</f>
        <v>90.75</v>
      </c>
      <c r="E59" s="133">
        <f t="shared" si="21"/>
        <v>0</v>
      </c>
      <c r="F59" s="133">
        <f t="shared" si="28"/>
        <v>0</v>
      </c>
      <c r="G59" s="133">
        <f t="shared" si="28"/>
        <v>0</v>
      </c>
      <c r="H59" s="133">
        <f t="shared" si="28"/>
        <v>0</v>
      </c>
      <c r="I59" s="133">
        <f t="shared" si="28"/>
        <v>0</v>
      </c>
      <c r="J59" s="133">
        <f t="shared" si="28"/>
        <v>0</v>
      </c>
      <c r="K59" s="133">
        <f t="shared" si="28"/>
        <v>1.1907290919069531</v>
      </c>
      <c r="L59" s="133">
        <f t="shared" si="28"/>
        <v>1.26057331025457</v>
      </c>
      <c r="M59" s="133">
        <f t="shared" si="28"/>
        <v>1.2430109342677418</v>
      </c>
      <c r="N59" s="133">
        <f t="shared" si="28"/>
        <v>1.2150462278887151</v>
      </c>
      <c r="O59" s="133">
        <f t="shared" si="28"/>
        <v>0</v>
      </c>
      <c r="P59" s="133">
        <f t="shared" si="28"/>
        <v>0</v>
      </c>
      <c r="Q59" s="133">
        <f t="shared" si="28"/>
        <v>0</v>
      </c>
      <c r="R59" s="133">
        <f t="shared" si="28"/>
        <v>0</v>
      </c>
      <c r="S59" s="133">
        <f t="shared" si="28"/>
        <v>0</v>
      </c>
      <c r="T59" s="133">
        <f t="shared" si="28"/>
        <v>0</v>
      </c>
      <c r="U59" s="133">
        <f t="shared" si="23"/>
        <v>0</v>
      </c>
      <c r="W59" s="308">
        <f t="shared" si="24"/>
        <v>0</v>
      </c>
      <c r="X59" s="308">
        <f t="shared" si="5"/>
        <v>0</v>
      </c>
      <c r="Y59" s="308">
        <f t="shared" si="6"/>
        <v>0</v>
      </c>
      <c r="Z59" s="308">
        <f t="shared" si="7"/>
        <v>0</v>
      </c>
      <c r="AA59" s="308">
        <f t="shared" si="8"/>
        <v>0</v>
      </c>
      <c r="AB59" s="308">
        <f t="shared" si="9"/>
        <v>0</v>
      </c>
      <c r="AC59" s="308">
        <f t="shared" si="10"/>
        <v>108.05866509055599</v>
      </c>
      <c r="AD59" s="308">
        <f t="shared" si="11"/>
        <v>114.39702790560223</v>
      </c>
      <c r="AE59" s="308">
        <f t="shared" si="12"/>
        <v>112.80324228479756</v>
      </c>
      <c r="AF59" s="308">
        <f t="shared" si="13"/>
        <v>110.2654451809009</v>
      </c>
      <c r="AG59" s="308">
        <f t="shared" si="14"/>
        <v>0</v>
      </c>
      <c r="AH59" s="308">
        <f t="shared" si="15"/>
        <v>0</v>
      </c>
      <c r="AI59" s="308">
        <f t="shared" si="16"/>
        <v>0</v>
      </c>
      <c r="AJ59" s="308">
        <f t="shared" si="17"/>
        <v>0</v>
      </c>
      <c r="AK59" s="308">
        <f t="shared" si="18"/>
        <v>0</v>
      </c>
      <c r="AL59" s="308">
        <f t="shared" si="19"/>
        <v>0</v>
      </c>
      <c r="AN59" s="327">
        <f t="shared" si="25"/>
        <v>111.38109511546418</v>
      </c>
      <c r="AO59" s="331">
        <f t="shared" si="26"/>
        <v>90.75</v>
      </c>
    </row>
    <row r="60" spans="1:41">
      <c r="B60" s="102">
        <f t="shared" si="20"/>
        <v>9</v>
      </c>
      <c r="C60" s="113">
        <f>PJM_01212000!A44</f>
        <v>36770</v>
      </c>
      <c r="D60" s="315">
        <f>PJM_01212000!C44</f>
        <v>35.549999237060547</v>
      </c>
      <c r="E60" s="133">
        <f t="shared" si="21"/>
        <v>0</v>
      </c>
      <c r="F60" s="133">
        <f t="shared" ref="F60:T69" si="29">VLOOKUP($B60,$C$6:$Z$17,F$22+1)</f>
        <v>0</v>
      </c>
      <c r="G60" s="133">
        <f t="shared" si="29"/>
        <v>0</v>
      </c>
      <c r="H60" s="133">
        <f t="shared" si="29"/>
        <v>0</v>
      </c>
      <c r="I60" s="133">
        <f t="shared" si="29"/>
        <v>0</v>
      </c>
      <c r="J60" s="133">
        <f t="shared" si="29"/>
        <v>0</v>
      </c>
      <c r="K60" s="133">
        <f t="shared" si="29"/>
        <v>0</v>
      </c>
      <c r="L60" s="133">
        <f t="shared" si="29"/>
        <v>0</v>
      </c>
      <c r="M60" s="133">
        <f t="shared" si="29"/>
        <v>0</v>
      </c>
      <c r="N60" s="133">
        <f t="shared" si="29"/>
        <v>1.1345284089868721</v>
      </c>
      <c r="O60" s="133">
        <f t="shared" si="29"/>
        <v>1.1066962078625975</v>
      </c>
      <c r="P60" s="133">
        <f t="shared" si="29"/>
        <v>0</v>
      </c>
      <c r="Q60" s="133">
        <f t="shared" si="29"/>
        <v>1.184626371010566</v>
      </c>
      <c r="R60" s="133">
        <f t="shared" si="29"/>
        <v>1.1944408840385996</v>
      </c>
      <c r="S60" s="133">
        <f t="shared" si="29"/>
        <v>0</v>
      </c>
      <c r="T60" s="133">
        <f t="shared" si="29"/>
        <v>0</v>
      </c>
      <c r="U60" s="133">
        <f t="shared" si="23"/>
        <v>0</v>
      </c>
      <c r="W60" s="308">
        <f t="shared" si="24"/>
        <v>0</v>
      </c>
      <c r="X60" s="308">
        <f t="shared" si="5"/>
        <v>0</v>
      </c>
      <c r="Y60" s="308">
        <f t="shared" si="6"/>
        <v>0</v>
      </c>
      <c r="Z60" s="308">
        <f t="shared" si="7"/>
        <v>0</v>
      </c>
      <c r="AA60" s="308">
        <f t="shared" si="8"/>
        <v>0</v>
      </c>
      <c r="AB60" s="308">
        <f t="shared" si="9"/>
        <v>0</v>
      </c>
      <c r="AC60" s="308">
        <f t="shared" si="10"/>
        <v>0</v>
      </c>
      <c r="AD60" s="308">
        <f t="shared" si="11"/>
        <v>0</v>
      </c>
      <c r="AE60" s="308">
        <f t="shared" si="12"/>
        <v>0</v>
      </c>
      <c r="AF60" s="308">
        <f t="shared" si="13"/>
        <v>40.332484073906819</v>
      </c>
      <c r="AG60" s="308">
        <f t="shared" si="14"/>
        <v>39.343049345173142</v>
      </c>
      <c r="AH60" s="308">
        <f t="shared" si="15"/>
        <v>0</v>
      </c>
      <c r="AI60" s="308">
        <f t="shared" si="16"/>
        <v>42.113466585627428</v>
      </c>
      <c r="AJ60" s="308">
        <f t="shared" si="17"/>
        <v>42.462372516286138</v>
      </c>
      <c r="AK60" s="308">
        <f t="shared" si="18"/>
        <v>0</v>
      </c>
      <c r="AL60" s="308">
        <f t="shared" si="19"/>
        <v>0</v>
      </c>
      <c r="AN60" s="327">
        <f t="shared" si="25"/>
        <v>41.062843130248382</v>
      </c>
      <c r="AO60" s="331">
        <f t="shared" si="26"/>
        <v>35.549999237060547</v>
      </c>
    </row>
    <row r="61" spans="1:41">
      <c r="B61" s="102">
        <f t="shared" si="20"/>
        <v>10</v>
      </c>
      <c r="C61" s="113">
        <f>PJM_01212000!A45</f>
        <v>36800</v>
      </c>
      <c r="D61" s="315">
        <f>PJM_01212000!C45</f>
        <v>25.450000762939453</v>
      </c>
      <c r="E61" s="133">
        <f t="shared" si="21"/>
        <v>0</v>
      </c>
      <c r="F61" s="133">
        <f t="shared" si="29"/>
        <v>1.1326000000000001</v>
      </c>
      <c r="G61" s="133">
        <f t="shared" si="29"/>
        <v>0</v>
      </c>
      <c r="H61" s="133">
        <f t="shared" si="29"/>
        <v>0</v>
      </c>
      <c r="I61" s="133">
        <f t="shared" si="29"/>
        <v>0</v>
      </c>
      <c r="J61" s="133">
        <f t="shared" si="29"/>
        <v>0</v>
      </c>
      <c r="K61" s="133">
        <f t="shared" si="29"/>
        <v>0</v>
      </c>
      <c r="L61" s="133">
        <f t="shared" si="29"/>
        <v>0</v>
      </c>
      <c r="M61" s="133">
        <f t="shared" si="29"/>
        <v>0</v>
      </c>
      <c r="N61" s="133">
        <f t="shared" si="29"/>
        <v>0</v>
      </c>
      <c r="O61" s="133">
        <f t="shared" si="29"/>
        <v>1.2000999999999999</v>
      </c>
      <c r="P61" s="133">
        <f t="shared" si="29"/>
        <v>1.2095</v>
      </c>
      <c r="Q61" s="133">
        <f t="shared" si="29"/>
        <v>1.1567000000000001</v>
      </c>
      <c r="R61" s="133">
        <f t="shared" si="29"/>
        <v>0</v>
      </c>
      <c r="S61" s="133">
        <f t="shared" si="29"/>
        <v>0</v>
      </c>
      <c r="T61" s="133">
        <f t="shared" si="29"/>
        <v>0</v>
      </c>
      <c r="U61" s="133">
        <f t="shared" si="23"/>
        <v>0</v>
      </c>
      <c r="W61" s="308">
        <f t="shared" si="24"/>
        <v>0</v>
      </c>
      <c r="X61" s="308">
        <f t="shared" si="5"/>
        <v>28.824670864105226</v>
      </c>
      <c r="Y61" s="308">
        <f t="shared" si="6"/>
        <v>0</v>
      </c>
      <c r="Z61" s="308">
        <f t="shared" si="7"/>
        <v>0</v>
      </c>
      <c r="AA61" s="308">
        <f t="shared" si="8"/>
        <v>0</v>
      </c>
      <c r="AB61" s="308">
        <f t="shared" si="9"/>
        <v>0</v>
      </c>
      <c r="AC61" s="308">
        <f t="shared" si="10"/>
        <v>0</v>
      </c>
      <c r="AD61" s="308">
        <f t="shared" si="11"/>
        <v>0</v>
      </c>
      <c r="AE61" s="308">
        <f t="shared" si="12"/>
        <v>0</v>
      </c>
      <c r="AF61" s="308">
        <f t="shared" si="13"/>
        <v>0</v>
      </c>
      <c r="AG61" s="308">
        <f t="shared" si="14"/>
        <v>30.542545915603636</v>
      </c>
      <c r="AH61" s="308">
        <f t="shared" si="15"/>
        <v>30.781775922775267</v>
      </c>
      <c r="AI61" s="308">
        <f t="shared" si="16"/>
        <v>29.438015882492067</v>
      </c>
      <c r="AJ61" s="308">
        <f t="shared" si="17"/>
        <v>0</v>
      </c>
      <c r="AK61" s="308">
        <f t="shared" si="18"/>
        <v>0</v>
      </c>
      <c r="AL61" s="308">
        <f t="shared" si="19"/>
        <v>0</v>
      </c>
      <c r="AN61" s="327">
        <f t="shared" si="25"/>
        <v>29.896752146244047</v>
      </c>
      <c r="AO61" s="331">
        <f t="shared" si="26"/>
        <v>25.450000762939453</v>
      </c>
    </row>
    <row r="62" spans="1:41">
      <c r="B62" s="102">
        <f t="shared" si="20"/>
        <v>11</v>
      </c>
      <c r="C62" s="113">
        <f>PJM_01212000!A46</f>
        <v>36831</v>
      </c>
      <c r="D62" s="315">
        <f>PJM_01212000!C46</f>
        <v>25.149999618530273</v>
      </c>
      <c r="E62" s="133">
        <f t="shared" si="21"/>
        <v>0</v>
      </c>
      <c r="F62" s="133">
        <f t="shared" si="29"/>
        <v>1.1426000000000001</v>
      </c>
      <c r="G62" s="133">
        <f t="shared" si="29"/>
        <v>0</v>
      </c>
      <c r="H62" s="133">
        <f t="shared" si="29"/>
        <v>0</v>
      </c>
      <c r="I62" s="133">
        <f t="shared" si="29"/>
        <v>0</v>
      </c>
      <c r="J62" s="133">
        <f t="shared" si="29"/>
        <v>0</v>
      </c>
      <c r="K62" s="133">
        <f t="shared" si="29"/>
        <v>0</v>
      </c>
      <c r="L62" s="133">
        <f t="shared" si="29"/>
        <v>0</v>
      </c>
      <c r="M62" s="133">
        <f t="shared" si="29"/>
        <v>0</v>
      </c>
      <c r="N62" s="133">
        <f t="shared" si="29"/>
        <v>0</v>
      </c>
      <c r="O62" s="133">
        <f t="shared" si="29"/>
        <v>1.2171000000000001</v>
      </c>
      <c r="P62" s="133">
        <f t="shared" si="29"/>
        <v>1.2269000000000001</v>
      </c>
      <c r="Q62" s="133">
        <f t="shared" si="29"/>
        <v>1.1767000000000001</v>
      </c>
      <c r="R62" s="133">
        <f t="shared" si="29"/>
        <v>0</v>
      </c>
      <c r="S62" s="133">
        <f t="shared" si="29"/>
        <v>0</v>
      </c>
      <c r="T62" s="133">
        <f t="shared" si="29"/>
        <v>0</v>
      </c>
      <c r="U62" s="133">
        <f t="shared" si="23"/>
        <v>0</v>
      </c>
      <c r="W62" s="308">
        <f t="shared" si="24"/>
        <v>0</v>
      </c>
      <c r="X62" s="308">
        <f t="shared" si="5"/>
        <v>28.736389564132693</v>
      </c>
      <c r="Y62" s="308">
        <f t="shared" si="6"/>
        <v>0</v>
      </c>
      <c r="Z62" s="308">
        <f t="shared" si="7"/>
        <v>0</v>
      </c>
      <c r="AA62" s="308">
        <f t="shared" si="8"/>
        <v>0</v>
      </c>
      <c r="AB62" s="308">
        <f t="shared" si="9"/>
        <v>0</v>
      </c>
      <c r="AC62" s="308">
        <f t="shared" si="10"/>
        <v>0</v>
      </c>
      <c r="AD62" s="308">
        <f t="shared" si="11"/>
        <v>0</v>
      </c>
      <c r="AE62" s="308">
        <f t="shared" si="12"/>
        <v>0</v>
      </c>
      <c r="AF62" s="308">
        <f t="shared" si="13"/>
        <v>0</v>
      </c>
      <c r="AG62" s="308">
        <f t="shared" si="14"/>
        <v>30.610064535713196</v>
      </c>
      <c r="AH62" s="308">
        <f t="shared" si="15"/>
        <v>30.856534531974795</v>
      </c>
      <c r="AI62" s="308">
        <f t="shared" si="16"/>
        <v>29.594004551124574</v>
      </c>
      <c r="AJ62" s="308">
        <f t="shared" si="17"/>
        <v>0</v>
      </c>
      <c r="AK62" s="308">
        <f t="shared" si="18"/>
        <v>0</v>
      </c>
      <c r="AL62" s="308">
        <f t="shared" si="19"/>
        <v>0</v>
      </c>
      <c r="AN62" s="327">
        <f t="shared" si="25"/>
        <v>29.949248295736314</v>
      </c>
      <c r="AO62" s="331">
        <f t="shared" si="26"/>
        <v>25.149999618530273</v>
      </c>
    </row>
    <row r="63" spans="1:41">
      <c r="B63" s="102">
        <f t="shared" si="20"/>
        <v>12</v>
      </c>
      <c r="C63" s="113">
        <f>PJM_01212000!A47</f>
        <v>36861</v>
      </c>
      <c r="D63" s="315">
        <f>PJM_01212000!C47</f>
        <v>27.375</v>
      </c>
      <c r="E63" s="133">
        <f t="shared" si="21"/>
        <v>0</v>
      </c>
      <c r="F63" s="133">
        <f t="shared" si="29"/>
        <v>1.1637999999999999</v>
      </c>
      <c r="G63" s="133">
        <f t="shared" si="29"/>
        <v>0</v>
      </c>
      <c r="H63" s="133">
        <f t="shared" si="29"/>
        <v>0</v>
      </c>
      <c r="I63" s="133">
        <f t="shared" si="29"/>
        <v>0</v>
      </c>
      <c r="J63" s="133">
        <f t="shared" si="29"/>
        <v>0</v>
      </c>
      <c r="K63" s="133">
        <f t="shared" si="29"/>
        <v>0</v>
      </c>
      <c r="L63" s="133">
        <f t="shared" si="29"/>
        <v>0</v>
      </c>
      <c r="M63" s="133">
        <f t="shared" si="29"/>
        <v>0</v>
      </c>
      <c r="N63" s="133">
        <f t="shared" si="29"/>
        <v>0</v>
      </c>
      <c r="O63" s="133">
        <f t="shared" si="29"/>
        <v>1.2396592528631896</v>
      </c>
      <c r="P63" s="133">
        <f t="shared" si="29"/>
        <v>1.2314000000000001</v>
      </c>
      <c r="Q63" s="133">
        <f t="shared" si="29"/>
        <v>1.1889963083145296</v>
      </c>
      <c r="R63" s="133">
        <f t="shared" si="29"/>
        <v>0</v>
      </c>
      <c r="S63" s="133">
        <f t="shared" si="29"/>
        <v>0</v>
      </c>
      <c r="T63" s="133">
        <f t="shared" si="29"/>
        <v>0</v>
      </c>
      <c r="U63" s="133">
        <f t="shared" si="23"/>
        <v>0</v>
      </c>
      <c r="W63" s="308">
        <f t="shared" si="24"/>
        <v>0</v>
      </c>
      <c r="X63" s="308">
        <f t="shared" si="5"/>
        <v>31.859024999999999</v>
      </c>
      <c r="Y63" s="308">
        <f t="shared" si="6"/>
        <v>0</v>
      </c>
      <c r="Z63" s="308">
        <f t="shared" si="7"/>
        <v>0</v>
      </c>
      <c r="AA63" s="308">
        <f t="shared" si="8"/>
        <v>0</v>
      </c>
      <c r="AB63" s="308">
        <f t="shared" si="9"/>
        <v>0</v>
      </c>
      <c r="AC63" s="308">
        <f t="shared" si="10"/>
        <v>0</v>
      </c>
      <c r="AD63" s="308">
        <f t="shared" si="11"/>
        <v>0</v>
      </c>
      <c r="AE63" s="308">
        <f t="shared" si="12"/>
        <v>0</v>
      </c>
      <c r="AF63" s="308">
        <f t="shared" si="13"/>
        <v>0</v>
      </c>
      <c r="AG63" s="308">
        <f t="shared" si="14"/>
        <v>33.935672047129813</v>
      </c>
      <c r="AH63" s="308">
        <f t="shared" si="15"/>
        <v>33.709575000000001</v>
      </c>
      <c r="AI63" s="308">
        <f t="shared" si="16"/>
        <v>32.548773940110252</v>
      </c>
      <c r="AJ63" s="308">
        <f t="shared" si="17"/>
        <v>0</v>
      </c>
      <c r="AK63" s="308">
        <f t="shared" si="18"/>
        <v>0</v>
      </c>
      <c r="AL63" s="308">
        <f t="shared" si="19"/>
        <v>0</v>
      </c>
      <c r="AN63" s="327">
        <f t="shared" si="25"/>
        <v>33.013261496810017</v>
      </c>
      <c r="AO63" s="331">
        <f t="shared" si="26"/>
        <v>27.375</v>
      </c>
    </row>
    <row r="64" spans="1:41">
      <c r="B64" s="102">
        <f t="shared" si="20"/>
        <v>1</v>
      </c>
      <c r="C64" s="113">
        <f>PJM_01212000!A48</f>
        <v>36892</v>
      </c>
      <c r="D64" s="315">
        <f>PJM_01212000!C48</f>
        <v>35.224998474121094</v>
      </c>
      <c r="E64" s="133">
        <f t="shared" si="21"/>
        <v>0</v>
      </c>
      <c r="F64" s="133">
        <f t="shared" si="29"/>
        <v>1.1998117566192825</v>
      </c>
      <c r="G64" s="133">
        <f t="shared" si="29"/>
        <v>1.1961600115620716</v>
      </c>
      <c r="H64" s="133">
        <f t="shared" si="29"/>
        <v>0</v>
      </c>
      <c r="I64" s="133">
        <f t="shared" si="29"/>
        <v>0</v>
      </c>
      <c r="J64" s="133">
        <f t="shared" si="29"/>
        <v>0</v>
      </c>
      <c r="K64" s="133">
        <f t="shared" si="29"/>
        <v>0</v>
      </c>
      <c r="L64" s="133">
        <f t="shared" si="29"/>
        <v>0</v>
      </c>
      <c r="M64" s="133">
        <f t="shared" si="29"/>
        <v>0</v>
      </c>
      <c r="N64" s="133">
        <f t="shared" si="29"/>
        <v>0</v>
      </c>
      <c r="O64" s="133">
        <f t="shared" si="29"/>
        <v>0</v>
      </c>
      <c r="P64" s="133">
        <f t="shared" si="29"/>
        <v>1.2818992289435116</v>
      </c>
      <c r="Q64" s="133">
        <f t="shared" si="29"/>
        <v>1.2270000000000001</v>
      </c>
      <c r="R64" s="133">
        <f t="shared" si="29"/>
        <v>0</v>
      </c>
      <c r="S64" s="133">
        <f t="shared" si="29"/>
        <v>0</v>
      </c>
      <c r="T64" s="133">
        <f t="shared" si="29"/>
        <v>0</v>
      </c>
      <c r="U64" s="133">
        <f t="shared" si="23"/>
        <v>0</v>
      </c>
      <c r="W64" s="308">
        <f t="shared" si="24"/>
        <v>0</v>
      </c>
      <c r="X64" s="308">
        <f t="shared" si="5"/>
        <v>42.263367296146775</v>
      </c>
      <c r="Y64" s="308">
        <f t="shared" si="6"/>
        <v>42.134734582078643</v>
      </c>
      <c r="Z64" s="308">
        <f t="shared" si="7"/>
        <v>0</v>
      </c>
      <c r="AA64" s="308">
        <f t="shared" si="8"/>
        <v>0</v>
      </c>
      <c r="AB64" s="308">
        <f t="shared" si="9"/>
        <v>0</v>
      </c>
      <c r="AC64" s="308">
        <f t="shared" si="10"/>
        <v>0</v>
      </c>
      <c r="AD64" s="308">
        <f t="shared" si="11"/>
        <v>0</v>
      </c>
      <c r="AE64" s="308">
        <f t="shared" si="12"/>
        <v>0</v>
      </c>
      <c r="AF64" s="308">
        <f t="shared" si="13"/>
        <v>0</v>
      </c>
      <c r="AG64" s="308">
        <f t="shared" si="14"/>
        <v>0</v>
      </c>
      <c r="AH64" s="308">
        <f t="shared" si="15"/>
        <v>45.154898383512204</v>
      </c>
      <c r="AI64" s="308">
        <f t="shared" si="16"/>
        <v>43.221073127746585</v>
      </c>
      <c r="AJ64" s="308">
        <f t="shared" si="17"/>
        <v>0</v>
      </c>
      <c r="AK64" s="308">
        <f t="shared" si="18"/>
        <v>0</v>
      </c>
      <c r="AL64" s="308">
        <f t="shared" si="19"/>
        <v>0</v>
      </c>
      <c r="AN64" s="327">
        <f t="shared" si="25"/>
        <v>43.193518347371054</v>
      </c>
      <c r="AO64" s="331">
        <f t="shared" si="26"/>
        <v>35.224998474121094</v>
      </c>
    </row>
    <row r="65" spans="2:41">
      <c r="B65" s="102">
        <f t="shared" si="20"/>
        <v>2</v>
      </c>
      <c r="C65" s="113">
        <f>PJM_01212000!A49</f>
        <v>36923</v>
      </c>
      <c r="D65" s="315">
        <f>PJM_01212000!C49</f>
        <v>35.224998474121094</v>
      </c>
      <c r="E65" s="133">
        <f t="shared" si="21"/>
        <v>0</v>
      </c>
      <c r="F65" s="133">
        <f t="shared" si="29"/>
        <v>1.1998117566192825</v>
      </c>
      <c r="G65" s="133">
        <f t="shared" si="29"/>
        <v>1.1961600115620716</v>
      </c>
      <c r="H65" s="133">
        <f t="shared" si="29"/>
        <v>0</v>
      </c>
      <c r="I65" s="133">
        <f t="shared" si="29"/>
        <v>0</v>
      </c>
      <c r="J65" s="133">
        <f t="shared" si="29"/>
        <v>0</v>
      </c>
      <c r="K65" s="133">
        <f t="shared" si="29"/>
        <v>0</v>
      </c>
      <c r="L65" s="133">
        <f t="shared" si="29"/>
        <v>0</v>
      </c>
      <c r="M65" s="133">
        <f t="shared" si="29"/>
        <v>0</v>
      </c>
      <c r="N65" s="133">
        <f t="shared" si="29"/>
        <v>0</v>
      </c>
      <c r="O65" s="133">
        <f t="shared" si="29"/>
        <v>0</v>
      </c>
      <c r="P65" s="133">
        <f t="shared" si="29"/>
        <v>1.2818992289435116</v>
      </c>
      <c r="Q65" s="133">
        <f t="shared" si="29"/>
        <v>1.2270000000000001</v>
      </c>
      <c r="R65" s="133">
        <f t="shared" si="29"/>
        <v>0</v>
      </c>
      <c r="S65" s="133">
        <f t="shared" si="29"/>
        <v>0</v>
      </c>
      <c r="T65" s="133">
        <f t="shared" si="29"/>
        <v>0</v>
      </c>
      <c r="U65" s="133">
        <f t="shared" si="23"/>
        <v>0</v>
      </c>
      <c r="W65" s="308">
        <f t="shared" si="24"/>
        <v>0</v>
      </c>
      <c r="X65" s="308">
        <f t="shared" si="5"/>
        <v>42.263367296146775</v>
      </c>
      <c r="Y65" s="308">
        <f t="shared" si="6"/>
        <v>42.134734582078643</v>
      </c>
      <c r="Z65" s="308">
        <f t="shared" si="7"/>
        <v>0</v>
      </c>
      <c r="AA65" s="308">
        <f t="shared" si="8"/>
        <v>0</v>
      </c>
      <c r="AB65" s="308">
        <f t="shared" si="9"/>
        <v>0</v>
      </c>
      <c r="AC65" s="308">
        <f t="shared" si="10"/>
        <v>0</v>
      </c>
      <c r="AD65" s="308">
        <f t="shared" si="11"/>
        <v>0</v>
      </c>
      <c r="AE65" s="308">
        <f t="shared" si="12"/>
        <v>0</v>
      </c>
      <c r="AF65" s="308">
        <f t="shared" si="13"/>
        <v>0</v>
      </c>
      <c r="AG65" s="308">
        <f t="shared" si="14"/>
        <v>0</v>
      </c>
      <c r="AH65" s="308">
        <f t="shared" si="15"/>
        <v>45.154898383512204</v>
      </c>
      <c r="AI65" s="308">
        <f t="shared" si="16"/>
        <v>43.221073127746585</v>
      </c>
      <c r="AJ65" s="308">
        <f t="shared" si="17"/>
        <v>0</v>
      </c>
      <c r="AK65" s="308">
        <f t="shared" si="18"/>
        <v>0</v>
      </c>
      <c r="AL65" s="308">
        <f t="shared" si="19"/>
        <v>0</v>
      </c>
      <c r="AN65" s="327">
        <f t="shared" si="25"/>
        <v>43.193518347371054</v>
      </c>
      <c r="AO65" s="331">
        <f t="shared" si="26"/>
        <v>35.224998474121094</v>
      </c>
    </row>
    <row r="66" spans="2:41">
      <c r="B66" s="102">
        <f t="shared" si="20"/>
        <v>3</v>
      </c>
      <c r="C66" s="113">
        <f>PJM_01212000!A50</f>
        <v>36951</v>
      </c>
      <c r="D66" s="315">
        <f>PJM_01212000!C50</f>
        <v>25.575000762939453</v>
      </c>
      <c r="E66" s="133">
        <f t="shared" si="21"/>
        <v>0</v>
      </c>
      <c r="F66" s="133">
        <f t="shared" si="29"/>
        <v>1.1898</v>
      </c>
      <c r="G66" s="133">
        <f t="shared" si="29"/>
        <v>1.1861999999999999</v>
      </c>
      <c r="H66" s="133">
        <f t="shared" si="29"/>
        <v>0</v>
      </c>
      <c r="I66" s="133">
        <f t="shared" si="29"/>
        <v>0</v>
      </c>
      <c r="J66" s="133">
        <f t="shared" si="29"/>
        <v>0</v>
      </c>
      <c r="K66" s="133">
        <f t="shared" si="29"/>
        <v>0</v>
      </c>
      <c r="L66" s="133">
        <f t="shared" si="29"/>
        <v>0</v>
      </c>
      <c r="M66" s="133">
        <f t="shared" si="29"/>
        <v>0</v>
      </c>
      <c r="N66" s="133">
        <f t="shared" si="29"/>
        <v>0</v>
      </c>
      <c r="O66" s="133">
        <f t="shared" si="29"/>
        <v>0</v>
      </c>
      <c r="P66" s="133">
        <f t="shared" si="29"/>
        <v>1.2719</v>
      </c>
      <c r="Q66" s="133">
        <f t="shared" si="29"/>
        <v>1.2170000000000001</v>
      </c>
      <c r="R66" s="133">
        <f t="shared" si="29"/>
        <v>0</v>
      </c>
      <c r="S66" s="133">
        <f t="shared" si="29"/>
        <v>0</v>
      </c>
      <c r="T66" s="133">
        <f t="shared" si="29"/>
        <v>0</v>
      </c>
      <c r="U66" s="133">
        <f t="shared" si="23"/>
        <v>0</v>
      </c>
      <c r="W66" s="308">
        <f t="shared" si="24"/>
        <v>0</v>
      </c>
      <c r="X66" s="308">
        <f t="shared" si="5"/>
        <v>30.429135907745362</v>
      </c>
      <c r="Y66" s="308">
        <f t="shared" si="6"/>
        <v>30.337065904998777</v>
      </c>
      <c r="Z66" s="308">
        <f t="shared" si="7"/>
        <v>0</v>
      </c>
      <c r="AA66" s="308">
        <f t="shared" si="8"/>
        <v>0</v>
      </c>
      <c r="AB66" s="308">
        <f t="shared" si="9"/>
        <v>0</v>
      </c>
      <c r="AC66" s="308">
        <f t="shared" si="10"/>
        <v>0</v>
      </c>
      <c r="AD66" s="308">
        <f t="shared" si="11"/>
        <v>0</v>
      </c>
      <c r="AE66" s="308">
        <f t="shared" si="12"/>
        <v>0</v>
      </c>
      <c r="AF66" s="308">
        <f t="shared" si="13"/>
        <v>0</v>
      </c>
      <c r="AG66" s="308">
        <f t="shared" si="14"/>
        <v>0</v>
      </c>
      <c r="AH66" s="308">
        <f t="shared" si="15"/>
        <v>32.528843470382689</v>
      </c>
      <c r="AI66" s="308">
        <f t="shared" si="16"/>
        <v>31.124775928497318</v>
      </c>
      <c r="AJ66" s="308">
        <f t="shared" si="17"/>
        <v>0</v>
      </c>
      <c r="AK66" s="308">
        <f t="shared" si="18"/>
        <v>0</v>
      </c>
      <c r="AL66" s="308">
        <f t="shared" si="19"/>
        <v>0</v>
      </c>
      <c r="AN66" s="327">
        <f t="shared" si="25"/>
        <v>31.104955302906035</v>
      </c>
      <c r="AO66" s="331">
        <f t="shared" si="26"/>
        <v>25.575000762939453</v>
      </c>
    </row>
    <row r="67" spans="2:41">
      <c r="B67" s="102">
        <f t="shared" si="20"/>
        <v>4</v>
      </c>
      <c r="C67" s="113">
        <f>PJM_01212000!A51</f>
        <v>36982</v>
      </c>
      <c r="D67" s="315">
        <f>PJM_01212000!C51</f>
        <v>25.575000762939453</v>
      </c>
      <c r="E67" s="133">
        <f t="shared" si="21"/>
        <v>1.1232726508202047</v>
      </c>
      <c r="F67" s="133">
        <f t="shared" si="29"/>
        <v>1.1413154461256174</v>
      </c>
      <c r="G67" s="133">
        <f t="shared" si="29"/>
        <v>0</v>
      </c>
      <c r="H67" s="133">
        <f t="shared" si="29"/>
        <v>0</v>
      </c>
      <c r="I67" s="133">
        <f t="shared" si="29"/>
        <v>1.1185245467924647</v>
      </c>
      <c r="J67" s="133">
        <f t="shared" si="29"/>
        <v>0</v>
      </c>
      <c r="K67" s="133">
        <f t="shared" si="29"/>
        <v>0</v>
      </c>
      <c r="L67" s="133">
        <f t="shared" si="29"/>
        <v>0</v>
      </c>
      <c r="M67" s="133">
        <f t="shared" si="29"/>
        <v>0</v>
      </c>
      <c r="N67" s="133">
        <f t="shared" si="29"/>
        <v>0</v>
      </c>
      <c r="O67" s="133">
        <f t="shared" si="29"/>
        <v>0</v>
      </c>
      <c r="P67" s="133">
        <f t="shared" si="29"/>
        <v>0</v>
      </c>
      <c r="Q67" s="133">
        <f t="shared" si="29"/>
        <v>0</v>
      </c>
      <c r="R67" s="133">
        <f t="shared" si="29"/>
        <v>1.1543365178491491</v>
      </c>
      <c r="S67" s="133">
        <f t="shared" si="29"/>
        <v>0</v>
      </c>
      <c r="T67" s="133">
        <f t="shared" si="29"/>
        <v>0</v>
      </c>
      <c r="U67" s="133">
        <f t="shared" si="23"/>
        <v>0</v>
      </c>
      <c r="W67" s="308">
        <f t="shared" si="24"/>
        <v>28.727698901715755</v>
      </c>
      <c r="X67" s="308">
        <f t="shared" si="5"/>
        <v>29.189143405417248</v>
      </c>
      <c r="Y67" s="308">
        <f t="shared" si="6"/>
        <v>0</v>
      </c>
      <c r="Z67" s="308">
        <f t="shared" si="7"/>
        <v>0</v>
      </c>
      <c r="AA67" s="308">
        <f t="shared" si="8"/>
        <v>28.606266137583791</v>
      </c>
      <c r="AB67" s="308">
        <f t="shared" si="9"/>
        <v>0</v>
      </c>
      <c r="AC67" s="308">
        <f t="shared" si="10"/>
        <v>0</v>
      </c>
      <c r="AD67" s="308">
        <f t="shared" si="11"/>
        <v>0</v>
      </c>
      <c r="AE67" s="308">
        <f t="shared" si="12"/>
        <v>0</v>
      </c>
      <c r="AF67" s="308">
        <f t="shared" si="13"/>
        <v>0</v>
      </c>
      <c r="AG67" s="308">
        <f t="shared" si="14"/>
        <v>0</v>
      </c>
      <c r="AH67" s="308">
        <f t="shared" si="15"/>
        <v>0</v>
      </c>
      <c r="AI67" s="308">
        <f t="shared" si="16"/>
        <v>0</v>
      </c>
      <c r="AJ67" s="308">
        <f t="shared" si="17"/>
        <v>29.522157324680862</v>
      </c>
      <c r="AK67" s="308">
        <f t="shared" si="18"/>
        <v>0</v>
      </c>
      <c r="AL67" s="308">
        <f t="shared" si="19"/>
        <v>0</v>
      </c>
      <c r="AN67" s="327">
        <f t="shared" si="25"/>
        <v>29.011316442349415</v>
      </c>
      <c r="AO67" s="331">
        <f t="shared" si="26"/>
        <v>25.575000762939453</v>
      </c>
    </row>
    <row r="68" spans="2:41">
      <c r="B68" s="102">
        <f t="shared" si="20"/>
        <v>5</v>
      </c>
      <c r="C68" s="113">
        <f>PJM_01212000!A52</f>
        <v>37012</v>
      </c>
      <c r="D68" s="315">
        <f>PJM_01212000!C52</f>
        <v>30.875</v>
      </c>
      <c r="E68" s="133">
        <f t="shared" si="21"/>
        <v>0</v>
      </c>
      <c r="F68" s="133">
        <f t="shared" si="29"/>
        <v>0</v>
      </c>
      <c r="G68" s="133">
        <f t="shared" si="29"/>
        <v>1.0610266218026732</v>
      </c>
      <c r="H68" s="133">
        <f t="shared" si="29"/>
        <v>1.1254998619307197</v>
      </c>
      <c r="I68" s="133">
        <f t="shared" si="29"/>
        <v>1.1169907033351396</v>
      </c>
      <c r="J68" s="133">
        <f t="shared" si="29"/>
        <v>0</v>
      </c>
      <c r="K68" s="133">
        <f t="shared" si="29"/>
        <v>0</v>
      </c>
      <c r="L68" s="133">
        <f t="shared" si="29"/>
        <v>0</v>
      </c>
      <c r="M68" s="133">
        <f t="shared" si="29"/>
        <v>0</v>
      </c>
      <c r="N68" s="133">
        <f t="shared" si="29"/>
        <v>0</v>
      </c>
      <c r="O68" s="133">
        <f t="shared" si="29"/>
        <v>0</v>
      </c>
      <c r="P68" s="133">
        <f t="shared" si="29"/>
        <v>0</v>
      </c>
      <c r="Q68" s="133">
        <f t="shared" si="29"/>
        <v>0</v>
      </c>
      <c r="R68" s="133">
        <f t="shared" si="29"/>
        <v>1.0876995612465097</v>
      </c>
      <c r="S68" s="133">
        <f t="shared" si="29"/>
        <v>0</v>
      </c>
      <c r="T68" s="133">
        <f t="shared" si="29"/>
        <v>0</v>
      </c>
      <c r="U68" s="133">
        <f t="shared" si="23"/>
        <v>0</v>
      </c>
      <c r="W68" s="308">
        <f t="shared" si="24"/>
        <v>0</v>
      </c>
      <c r="X68" s="308">
        <f t="shared" si="5"/>
        <v>0</v>
      </c>
      <c r="Y68" s="308">
        <f t="shared" si="6"/>
        <v>32.75919694815753</v>
      </c>
      <c r="Z68" s="308">
        <f t="shared" si="7"/>
        <v>34.749808237110969</v>
      </c>
      <c r="AA68" s="308">
        <f t="shared" si="8"/>
        <v>34.487087965472433</v>
      </c>
      <c r="AB68" s="308">
        <f t="shared" si="9"/>
        <v>0</v>
      </c>
      <c r="AC68" s="308">
        <f t="shared" si="10"/>
        <v>0</v>
      </c>
      <c r="AD68" s="308">
        <f t="shared" si="11"/>
        <v>0</v>
      </c>
      <c r="AE68" s="308">
        <f t="shared" si="12"/>
        <v>0</v>
      </c>
      <c r="AF68" s="308">
        <f t="shared" si="13"/>
        <v>0</v>
      </c>
      <c r="AG68" s="308">
        <f t="shared" si="14"/>
        <v>0</v>
      </c>
      <c r="AH68" s="308">
        <f t="shared" si="15"/>
        <v>0</v>
      </c>
      <c r="AI68" s="308">
        <f t="shared" si="16"/>
        <v>0</v>
      </c>
      <c r="AJ68" s="308">
        <f t="shared" si="17"/>
        <v>33.582723953485988</v>
      </c>
      <c r="AK68" s="308">
        <f t="shared" si="18"/>
        <v>0</v>
      </c>
      <c r="AL68" s="308">
        <f t="shared" si="19"/>
        <v>0</v>
      </c>
      <c r="AN68" s="327">
        <f t="shared" si="25"/>
        <v>33.894704276056729</v>
      </c>
      <c r="AO68" s="331">
        <f t="shared" si="26"/>
        <v>30.875</v>
      </c>
    </row>
    <row r="69" spans="2:41">
      <c r="B69" s="102">
        <f t="shared" si="20"/>
        <v>6</v>
      </c>
      <c r="C69" s="113">
        <f>PJM_01212000!A53</f>
        <v>37043</v>
      </c>
      <c r="D69" s="315">
        <f>PJM_01212000!C53</f>
        <v>55.349998474121094</v>
      </c>
      <c r="E69" s="133">
        <f t="shared" si="21"/>
        <v>0</v>
      </c>
      <c r="F69" s="133">
        <f t="shared" si="29"/>
        <v>0</v>
      </c>
      <c r="G69" s="133">
        <f t="shared" si="29"/>
        <v>0</v>
      </c>
      <c r="H69" s="133">
        <f t="shared" si="29"/>
        <v>0</v>
      </c>
      <c r="I69" s="133">
        <f t="shared" si="29"/>
        <v>0</v>
      </c>
      <c r="J69" s="133">
        <f t="shared" si="29"/>
        <v>0</v>
      </c>
      <c r="K69" s="133">
        <f t="shared" si="29"/>
        <v>1.2209201862181771</v>
      </c>
      <c r="L69" s="133">
        <f t="shared" si="29"/>
        <v>1.2303149771421382</v>
      </c>
      <c r="M69" s="133">
        <f t="shared" si="29"/>
        <v>1.2323281466258438</v>
      </c>
      <c r="N69" s="133">
        <f t="shared" si="29"/>
        <v>1.2523256301639896</v>
      </c>
      <c r="O69" s="133">
        <f t="shared" si="29"/>
        <v>0</v>
      </c>
      <c r="P69" s="133">
        <f t="shared" si="29"/>
        <v>0</v>
      </c>
      <c r="Q69" s="133">
        <f t="shared" si="29"/>
        <v>0</v>
      </c>
      <c r="R69" s="133">
        <f t="shared" si="29"/>
        <v>0</v>
      </c>
      <c r="S69" s="133">
        <f t="shared" si="29"/>
        <v>0</v>
      </c>
      <c r="T69" s="133">
        <f t="shared" si="29"/>
        <v>0</v>
      </c>
      <c r="U69" s="133">
        <f t="shared" si="23"/>
        <v>0</v>
      </c>
      <c r="W69" s="308">
        <f t="shared" si="24"/>
        <v>0</v>
      </c>
      <c r="X69" s="308">
        <f t="shared" si="5"/>
        <v>0</v>
      </c>
      <c r="Y69" s="308">
        <f t="shared" si="6"/>
        <v>0</v>
      </c>
      <c r="Z69" s="308">
        <f t="shared" si="7"/>
        <v>0</v>
      </c>
      <c r="AA69" s="308">
        <f t="shared" si="8"/>
        <v>0</v>
      </c>
      <c r="AB69" s="308">
        <f t="shared" si="9"/>
        <v>0</v>
      </c>
      <c r="AC69" s="308">
        <f t="shared" si="10"/>
        <v>67.577930444199751</v>
      </c>
      <c r="AD69" s="308">
        <f t="shared" si="11"/>
        <v>68.097932107505684</v>
      </c>
      <c r="AE69" s="308">
        <f t="shared" si="12"/>
        <v>68.209361035356935</v>
      </c>
      <c r="AF69" s="308">
        <f t="shared" si="13"/>
        <v>69.316221718679557</v>
      </c>
      <c r="AG69" s="308">
        <f t="shared" si="14"/>
        <v>0</v>
      </c>
      <c r="AH69" s="308">
        <f t="shared" si="15"/>
        <v>0</v>
      </c>
      <c r="AI69" s="308">
        <f t="shared" si="16"/>
        <v>0</v>
      </c>
      <c r="AJ69" s="308">
        <f t="shared" si="17"/>
        <v>0</v>
      </c>
      <c r="AK69" s="308">
        <f t="shared" si="18"/>
        <v>0</v>
      </c>
      <c r="AL69" s="308">
        <f t="shared" si="19"/>
        <v>0</v>
      </c>
      <c r="AN69" s="327">
        <f t="shared" si="25"/>
        <v>68.300361326435493</v>
      </c>
      <c r="AO69" s="331">
        <f t="shared" si="26"/>
        <v>55.349998474121094</v>
      </c>
    </row>
    <row r="70" spans="2:41">
      <c r="B70" s="102">
        <f t="shared" si="20"/>
        <v>7</v>
      </c>
      <c r="C70" s="113">
        <f>PJM_01212000!A54</f>
        <v>37073</v>
      </c>
      <c r="D70" s="315">
        <f>PJM_01212000!C54</f>
        <v>96.699996948242188</v>
      </c>
      <c r="E70" s="133">
        <f t="shared" si="21"/>
        <v>0</v>
      </c>
      <c r="F70" s="133">
        <f t="shared" ref="F70:T79" si="30">VLOOKUP($B70,$C$6:$Z$17,F$22+1)</f>
        <v>0</v>
      </c>
      <c r="G70" s="133">
        <f t="shared" si="30"/>
        <v>0</v>
      </c>
      <c r="H70" s="133">
        <f t="shared" si="30"/>
        <v>0</v>
      </c>
      <c r="I70" s="133">
        <f t="shared" si="30"/>
        <v>0</v>
      </c>
      <c r="J70" s="133">
        <f t="shared" si="30"/>
        <v>0</v>
      </c>
      <c r="K70" s="133">
        <f t="shared" si="30"/>
        <v>0</v>
      </c>
      <c r="L70" s="133">
        <f t="shared" si="30"/>
        <v>1.2506946851612968</v>
      </c>
      <c r="M70" s="133">
        <f t="shared" si="30"/>
        <v>1.3273401940004199</v>
      </c>
      <c r="N70" s="133">
        <f t="shared" si="30"/>
        <v>1.3538888162792144</v>
      </c>
      <c r="O70" s="133">
        <f t="shared" si="30"/>
        <v>1.3203393586734773</v>
      </c>
      <c r="P70" s="133">
        <f t="shared" si="30"/>
        <v>0</v>
      </c>
      <c r="Q70" s="133">
        <f t="shared" si="30"/>
        <v>0</v>
      </c>
      <c r="R70" s="133">
        <f t="shared" si="30"/>
        <v>0</v>
      </c>
      <c r="S70" s="133">
        <f t="shared" si="30"/>
        <v>0</v>
      </c>
      <c r="T70" s="133">
        <f t="shared" si="30"/>
        <v>0</v>
      </c>
      <c r="U70" s="133">
        <f t="shared" si="23"/>
        <v>0</v>
      </c>
      <c r="W70" s="308">
        <f t="shared" si="24"/>
        <v>0</v>
      </c>
      <c r="X70" s="308">
        <f t="shared" si="5"/>
        <v>0</v>
      </c>
      <c r="Y70" s="308">
        <f t="shared" si="6"/>
        <v>0</v>
      </c>
      <c r="Z70" s="308">
        <f t="shared" si="7"/>
        <v>0</v>
      </c>
      <c r="AA70" s="308">
        <f t="shared" si="8"/>
        <v>0</v>
      </c>
      <c r="AB70" s="308">
        <f t="shared" si="9"/>
        <v>0</v>
      </c>
      <c r="AC70" s="308">
        <f t="shared" si="10"/>
        <v>0</v>
      </c>
      <c r="AD70" s="308">
        <f t="shared" si="11"/>
        <v>120.94217223828012</v>
      </c>
      <c r="AE70" s="308">
        <f t="shared" si="12"/>
        <v>128.3537927091198</v>
      </c>
      <c r="AF70" s="308">
        <f t="shared" si="13"/>
        <v>130.92104440245927</v>
      </c>
      <c r="AG70" s="308">
        <f t="shared" si="14"/>
        <v>127.6768119543693</v>
      </c>
      <c r="AH70" s="308">
        <f t="shared" si="15"/>
        <v>0</v>
      </c>
      <c r="AI70" s="308">
        <f t="shared" si="16"/>
        <v>0</v>
      </c>
      <c r="AJ70" s="308">
        <f t="shared" si="17"/>
        <v>0</v>
      </c>
      <c r="AK70" s="308">
        <f t="shared" si="18"/>
        <v>0</v>
      </c>
      <c r="AL70" s="308">
        <f t="shared" si="19"/>
        <v>0</v>
      </c>
      <c r="AN70" s="327">
        <f t="shared" si="25"/>
        <v>126.97345532605712</v>
      </c>
      <c r="AO70" s="331">
        <f t="shared" si="26"/>
        <v>96.699996948242188</v>
      </c>
    </row>
    <row r="71" spans="2:41">
      <c r="B71" s="102">
        <f t="shared" si="20"/>
        <v>8</v>
      </c>
      <c r="C71" s="113">
        <f>PJM_01212000!A55</f>
        <v>37104</v>
      </c>
      <c r="D71" s="315">
        <f>PJM_01212000!C55</f>
        <v>83.699996948242188</v>
      </c>
      <c r="E71" s="133">
        <f t="shared" ref="E71:E134" si="31">VLOOKUP($B71,$C$6:$Z$17,E$22+1)</f>
        <v>0</v>
      </c>
      <c r="F71" s="133">
        <f t="shared" si="30"/>
        <v>0</v>
      </c>
      <c r="G71" s="133">
        <f t="shared" si="30"/>
        <v>0</v>
      </c>
      <c r="H71" s="133">
        <f t="shared" si="30"/>
        <v>0</v>
      </c>
      <c r="I71" s="133">
        <f t="shared" si="30"/>
        <v>0</v>
      </c>
      <c r="J71" s="133">
        <f t="shared" si="30"/>
        <v>0</v>
      </c>
      <c r="K71" s="133">
        <f t="shared" si="30"/>
        <v>1.1907290919069531</v>
      </c>
      <c r="L71" s="133">
        <f t="shared" si="30"/>
        <v>1.26057331025457</v>
      </c>
      <c r="M71" s="133">
        <f t="shared" si="30"/>
        <v>1.2430109342677418</v>
      </c>
      <c r="N71" s="133">
        <f t="shared" si="30"/>
        <v>1.2150462278887151</v>
      </c>
      <c r="O71" s="133">
        <f t="shared" si="30"/>
        <v>0</v>
      </c>
      <c r="P71" s="133">
        <f t="shared" si="30"/>
        <v>0</v>
      </c>
      <c r="Q71" s="133">
        <f t="shared" si="30"/>
        <v>0</v>
      </c>
      <c r="R71" s="133">
        <f t="shared" si="30"/>
        <v>0</v>
      </c>
      <c r="S71" s="133">
        <f t="shared" si="30"/>
        <v>0</v>
      </c>
      <c r="T71" s="133">
        <f t="shared" si="30"/>
        <v>0</v>
      </c>
      <c r="U71" s="133">
        <f t="shared" si="23"/>
        <v>0</v>
      </c>
      <c r="W71" s="308">
        <f t="shared" si="24"/>
        <v>0</v>
      </c>
      <c r="X71" s="308">
        <f t="shared" si="5"/>
        <v>0</v>
      </c>
      <c r="Y71" s="308">
        <f t="shared" si="6"/>
        <v>0</v>
      </c>
      <c r="Z71" s="308">
        <f t="shared" si="7"/>
        <v>0</v>
      </c>
      <c r="AA71" s="308">
        <f t="shared" si="8"/>
        <v>0</v>
      </c>
      <c r="AB71" s="308">
        <f t="shared" si="9"/>
        <v>0</v>
      </c>
      <c r="AC71" s="308">
        <f t="shared" si="10"/>
        <v>99.664021358795168</v>
      </c>
      <c r="AD71" s="308">
        <f t="shared" si="11"/>
        <v>105.50998222134307</v>
      </c>
      <c r="AE71" s="308">
        <f t="shared" si="12"/>
        <v>104.04001140484166</v>
      </c>
      <c r="AF71" s="308">
        <f t="shared" si="13"/>
        <v>101.69936556625863</v>
      </c>
      <c r="AG71" s="308">
        <f t="shared" si="14"/>
        <v>0</v>
      </c>
      <c r="AH71" s="308">
        <f t="shared" si="15"/>
        <v>0</v>
      </c>
      <c r="AI71" s="308">
        <f t="shared" si="16"/>
        <v>0</v>
      </c>
      <c r="AJ71" s="308">
        <f t="shared" si="17"/>
        <v>0</v>
      </c>
      <c r="AK71" s="308">
        <f t="shared" si="18"/>
        <v>0</v>
      </c>
      <c r="AL71" s="308">
        <f t="shared" si="19"/>
        <v>0</v>
      </c>
      <c r="AN71" s="327">
        <f t="shared" si="25"/>
        <v>102.72834513780963</v>
      </c>
      <c r="AO71" s="331">
        <f t="shared" si="26"/>
        <v>83.699996948242188</v>
      </c>
    </row>
    <row r="72" spans="2:41">
      <c r="B72" s="102">
        <f t="shared" si="20"/>
        <v>9</v>
      </c>
      <c r="C72" s="113">
        <f>PJM_01212000!A56</f>
        <v>37135</v>
      </c>
      <c r="D72" s="315">
        <f>PJM_01212000!C56</f>
        <v>32.724998474121094</v>
      </c>
      <c r="E72" s="133">
        <f t="shared" si="31"/>
        <v>0</v>
      </c>
      <c r="F72" s="133">
        <f t="shared" si="30"/>
        <v>0</v>
      </c>
      <c r="G72" s="133">
        <f t="shared" si="30"/>
        <v>0</v>
      </c>
      <c r="H72" s="133">
        <f t="shared" si="30"/>
        <v>0</v>
      </c>
      <c r="I72" s="133">
        <f t="shared" si="30"/>
        <v>0</v>
      </c>
      <c r="J72" s="133">
        <f t="shared" si="30"/>
        <v>0</v>
      </c>
      <c r="K72" s="133">
        <f t="shared" si="30"/>
        <v>0</v>
      </c>
      <c r="L72" s="133">
        <f t="shared" si="30"/>
        <v>0</v>
      </c>
      <c r="M72" s="133">
        <f t="shared" si="30"/>
        <v>0</v>
      </c>
      <c r="N72" s="133">
        <f t="shared" si="30"/>
        <v>1.1345284089868721</v>
      </c>
      <c r="O72" s="133">
        <f t="shared" si="30"/>
        <v>1.1066962078625975</v>
      </c>
      <c r="P72" s="133">
        <f t="shared" si="30"/>
        <v>0</v>
      </c>
      <c r="Q72" s="133">
        <f t="shared" si="30"/>
        <v>1.184626371010566</v>
      </c>
      <c r="R72" s="133">
        <f t="shared" si="30"/>
        <v>1.1944408840385996</v>
      </c>
      <c r="S72" s="133">
        <f t="shared" si="30"/>
        <v>0</v>
      </c>
      <c r="T72" s="133">
        <f t="shared" si="30"/>
        <v>0</v>
      </c>
      <c r="U72" s="133">
        <f t="shared" si="23"/>
        <v>0</v>
      </c>
      <c r="W72" s="308">
        <f t="shared" si="24"/>
        <v>0</v>
      </c>
      <c r="X72" s="308">
        <f t="shared" si="5"/>
        <v>0</v>
      </c>
      <c r="Y72" s="308">
        <f t="shared" si="6"/>
        <v>0</v>
      </c>
      <c r="Z72" s="308">
        <f t="shared" si="7"/>
        <v>0</v>
      </c>
      <c r="AA72" s="308">
        <f t="shared" si="8"/>
        <v>0</v>
      </c>
      <c r="AB72" s="308">
        <f t="shared" si="9"/>
        <v>0</v>
      </c>
      <c r="AC72" s="308">
        <f t="shared" si="10"/>
        <v>0</v>
      </c>
      <c r="AD72" s="308">
        <f t="shared" si="11"/>
        <v>0</v>
      </c>
      <c r="AE72" s="308">
        <f t="shared" si="12"/>
        <v>0</v>
      </c>
      <c r="AF72" s="308">
        <f t="shared" si="13"/>
        <v>37.127440452942423</v>
      </c>
      <c r="AG72" s="308">
        <f t="shared" si="14"/>
        <v>36.216631713619101</v>
      </c>
      <c r="AH72" s="308">
        <f t="shared" si="15"/>
        <v>0</v>
      </c>
      <c r="AI72" s="308">
        <f t="shared" si="16"/>
        <v>38.766896183724384</v>
      </c>
      <c r="AJ72" s="308">
        <f t="shared" si="17"/>
        <v>39.088076107591021</v>
      </c>
      <c r="AK72" s="308">
        <f t="shared" si="18"/>
        <v>0</v>
      </c>
      <c r="AL72" s="308">
        <f t="shared" si="19"/>
        <v>0</v>
      </c>
      <c r="AN72" s="327">
        <f t="shared" si="25"/>
        <v>37.799761114469234</v>
      </c>
      <c r="AO72" s="331">
        <f t="shared" si="26"/>
        <v>32.724998474121094</v>
      </c>
    </row>
    <row r="73" spans="2:41">
      <c r="B73" s="102">
        <f t="shared" si="20"/>
        <v>10</v>
      </c>
      <c r="C73" s="113">
        <f>PJM_01212000!A57</f>
        <v>37165</v>
      </c>
      <c r="D73" s="315">
        <f>PJM_01212000!C57</f>
        <v>26.225000381469727</v>
      </c>
      <c r="E73" s="133">
        <f t="shared" si="31"/>
        <v>0</v>
      </c>
      <c r="F73" s="133">
        <f t="shared" si="30"/>
        <v>1.1326000000000001</v>
      </c>
      <c r="G73" s="133">
        <f t="shared" si="30"/>
        <v>0</v>
      </c>
      <c r="H73" s="133">
        <f t="shared" si="30"/>
        <v>0</v>
      </c>
      <c r="I73" s="133">
        <f t="shared" si="30"/>
        <v>0</v>
      </c>
      <c r="J73" s="133">
        <f t="shared" si="30"/>
        <v>0</v>
      </c>
      <c r="K73" s="133">
        <f t="shared" si="30"/>
        <v>0</v>
      </c>
      <c r="L73" s="133">
        <f t="shared" si="30"/>
        <v>0</v>
      </c>
      <c r="M73" s="133">
        <f t="shared" si="30"/>
        <v>0</v>
      </c>
      <c r="N73" s="133">
        <f t="shared" si="30"/>
        <v>0</v>
      </c>
      <c r="O73" s="133">
        <f t="shared" si="30"/>
        <v>1.2000999999999999</v>
      </c>
      <c r="P73" s="133">
        <f t="shared" si="30"/>
        <v>1.2095</v>
      </c>
      <c r="Q73" s="133">
        <f t="shared" si="30"/>
        <v>1.1567000000000001</v>
      </c>
      <c r="R73" s="133">
        <f t="shared" si="30"/>
        <v>0</v>
      </c>
      <c r="S73" s="133">
        <f t="shared" si="30"/>
        <v>0</v>
      </c>
      <c r="T73" s="133">
        <f t="shared" si="30"/>
        <v>0</v>
      </c>
      <c r="U73" s="133">
        <f t="shared" si="23"/>
        <v>0</v>
      </c>
      <c r="W73" s="308">
        <f t="shared" si="24"/>
        <v>0</v>
      </c>
      <c r="X73" s="308">
        <f t="shared" si="5"/>
        <v>29.702435432052614</v>
      </c>
      <c r="Y73" s="308">
        <f t="shared" si="6"/>
        <v>0</v>
      </c>
      <c r="Z73" s="308">
        <f t="shared" si="7"/>
        <v>0</v>
      </c>
      <c r="AA73" s="308">
        <f t="shared" si="8"/>
        <v>0</v>
      </c>
      <c r="AB73" s="308">
        <f t="shared" si="9"/>
        <v>0</v>
      </c>
      <c r="AC73" s="308">
        <f t="shared" si="10"/>
        <v>0</v>
      </c>
      <c r="AD73" s="308">
        <f t="shared" si="11"/>
        <v>0</v>
      </c>
      <c r="AE73" s="308">
        <f t="shared" si="12"/>
        <v>0</v>
      </c>
      <c r="AF73" s="308">
        <f t="shared" si="13"/>
        <v>0</v>
      </c>
      <c r="AG73" s="308">
        <f t="shared" si="14"/>
        <v>31.472622957801818</v>
      </c>
      <c r="AH73" s="308">
        <f t="shared" si="15"/>
        <v>31.719137961387634</v>
      </c>
      <c r="AI73" s="308">
        <f t="shared" si="16"/>
        <v>30.334457941246033</v>
      </c>
      <c r="AJ73" s="308">
        <f t="shared" si="17"/>
        <v>0</v>
      </c>
      <c r="AK73" s="308">
        <f t="shared" si="18"/>
        <v>0</v>
      </c>
      <c r="AL73" s="308">
        <f t="shared" si="19"/>
        <v>0</v>
      </c>
      <c r="AN73" s="327">
        <f t="shared" si="25"/>
        <v>30.807163573122022</v>
      </c>
      <c r="AO73" s="331">
        <f t="shared" si="26"/>
        <v>26.225000381469727</v>
      </c>
    </row>
    <row r="74" spans="2:41">
      <c r="B74" s="102">
        <f t="shared" si="20"/>
        <v>11</v>
      </c>
      <c r="C74" s="113">
        <f>PJM_01212000!A58</f>
        <v>37196</v>
      </c>
      <c r="D74" s="315">
        <f>PJM_01212000!C58</f>
        <v>25.897499084472656</v>
      </c>
      <c r="E74" s="133">
        <f t="shared" si="31"/>
        <v>0</v>
      </c>
      <c r="F74" s="133">
        <f t="shared" si="30"/>
        <v>1.1426000000000001</v>
      </c>
      <c r="G74" s="133">
        <f t="shared" si="30"/>
        <v>0</v>
      </c>
      <c r="H74" s="133">
        <f t="shared" si="30"/>
        <v>0</v>
      </c>
      <c r="I74" s="133">
        <f t="shared" si="30"/>
        <v>0</v>
      </c>
      <c r="J74" s="133">
        <f t="shared" si="30"/>
        <v>0</v>
      </c>
      <c r="K74" s="133">
        <f t="shared" si="30"/>
        <v>0</v>
      </c>
      <c r="L74" s="133">
        <f t="shared" si="30"/>
        <v>0</v>
      </c>
      <c r="M74" s="133">
        <f t="shared" si="30"/>
        <v>0</v>
      </c>
      <c r="N74" s="133">
        <f t="shared" si="30"/>
        <v>0</v>
      </c>
      <c r="O74" s="133">
        <f t="shared" si="30"/>
        <v>1.2171000000000001</v>
      </c>
      <c r="P74" s="133">
        <f t="shared" si="30"/>
        <v>1.2269000000000001</v>
      </c>
      <c r="Q74" s="133">
        <f t="shared" si="30"/>
        <v>1.1767000000000001</v>
      </c>
      <c r="R74" s="133">
        <f t="shared" si="30"/>
        <v>0</v>
      </c>
      <c r="S74" s="133">
        <f t="shared" si="30"/>
        <v>0</v>
      </c>
      <c r="T74" s="133">
        <f t="shared" si="30"/>
        <v>0</v>
      </c>
      <c r="U74" s="133">
        <f t="shared" si="23"/>
        <v>0</v>
      </c>
      <c r="W74" s="308">
        <f t="shared" si="24"/>
        <v>0</v>
      </c>
      <c r="X74" s="308">
        <f t="shared" si="5"/>
        <v>29.590482453918458</v>
      </c>
      <c r="Y74" s="308">
        <f t="shared" si="6"/>
        <v>0</v>
      </c>
      <c r="Z74" s="308">
        <f t="shared" si="7"/>
        <v>0</v>
      </c>
      <c r="AA74" s="308">
        <f t="shared" si="8"/>
        <v>0</v>
      </c>
      <c r="AB74" s="308">
        <f t="shared" si="9"/>
        <v>0</v>
      </c>
      <c r="AC74" s="308">
        <f t="shared" si="10"/>
        <v>0</v>
      </c>
      <c r="AD74" s="308">
        <f t="shared" si="11"/>
        <v>0</v>
      </c>
      <c r="AE74" s="308">
        <f t="shared" si="12"/>
        <v>0</v>
      </c>
      <c r="AF74" s="308">
        <f t="shared" si="13"/>
        <v>0</v>
      </c>
      <c r="AG74" s="308">
        <f t="shared" si="14"/>
        <v>31.519846135711671</v>
      </c>
      <c r="AH74" s="308">
        <f t="shared" si="15"/>
        <v>31.773641626739504</v>
      </c>
      <c r="AI74" s="308">
        <f t="shared" si="16"/>
        <v>30.473587172698977</v>
      </c>
      <c r="AJ74" s="308">
        <f t="shared" si="17"/>
        <v>0</v>
      </c>
      <c r="AK74" s="308">
        <f t="shared" si="18"/>
        <v>0</v>
      </c>
      <c r="AL74" s="308">
        <f t="shared" si="19"/>
        <v>0</v>
      </c>
      <c r="AN74" s="327">
        <f t="shared" si="25"/>
        <v>30.839389347267151</v>
      </c>
      <c r="AO74" s="331">
        <f t="shared" si="26"/>
        <v>25.897499084472656</v>
      </c>
    </row>
    <row r="75" spans="2:41">
      <c r="B75" s="102">
        <f t="shared" si="20"/>
        <v>12</v>
      </c>
      <c r="C75" s="113">
        <f>PJM_01212000!A59</f>
        <v>37226</v>
      </c>
      <c r="D75" s="315">
        <f>PJM_01212000!C59</f>
        <v>27.649999618530273</v>
      </c>
      <c r="E75" s="133">
        <f t="shared" si="31"/>
        <v>0</v>
      </c>
      <c r="F75" s="133">
        <f t="shared" si="30"/>
        <v>1.1637999999999999</v>
      </c>
      <c r="G75" s="133">
        <f t="shared" si="30"/>
        <v>0</v>
      </c>
      <c r="H75" s="133">
        <f t="shared" si="30"/>
        <v>0</v>
      </c>
      <c r="I75" s="133">
        <f t="shared" si="30"/>
        <v>0</v>
      </c>
      <c r="J75" s="133">
        <f t="shared" si="30"/>
        <v>0</v>
      </c>
      <c r="K75" s="133">
        <f t="shared" si="30"/>
        <v>0</v>
      </c>
      <c r="L75" s="133">
        <f t="shared" si="30"/>
        <v>0</v>
      </c>
      <c r="M75" s="133">
        <f t="shared" si="30"/>
        <v>0</v>
      </c>
      <c r="N75" s="133">
        <f t="shared" si="30"/>
        <v>0</v>
      </c>
      <c r="O75" s="133">
        <f t="shared" si="30"/>
        <v>1.2396592528631896</v>
      </c>
      <c r="P75" s="133">
        <f t="shared" si="30"/>
        <v>1.2314000000000001</v>
      </c>
      <c r="Q75" s="133">
        <f t="shared" si="30"/>
        <v>1.1889963083145296</v>
      </c>
      <c r="R75" s="133">
        <f t="shared" si="30"/>
        <v>0</v>
      </c>
      <c r="S75" s="133">
        <f t="shared" si="30"/>
        <v>0</v>
      </c>
      <c r="T75" s="133">
        <f t="shared" si="30"/>
        <v>0</v>
      </c>
      <c r="U75" s="133">
        <f t="shared" si="23"/>
        <v>0</v>
      </c>
      <c r="W75" s="308">
        <f t="shared" si="24"/>
        <v>0</v>
      </c>
      <c r="X75" s="308">
        <f t="shared" si="5"/>
        <v>32.179069556045533</v>
      </c>
      <c r="Y75" s="308">
        <f t="shared" si="6"/>
        <v>0</v>
      </c>
      <c r="Z75" s="308">
        <f t="shared" si="7"/>
        <v>0</v>
      </c>
      <c r="AA75" s="308">
        <f t="shared" si="8"/>
        <v>0</v>
      </c>
      <c r="AB75" s="308">
        <f t="shared" si="9"/>
        <v>0</v>
      </c>
      <c r="AC75" s="308">
        <f t="shared" si="10"/>
        <v>0</v>
      </c>
      <c r="AD75" s="308">
        <f t="shared" si="11"/>
        <v>0</v>
      </c>
      <c r="AE75" s="308">
        <f t="shared" si="12"/>
        <v>0</v>
      </c>
      <c r="AF75" s="308">
        <f t="shared" si="13"/>
        <v>0</v>
      </c>
      <c r="AG75" s="308">
        <f t="shared" si="14"/>
        <v>34.276577868774716</v>
      </c>
      <c r="AH75" s="308">
        <f t="shared" si="15"/>
        <v>34.048209530258177</v>
      </c>
      <c r="AI75" s="308">
        <f t="shared" si="16"/>
        <v>32.875747471330648</v>
      </c>
      <c r="AJ75" s="308">
        <f t="shared" si="17"/>
        <v>0</v>
      </c>
      <c r="AK75" s="308">
        <f t="shared" si="18"/>
        <v>0</v>
      </c>
      <c r="AL75" s="308">
        <f t="shared" si="19"/>
        <v>0</v>
      </c>
      <c r="AN75" s="327">
        <f t="shared" si="25"/>
        <v>33.344901106602272</v>
      </c>
      <c r="AO75" s="331">
        <f t="shared" si="26"/>
        <v>27.649999618530273</v>
      </c>
    </row>
    <row r="76" spans="2:41">
      <c r="B76" s="102">
        <f t="shared" si="20"/>
        <v>1</v>
      </c>
      <c r="C76" s="113">
        <f>PJM_01212000!A60</f>
        <v>37257</v>
      </c>
      <c r="D76" s="315">
        <f>PJM_01212000!C60</f>
        <v>35.774998474121091</v>
      </c>
      <c r="E76" s="133">
        <f t="shared" si="31"/>
        <v>0</v>
      </c>
      <c r="F76" s="133">
        <f t="shared" si="30"/>
        <v>1.1998117566192825</v>
      </c>
      <c r="G76" s="133">
        <f t="shared" si="30"/>
        <v>1.1961600115620716</v>
      </c>
      <c r="H76" s="133">
        <f t="shared" si="30"/>
        <v>0</v>
      </c>
      <c r="I76" s="133">
        <f t="shared" si="30"/>
        <v>0</v>
      </c>
      <c r="J76" s="133">
        <f t="shared" si="30"/>
        <v>0</v>
      </c>
      <c r="K76" s="133">
        <f t="shared" si="30"/>
        <v>0</v>
      </c>
      <c r="L76" s="133">
        <f t="shared" si="30"/>
        <v>0</v>
      </c>
      <c r="M76" s="133">
        <f t="shared" si="30"/>
        <v>0</v>
      </c>
      <c r="N76" s="133">
        <f t="shared" si="30"/>
        <v>0</v>
      </c>
      <c r="O76" s="133">
        <f t="shared" si="30"/>
        <v>0</v>
      </c>
      <c r="P76" s="133">
        <f t="shared" si="30"/>
        <v>1.2818992289435116</v>
      </c>
      <c r="Q76" s="133">
        <f t="shared" si="30"/>
        <v>1.2270000000000001</v>
      </c>
      <c r="R76" s="133">
        <f t="shared" si="30"/>
        <v>0</v>
      </c>
      <c r="S76" s="133">
        <f t="shared" si="30"/>
        <v>0</v>
      </c>
      <c r="T76" s="133">
        <f t="shared" si="30"/>
        <v>0</v>
      </c>
      <c r="U76" s="133">
        <f t="shared" si="23"/>
        <v>0</v>
      </c>
      <c r="W76" s="308">
        <f t="shared" si="24"/>
        <v>0</v>
      </c>
      <c r="X76" s="308">
        <f t="shared" si="5"/>
        <v>42.923263762287377</v>
      </c>
      <c r="Y76" s="308">
        <f t="shared" si="6"/>
        <v>42.79262258843778</v>
      </c>
      <c r="Z76" s="308">
        <f t="shared" si="7"/>
        <v>0</v>
      </c>
      <c r="AA76" s="308">
        <f t="shared" si="8"/>
        <v>0</v>
      </c>
      <c r="AB76" s="308">
        <f t="shared" si="9"/>
        <v>0</v>
      </c>
      <c r="AC76" s="308">
        <f t="shared" si="10"/>
        <v>0</v>
      </c>
      <c r="AD76" s="308">
        <f t="shared" si="11"/>
        <v>0</v>
      </c>
      <c r="AE76" s="308">
        <f t="shared" si="12"/>
        <v>0</v>
      </c>
      <c r="AF76" s="308">
        <f t="shared" si="13"/>
        <v>0</v>
      </c>
      <c r="AG76" s="308">
        <f t="shared" si="14"/>
        <v>0</v>
      </c>
      <c r="AH76" s="308">
        <f t="shared" si="15"/>
        <v>45.85994295943113</v>
      </c>
      <c r="AI76" s="308">
        <f t="shared" si="16"/>
        <v>43.895923127746585</v>
      </c>
      <c r="AJ76" s="308">
        <f t="shared" si="17"/>
        <v>0</v>
      </c>
      <c r="AK76" s="308">
        <f t="shared" si="18"/>
        <v>0</v>
      </c>
      <c r="AL76" s="308">
        <f t="shared" si="19"/>
        <v>0</v>
      </c>
      <c r="AN76" s="327">
        <f t="shared" si="25"/>
        <v>43.867938109475716</v>
      </c>
      <c r="AO76" s="331">
        <f t="shared" si="26"/>
        <v>35.774998474121091</v>
      </c>
    </row>
    <row r="77" spans="2:41">
      <c r="B77" s="102">
        <f t="shared" si="20"/>
        <v>2</v>
      </c>
      <c r="C77" s="113">
        <f>PJM_01212000!A61</f>
        <v>37288</v>
      </c>
      <c r="D77" s="315">
        <f>PJM_01212000!C61</f>
        <v>35.774998474121091</v>
      </c>
      <c r="E77" s="133">
        <f t="shared" si="31"/>
        <v>0</v>
      </c>
      <c r="F77" s="133">
        <f t="shared" si="30"/>
        <v>1.1998117566192825</v>
      </c>
      <c r="G77" s="133">
        <f t="shared" si="30"/>
        <v>1.1961600115620716</v>
      </c>
      <c r="H77" s="133">
        <f t="shared" si="30"/>
        <v>0</v>
      </c>
      <c r="I77" s="133">
        <f t="shared" si="30"/>
        <v>0</v>
      </c>
      <c r="J77" s="133">
        <f t="shared" si="30"/>
        <v>0</v>
      </c>
      <c r="K77" s="133">
        <f t="shared" si="30"/>
        <v>0</v>
      </c>
      <c r="L77" s="133">
        <f t="shared" si="30"/>
        <v>0</v>
      </c>
      <c r="M77" s="133">
        <f t="shared" si="30"/>
        <v>0</v>
      </c>
      <c r="N77" s="133">
        <f t="shared" si="30"/>
        <v>0</v>
      </c>
      <c r="O77" s="133">
        <f t="shared" si="30"/>
        <v>0</v>
      </c>
      <c r="P77" s="133">
        <f t="shared" si="30"/>
        <v>1.2818992289435116</v>
      </c>
      <c r="Q77" s="133">
        <f t="shared" si="30"/>
        <v>1.2270000000000001</v>
      </c>
      <c r="R77" s="133">
        <f t="shared" si="30"/>
        <v>0</v>
      </c>
      <c r="S77" s="133">
        <f t="shared" si="30"/>
        <v>0</v>
      </c>
      <c r="T77" s="133">
        <f t="shared" si="30"/>
        <v>0</v>
      </c>
      <c r="U77" s="133">
        <f t="shared" si="23"/>
        <v>0</v>
      </c>
      <c r="W77" s="308">
        <f t="shared" si="24"/>
        <v>0</v>
      </c>
      <c r="X77" s="308">
        <f t="shared" si="5"/>
        <v>42.923263762287377</v>
      </c>
      <c r="Y77" s="308">
        <f t="shared" si="6"/>
        <v>42.79262258843778</v>
      </c>
      <c r="Z77" s="308">
        <f t="shared" si="7"/>
        <v>0</v>
      </c>
      <c r="AA77" s="308">
        <f t="shared" si="8"/>
        <v>0</v>
      </c>
      <c r="AB77" s="308">
        <f t="shared" si="9"/>
        <v>0</v>
      </c>
      <c r="AC77" s="308">
        <f t="shared" si="10"/>
        <v>0</v>
      </c>
      <c r="AD77" s="308">
        <f t="shared" si="11"/>
        <v>0</v>
      </c>
      <c r="AE77" s="308">
        <f t="shared" si="12"/>
        <v>0</v>
      </c>
      <c r="AF77" s="308">
        <f t="shared" si="13"/>
        <v>0</v>
      </c>
      <c r="AG77" s="308">
        <f t="shared" si="14"/>
        <v>0</v>
      </c>
      <c r="AH77" s="308">
        <f t="shared" si="15"/>
        <v>45.85994295943113</v>
      </c>
      <c r="AI77" s="308">
        <f t="shared" si="16"/>
        <v>43.895923127746585</v>
      </c>
      <c r="AJ77" s="308">
        <f t="shared" si="17"/>
        <v>0</v>
      </c>
      <c r="AK77" s="308">
        <f t="shared" si="18"/>
        <v>0</v>
      </c>
      <c r="AL77" s="308">
        <f t="shared" si="19"/>
        <v>0</v>
      </c>
      <c r="AN77" s="327">
        <f t="shared" si="25"/>
        <v>43.867938109475716</v>
      </c>
      <c r="AO77" s="331">
        <f t="shared" si="26"/>
        <v>35.774998474121091</v>
      </c>
    </row>
    <row r="78" spans="2:41">
      <c r="B78" s="102">
        <f t="shared" si="20"/>
        <v>3</v>
      </c>
      <c r="C78" s="113">
        <f>PJM_01212000!A62</f>
        <v>37316</v>
      </c>
      <c r="D78" s="315">
        <f>PJM_01212000!C62</f>
        <v>25.875000762939454</v>
      </c>
      <c r="E78" s="133">
        <f t="shared" si="31"/>
        <v>0</v>
      </c>
      <c r="F78" s="133">
        <f t="shared" si="30"/>
        <v>1.1898</v>
      </c>
      <c r="G78" s="133">
        <f t="shared" si="30"/>
        <v>1.1861999999999999</v>
      </c>
      <c r="H78" s="133">
        <f t="shared" si="30"/>
        <v>0</v>
      </c>
      <c r="I78" s="133">
        <f t="shared" si="30"/>
        <v>0</v>
      </c>
      <c r="J78" s="133">
        <f t="shared" si="30"/>
        <v>0</v>
      </c>
      <c r="K78" s="133">
        <f t="shared" si="30"/>
        <v>0</v>
      </c>
      <c r="L78" s="133">
        <f t="shared" si="30"/>
        <v>0</v>
      </c>
      <c r="M78" s="133">
        <f t="shared" si="30"/>
        <v>0</v>
      </c>
      <c r="N78" s="133">
        <f t="shared" si="30"/>
        <v>0</v>
      </c>
      <c r="O78" s="133">
        <f t="shared" si="30"/>
        <v>0</v>
      </c>
      <c r="P78" s="133">
        <f t="shared" si="30"/>
        <v>1.2719</v>
      </c>
      <c r="Q78" s="133">
        <f t="shared" si="30"/>
        <v>1.2170000000000001</v>
      </c>
      <c r="R78" s="133">
        <f t="shared" si="30"/>
        <v>0</v>
      </c>
      <c r="S78" s="133">
        <f t="shared" si="30"/>
        <v>0</v>
      </c>
      <c r="T78" s="133">
        <f t="shared" si="30"/>
        <v>0</v>
      </c>
      <c r="U78" s="133">
        <f t="shared" si="23"/>
        <v>0</v>
      </c>
      <c r="W78" s="308">
        <f t="shared" si="24"/>
        <v>0</v>
      </c>
      <c r="X78" s="308">
        <f t="shared" si="5"/>
        <v>30.78607590774536</v>
      </c>
      <c r="Y78" s="308">
        <f t="shared" si="6"/>
        <v>30.692925904998777</v>
      </c>
      <c r="Z78" s="308">
        <f t="shared" si="7"/>
        <v>0</v>
      </c>
      <c r="AA78" s="308">
        <f t="shared" si="8"/>
        <v>0</v>
      </c>
      <c r="AB78" s="308">
        <f t="shared" si="9"/>
        <v>0</v>
      </c>
      <c r="AC78" s="308">
        <f t="shared" si="10"/>
        <v>0</v>
      </c>
      <c r="AD78" s="308">
        <f t="shared" si="11"/>
        <v>0</v>
      </c>
      <c r="AE78" s="308">
        <f t="shared" si="12"/>
        <v>0</v>
      </c>
      <c r="AF78" s="308">
        <f t="shared" si="13"/>
        <v>0</v>
      </c>
      <c r="AG78" s="308">
        <f t="shared" si="14"/>
        <v>0</v>
      </c>
      <c r="AH78" s="308">
        <f t="shared" si="15"/>
        <v>32.910413470382693</v>
      </c>
      <c r="AI78" s="308">
        <f t="shared" si="16"/>
        <v>31.489875928497316</v>
      </c>
      <c r="AJ78" s="308">
        <f t="shared" si="17"/>
        <v>0</v>
      </c>
      <c r="AK78" s="308">
        <f t="shared" si="18"/>
        <v>0</v>
      </c>
      <c r="AL78" s="308">
        <f t="shared" si="19"/>
        <v>0</v>
      </c>
      <c r="AN78" s="327">
        <f t="shared" si="25"/>
        <v>31.469822802906034</v>
      </c>
      <c r="AO78" s="331">
        <f t="shared" si="26"/>
        <v>25.875000762939454</v>
      </c>
    </row>
    <row r="79" spans="2:41">
      <c r="B79" s="102">
        <f t="shared" si="20"/>
        <v>4</v>
      </c>
      <c r="C79" s="113">
        <f>PJM_01212000!A63</f>
        <v>37347</v>
      </c>
      <c r="D79" s="315">
        <f>PJM_01212000!C63</f>
        <v>25.775000762939452</v>
      </c>
      <c r="E79" s="133">
        <f t="shared" si="31"/>
        <v>1.1232726508202047</v>
      </c>
      <c r="F79" s="133">
        <f t="shared" si="30"/>
        <v>1.1413154461256174</v>
      </c>
      <c r="G79" s="133">
        <f t="shared" si="30"/>
        <v>0</v>
      </c>
      <c r="H79" s="133">
        <f t="shared" si="30"/>
        <v>0</v>
      </c>
      <c r="I79" s="133">
        <f t="shared" si="30"/>
        <v>1.1185245467924647</v>
      </c>
      <c r="J79" s="133">
        <f t="shared" si="30"/>
        <v>0</v>
      </c>
      <c r="K79" s="133">
        <f t="shared" si="30"/>
        <v>0</v>
      </c>
      <c r="L79" s="133">
        <f t="shared" si="30"/>
        <v>0</v>
      </c>
      <c r="M79" s="133">
        <f t="shared" si="30"/>
        <v>0</v>
      </c>
      <c r="N79" s="133">
        <f t="shared" si="30"/>
        <v>0</v>
      </c>
      <c r="O79" s="133">
        <f t="shared" si="30"/>
        <v>0</v>
      </c>
      <c r="P79" s="133">
        <f t="shared" si="30"/>
        <v>0</v>
      </c>
      <c r="Q79" s="133">
        <f t="shared" si="30"/>
        <v>0</v>
      </c>
      <c r="R79" s="133">
        <f t="shared" si="30"/>
        <v>1.1543365178491491</v>
      </c>
      <c r="S79" s="133">
        <f t="shared" si="30"/>
        <v>0</v>
      </c>
      <c r="T79" s="133">
        <f t="shared" si="30"/>
        <v>0</v>
      </c>
      <c r="U79" s="133">
        <f t="shared" si="23"/>
        <v>0</v>
      </c>
      <c r="W79" s="308">
        <f t="shared" si="24"/>
        <v>28.952353431879796</v>
      </c>
      <c r="X79" s="308">
        <f t="shared" si="5"/>
        <v>29.417406494642371</v>
      </c>
      <c r="Y79" s="308">
        <f t="shared" si="6"/>
        <v>0</v>
      </c>
      <c r="Z79" s="308">
        <f t="shared" si="7"/>
        <v>0</v>
      </c>
      <c r="AA79" s="308">
        <f t="shared" si="8"/>
        <v>28.829971046942283</v>
      </c>
      <c r="AB79" s="308">
        <f t="shared" si="9"/>
        <v>0</v>
      </c>
      <c r="AC79" s="308">
        <f t="shared" si="10"/>
        <v>0</v>
      </c>
      <c r="AD79" s="308">
        <f t="shared" si="11"/>
        <v>0</v>
      </c>
      <c r="AE79" s="308">
        <f t="shared" si="12"/>
        <v>0</v>
      </c>
      <c r="AF79" s="308">
        <f t="shared" si="13"/>
        <v>0</v>
      </c>
      <c r="AG79" s="308">
        <f t="shared" si="14"/>
        <v>0</v>
      </c>
      <c r="AH79" s="308">
        <f t="shared" si="15"/>
        <v>0</v>
      </c>
      <c r="AI79" s="308">
        <f t="shared" si="16"/>
        <v>0</v>
      </c>
      <c r="AJ79" s="308">
        <f t="shared" si="17"/>
        <v>29.753024628250689</v>
      </c>
      <c r="AK79" s="308">
        <f t="shared" si="18"/>
        <v>0</v>
      </c>
      <c r="AL79" s="308">
        <f t="shared" si="19"/>
        <v>0</v>
      </c>
      <c r="AN79" s="327">
        <f t="shared" si="25"/>
        <v>29.238188900428785</v>
      </c>
      <c r="AO79" s="331">
        <f t="shared" si="26"/>
        <v>25.775000762939452</v>
      </c>
    </row>
    <row r="80" spans="2:41">
      <c r="B80" s="102">
        <f t="shared" si="20"/>
        <v>5</v>
      </c>
      <c r="C80" s="113">
        <f>PJM_01212000!A64</f>
        <v>37377</v>
      </c>
      <c r="D80" s="315">
        <f>PJM_01212000!C64</f>
        <v>30.875</v>
      </c>
      <c r="E80" s="133">
        <f t="shared" si="31"/>
        <v>0</v>
      </c>
      <c r="F80" s="133">
        <f t="shared" ref="F80:T89" si="32">VLOOKUP($B80,$C$6:$Z$17,F$22+1)</f>
        <v>0</v>
      </c>
      <c r="G80" s="133">
        <f t="shared" si="32"/>
        <v>1.0610266218026732</v>
      </c>
      <c r="H80" s="133">
        <f t="shared" si="32"/>
        <v>1.1254998619307197</v>
      </c>
      <c r="I80" s="133">
        <f t="shared" si="32"/>
        <v>1.1169907033351396</v>
      </c>
      <c r="J80" s="133">
        <f t="shared" si="32"/>
        <v>0</v>
      </c>
      <c r="K80" s="133">
        <f t="shared" si="32"/>
        <v>0</v>
      </c>
      <c r="L80" s="133">
        <f t="shared" si="32"/>
        <v>0</v>
      </c>
      <c r="M80" s="133">
        <f t="shared" si="32"/>
        <v>0</v>
      </c>
      <c r="N80" s="133">
        <f t="shared" si="32"/>
        <v>0</v>
      </c>
      <c r="O80" s="133">
        <f t="shared" si="32"/>
        <v>0</v>
      </c>
      <c r="P80" s="133">
        <f t="shared" si="32"/>
        <v>0</v>
      </c>
      <c r="Q80" s="133">
        <f t="shared" si="32"/>
        <v>0</v>
      </c>
      <c r="R80" s="133">
        <f t="shared" si="32"/>
        <v>1.0876995612465097</v>
      </c>
      <c r="S80" s="133">
        <f t="shared" si="32"/>
        <v>0</v>
      </c>
      <c r="T80" s="133">
        <f t="shared" si="32"/>
        <v>0</v>
      </c>
      <c r="U80" s="133">
        <f t="shared" si="23"/>
        <v>0</v>
      </c>
      <c r="W80" s="308">
        <f t="shared" si="24"/>
        <v>0</v>
      </c>
      <c r="X80" s="308">
        <f t="shared" si="5"/>
        <v>0</v>
      </c>
      <c r="Y80" s="308">
        <f t="shared" si="6"/>
        <v>32.75919694815753</v>
      </c>
      <c r="Z80" s="308">
        <f t="shared" si="7"/>
        <v>34.749808237110969</v>
      </c>
      <c r="AA80" s="308">
        <f t="shared" si="8"/>
        <v>34.487087965472433</v>
      </c>
      <c r="AB80" s="308">
        <f t="shared" si="9"/>
        <v>0</v>
      </c>
      <c r="AC80" s="308">
        <f t="shared" si="10"/>
        <v>0</v>
      </c>
      <c r="AD80" s="308">
        <f t="shared" si="11"/>
        <v>0</v>
      </c>
      <c r="AE80" s="308">
        <f t="shared" si="12"/>
        <v>0</v>
      </c>
      <c r="AF80" s="308">
        <f t="shared" si="13"/>
        <v>0</v>
      </c>
      <c r="AG80" s="308">
        <f t="shared" si="14"/>
        <v>0</v>
      </c>
      <c r="AH80" s="308">
        <f t="shared" si="15"/>
        <v>0</v>
      </c>
      <c r="AI80" s="308">
        <f t="shared" si="16"/>
        <v>0</v>
      </c>
      <c r="AJ80" s="308">
        <f t="shared" si="17"/>
        <v>33.582723953485988</v>
      </c>
      <c r="AK80" s="308">
        <f t="shared" si="18"/>
        <v>0</v>
      </c>
      <c r="AL80" s="308">
        <f t="shared" si="19"/>
        <v>0</v>
      </c>
      <c r="AN80" s="327">
        <f t="shared" si="25"/>
        <v>33.894704276056729</v>
      </c>
      <c r="AO80" s="331">
        <f t="shared" si="26"/>
        <v>30.875</v>
      </c>
    </row>
    <row r="81" spans="2:41">
      <c r="B81" s="102">
        <f t="shared" si="20"/>
        <v>6</v>
      </c>
      <c r="C81" s="113">
        <f>PJM_01212000!A65</f>
        <v>37408</v>
      </c>
      <c r="D81" s="315">
        <f>PJM_01212000!C65</f>
        <v>54.849998474121094</v>
      </c>
      <c r="E81" s="133">
        <f t="shared" si="31"/>
        <v>0</v>
      </c>
      <c r="F81" s="133">
        <f t="shared" si="32"/>
        <v>0</v>
      </c>
      <c r="G81" s="133">
        <f t="shared" si="32"/>
        <v>0</v>
      </c>
      <c r="H81" s="133">
        <f t="shared" si="32"/>
        <v>0</v>
      </c>
      <c r="I81" s="133">
        <f t="shared" si="32"/>
        <v>0</v>
      </c>
      <c r="J81" s="133">
        <f t="shared" si="32"/>
        <v>0</v>
      </c>
      <c r="K81" s="133">
        <f t="shared" si="32"/>
        <v>1.2209201862181771</v>
      </c>
      <c r="L81" s="133">
        <f t="shared" si="32"/>
        <v>1.2303149771421382</v>
      </c>
      <c r="M81" s="133">
        <f t="shared" si="32"/>
        <v>1.2323281466258438</v>
      </c>
      <c r="N81" s="133">
        <f t="shared" si="32"/>
        <v>1.2523256301639896</v>
      </c>
      <c r="O81" s="133">
        <f t="shared" si="32"/>
        <v>0</v>
      </c>
      <c r="P81" s="133">
        <f t="shared" si="32"/>
        <v>0</v>
      </c>
      <c r="Q81" s="133">
        <f t="shared" si="32"/>
        <v>0</v>
      </c>
      <c r="R81" s="133">
        <f t="shared" si="32"/>
        <v>0</v>
      </c>
      <c r="S81" s="133">
        <f t="shared" si="32"/>
        <v>0</v>
      </c>
      <c r="T81" s="133">
        <f t="shared" si="32"/>
        <v>0</v>
      </c>
      <c r="U81" s="133">
        <f t="shared" si="23"/>
        <v>0</v>
      </c>
      <c r="W81" s="308">
        <f t="shared" si="24"/>
        <v>0</v>
      </c>
      <c r="X81" s="308">
        <f t="shared" si="5"/>
        <v>0</v>
      </c>
      <c r="Y81" s="308">
        <f t="shared" si="6"/>
        <v>0</v>
      </c>
      <c r="Z81" s="308">
        <f t="shared" si="7"/>
        <v>0</v>
      </c>
      <c r="AA81" s="308">
        <f t="shared" si="8"/>
        <v>0</v>
      </c>
      <c r="AB81" s="308">
        <f t="shared" si="9"/>
        <v>0</v>
      </c>
      <c r="AC81" s="308">
        <f t="shared" si="10"/>
        <v>66.967470351090654</v>
      </c>
      <c r="AD81" s="308">
        <f t="shared" si="11"/>
        <v>67.482774618934613</v>
      </c>
      <c r="AE81" s="308">
        <f t="shared" si="12"/>
        <v>67.593196962044004</v>
      </c>
      <c r="AF81" s="308">
        <f t="shared" si="13"/>
        <v>68.69005890359756</v>
      </c>
      <c r="AG81" s="308">
        <f t="shared" si="14"/>
        <v>0</v>
      </c>
      <c r="AH81" s="308">
        <f t="shared" si="15"/>
        <v>0</v>
      </c>
      <c r="AI81" s="308">
        <f t="shared" si="16"/>
        <v>0</v>
      </c>
      <c r="AJ81" s="308">
        <f t="shared" si="17"/>
        <v>0</v>
      </c>
      <c r="AK81" s="308">
        <f t="shared" si="18"/>
        <v>0</v>
      </c>
      <c r="AL81" s="308">
        <f t="shared" si="19"/>
        <v>0</v>
      </c>
      <c r="AN81" s="327">
        <f t="shared" si="25"/>
        <v>67.683375208916715</v>
      </c>
      <c r="AO81" s="331">
        <f t="shared" si="26"/>
        <v>54.849998474121094</v>
      </c>
    </row>
    <row r="82" spans="2:41">
      <c r="B82" s="102">
        <f t="shared" si="20"/>
        <v>7</v>
      </c>
      <c r="C82" s="113">
        <f>PJM_01212000!A66</f>
        <v>37438</v>
      </c>
      <c r="D82" s="315">
        <f>PJM_01212000!C66</f>
        <v>94.699996948242188</v>
      </c>
      <c r="E82" s="133">
        <f t="shared" si="31"/>
        <v>0</v>
      </c>
      <c r="F82" s="133">
        <f t="shared" si="32"/>
        <v>0</v>
      </c>
      <c r="G82" s="133">
        <f t="shared" si="32"/>
        <v>0</v>
      </c>
      <c r="H82" s="133">
        <f t="shared" si="32"/>
        <v>0</v>
      </c>
      <c r="I82" s="133">
        <f t="shared" si="32"/>
        <v>0</v>
      </c>
      <c r="J82" s="133">
        <f t="shared" si="32"/>
        <v>0</v>
      </c>
      <c r="K82" s="133">
        <f t="shared" si="32"/>
        <v>0</v>
      </c>
      <c r="L82" s="133">
        <f t="shared" si="32"/>
        <v>1.2506946851612968</v>
      </c>
      <c r="M82" s="133">
        <f t="shared" si="32"/>
        <v>1.3273401940004199</v>
      </c>
      <c r="N82" s="133">
        <f t="shared" si="32"/>
        <v>1.3538888162792144</v>
      </c>
      <c r="O82" s="133">
        <f t="shared" si="32"/>
        <v>1.3203393586734773</v>
      </c>
      <c r="P82" s="133">
        <f t="shared" si="32"/>
        <v>0</v>
      </c>
      <c r="Q82" s="133">
        <f t="shared" si="32"/>
        <v>0</v>
      </c>
      <c r="R82" s="133">
        <f t="shared" si="32"/>
        <v>0</v>
      </c>
      <c r="S82" s="133">
        <f t="shared" si="32"/>
        <v>0</v>
      </c>
      <c r="T82" s="133">
        <f t="shared" si="32"/>
        <v>0</v>
      </c>
      <c r="U82" s="133">
        <f t="shared" si="23"/>
        <v>0</v>
      </c>
      <c r="W82" s="308">
        <f t="shared" si="24"/>
        <v>0</v>
      </c>
      <c r="X82" s="308">
        <f t="shared" si="5"/>
        <v>0</v>
      </c>
      <c r="Y82" s="308">
        <f t="shared" si="6"/>
        <v>0</v>
      </c>
      <c r="Z82" s="308">
        <f t="shared" si="7"/>
        <v>0</v>
      </c>
      <c r="AA82" s="308">
        <f t="shared" si="8"/>
        <v>0</v>
      </c>
      <c r="AB82" s="308">
        <f t="shared" si="9"/>
        <v>0</v>
      </c>
      <c r="AC82" s="308">
        <f t="shared" si="10"/>
        <v>0</v>
      </c>
      <c r="AD82" s="308">
        <f t="shared" si="11"/>
        <v>118.44078286795752</v>
      </c>
      <c r="AE82" s="308">
        <f t="shared" si="12"/>
        <v>125.69911232111896</v>
      </c>
      <c r="AF82" s="308">
        <f t="shared" si="13"/>
        <v>128.21326676990083</v>
      </c>
      <c r="AG82" s="308">
        <f t="shared" si="14"/>
        <v>125.03613323702234</v>
      </c>
      <c r="AH82" s="308">
        <f t="shared" si="15"/>
        <v>0</v>
      </c>
      <c r="AI82" s="308">
        <f t="shared" si="16"/>
        <v>0</v>
      </c>
      <c r="AJ82" s="308">
        <f t="shared" si="17"/>
        <v>0</v>
      </c>
      <c r="AK82" s="308">
        <f t="shared" si="18"/>
        <v>0</v>
      </c>
      <c r="AL82" s="308">
        <f t="shared" si="19"/>
        <v>0</v>
      </c>
      <c r="AN82" s="327">
        <f t="shared" si="25"/>
        <v>124.34732379899991</v>
      </c>
      <c r="AO82" s="331">
        <f t="shared" si="26"/>
        <v>94.699996948242188</v>
      </c>
    </row>
    <row r="83" spans="2:41">
      <c r="B83" s="102">
        <f t="shared" si="20"/>
        <v>8</v>
      </c>
      <c r="C83" s="113">
        <f>PJM_01212000!A67</f>
        <v>37469</v>
      </c>
      <c r="D83" s="315">
        <f>PJM_01212000!C67</f>
        <v>81.699996948242188</v>
      </c>
      <c r="E83" s="133">
        <f t="shared" si="31"/>
        <v>0</v>
      </c>
      <c r="F83" s="133">
        <f t="shared" si="32"/>
        <v>0</v>
      </c>
      <c r="G83" s="133">
        <f t="shared" si="32"/>
        <v>0</v>
      </c>
      <c r="H83" s="133">
        <f t="shared" si="32"/>
        <v>0</v>
      </c>
      <c r="I83" s="133">
        <f t="shared" si="32"/>
        <v>0</v>
      </c>
      <c r="J83" s="133">
        <f t="shared" si="32"/>
        <v>0</v>
      </c>
      <c r="K83" s="133">
        <f t="shared" si="32"/>
        <v>1.1907290919069531</v>
      </c>
      <c r="L83" s="133">
        <f t="shared" si="32"/>
        <v>1.26057331025457</v>
      </c>
      <c r="M83" s="133">
        <f t="shared" si="32"/>
        <v>1.2430109342677418</v>
      </c>
      <c r="N83" s="133">
        <f t="shared" si="32"/>
        <v>1.2150462278887151</v>
      </c>
      <c r="O83" s="133">
        <f t="shared" si="32"/>
        <v>0</v>
      </c>
      <c r="P83" s="133">
        <f t="shared" si="32"/>
        <v>0</v>
      </c>
      <c r="Q83" s="133">
        <f t="shared" si="32"/>
        <v>0</v>
      </c>
      <c r="R83" s="133">
        <f t="shared" si="32"/>
        <v>0</v>
      </c>
      <c r="S83" s="133">
        <f t="shared" si="32"/>
        <v>0</v>
      </c>
      <c r="T83" s="133">
        <f t="shared" si="32"/>
        <v>0</v>
      </c>
      <c r="U83" s="133">
        <f t="shared" si="23"/>
        <v>0</v>
      </c>
      <c r="W83" s="308">
        <f t="shared" si="24"/>
        <v>0</v>
      </c>
      <c r="X83" s="308">
        <f t="shared" si="5"/>
        <v>0</v>
      </c>
      <c r="Y83" s="308">
        <f t="shared" si="6"/>
        <v>0</v>
      </c>
      <c r="Z83" s="308">
        <f t="shared" si="7"/>
        <v>0</v>
      </c>
      <c r="AA83" s="308">
        <f t="shared" si="8"/>
        <v>0</v>
      </c>
      <c r="AB83" s="308">
        <f t="shared" si="9"/>
        <v>0</v>
      </c>
      <c r="AC83" s="308">
        <f t="shared" si="10"/>
        <v>97.282563174981263</v>
      </c>
      <c r="AD83" s="308">
        <f t="shared" si="11"/>
        <v>102.98883560083392</v>
      </c>
      <c r="AE83" s="308">
        <f t="shared" si="12"/>
        <v>101.55398953630618</v>
      </c>
      <c r="AF83" s="308">
        <f t="shared" si="13"/>
        <v>99.269273110481208</v>
      </c>
      <c r="AG83" s="308">
        <f t="shared" si="14"/>
        <v>0</v>
      </c>
      <c r="AH83" s="308">
        <f t="shared" si="15"/>
        <v>0</v>
      </c>
      <c r="AI83" s="308">
        <f t="shared" si="16"/>
        <v>0</v>
      </c>
      <c r="AJ83" s="308">
        <f t="shared" si="17"/>
        <v>0</v>
      </c>
      <c r="AK83" s="308">
        <f t="shared" si="18"/>
        <v>0</v>
      </c>
      <c r="AL83" s="308">
        <f t="shared" si="19"/>
        <v>0</v>
      </c>
      <c r="AN83" s="327">
        <f t="shared" si="25"/>
        <v>100.27366535565065</v>
      </c>
      <c r="AO83" s="331">
        <f t="shared" si="26"/>
        <v>81.699996948242188</v>
      </c>
    </row>
    <row r="84" spans="2:41">
      <c r="B84" s="102">
        <f t="shared" si="20"/>
        <v>9</v>
      </c>
      <c r="C84" s="113">
        <f>PJM_01212000!A68</f>
        <v>37500</v>
      </c>
      <c r="D84" s="315">
        <f>PJM_01212000!C68</f>
        <v>32.824998474121095</v>
      </c>
      <c r="E84" s="133">
        <f t="shared" si="31"/>
        <v>0</v>
      </c>
      <c r="F84" s="133">
        <f t="shared" si="32"/>
        <v>0</v>
      </c>
      <c r="G84" s="133">
        <f t="shared" si="32"/>
        <v>0</v>
      </c>
      <c r="H84" s="133">
        <f t="shared" si="32"/>
        <v>0</v>
      </c>
      <c r="I84" s="133">
        <f t="shared" si="32"/>
        <v>0</v>
      </c>
      <c r="J84" s="133">
        <f t="shared" si="32"/>
        <v>0</v>
      </c>
      <c r="K84" s="133">
        <f t="shared" si="32"/>
        <v>0</v>
      </c>
      <c r="L84" s="133">
        <f t="shared" si="32"/>
        <v>0</v>
      </c>
      <c r="M84" s="133">
        <f t="shared" si="32"/>
        <v>0</v>
      </c>
      <c r="N84" s="133">
        <f t="shared" si="32"/>
        <v>1.1345284089868721</v>
      </c>
      <c r="O84" s="133">
        <f t="shared" si="32"/>
        <v>1.1066962078625975</v>
      </c>
      <c r="P84" s="133">
        <f t="shared" si="32"/>
        <v>0</v>
      </c>
      <c r="Q84" s="133">
        <f t="shared" si="32"/>
        <v>1.184626371010566</v>
      </c>
      <c r="R84" s="133">
        <f t="shared" si="32"/>
        <v>1.1944408840385996</v>
      </c>
      <c r="S84" s="133">
        <f t="shared" si="32"/>
        <v>0</v>
      </c>
      <c r="T84" s="133">
        <f t="shared" si="32"/>
        <v>0</v>
      </c>
      <c r="U84" s="133">
        <f t="shared" si="23"/>
        <v>0</v>
      </c>
      <c r="W84" s="308">
        <f t="shared" si="24"/>
        <v>0</v>
      </c>
      <c r="X84" s="308">
        <f t="shared" si="5"/>
        <v>0</v>
      </c>
      <c r="Y84" s="308">
        <f t="shared" si="6"/>
        <v>0</v>
      </c>
      <c r="Z84" s="308">
        <f t="shared" si="7"/>
        <v>0</v>
      </c>
      <c r="AA84" s="308">
        <f t="shared" si="8"/>
        <v>0</v>
      </c>
      <c r="AB84" s="308">
        <f t="shared" si="9"/>
        <v>0</v>
      </c>
      <c r="AC84" s="308">
        <f t="shared" si="10"/>
        <v>0</v>
      </c>
      <c r="AD84" s="308">
        <f t="shared" si="11"/>
        <v>0</v>
      </c>
      <c r="AE84" s="308">
        <f t="shared" si="12"/>
        <v>0</v>
      </c>
      <c r="AF84" s="308">
        <f t="shared" si="13"/>
        <v>37.240893293841111</v>
      </c>
      <c r="AG84" s="308">
        <f t="shared" si="14"/>
        <v>36.327301334405362</v>
      </c>
      <c r="AH84" s="308">
        <f t="shared" si="15"/>
        <v>0</v>
      </c>
      <c r="AI84" s="308">
        <f t="shared" si="16"/>
        <v>38.885358820825438</v>
      </c>
      <c r="AJ84" s="308">
        <f t="shared" si="17"/>
        <v>39.207520195994881</v>
      </c>
      <c r="AK84" s="308">
        <f t="shared" si="18"/>
        <v>0</v>
      </c>
      <c r="AL84" s="308">
        <f t="shared" si="19"/>
        <v>0</v>
      </c>
      <c r="AN84" s="327">
        <f t="shared" si="25"/>
        <v>37.915268411266695</v>
      </c>
      <c r="AO84" s="331">
        <f t="shared" si="26"/>
        <v>32.824998474121095</v>
      </c>
    </row>
    <row r="85" spans="2:41">
      <c r="B85" s="102">
        <f t="shared" si="20"/>
        <v>10</v>
      </c>
      <c r="C85" s="113">
        <f>PJM_01212000!A69</f>
        <v>37530</v>
      </c>
      <c r="D85" s="315">
        <f>PJM_01212000!C69</f>
        <v>26.475000381469727</v>
      </c>
      <c r="E85" s="133">
        <f t="shared" si="31"/>
        <v>0</v>
      </c>
      <c r="F85" s="133">
        <f t="shared" si="32"/>
        <v>1.1326000000000001</v>
      </c>
      <c r="G85" s="133">
        <f t="shared" si="32"/>
        <v>0</v>
      </c>
      <c r="H85" s="133">
        <f t="shared" si="32"/>
        <v>0</v>
      </c>
      <c r="I85" s="133">
        <f t="shared" si="32"/>
        <v>0</v>
      </c>
      <c r="J85" s="133">
        <f t="shared" si="32"/>
        <v>0</v>
      </c>
      <c r="K85" s="133">
        <f t="shared" si="32"/>
        <v>0</v>
      </c>
      <c r="L85" s="133">
        <f t="shared" si="32"/>
        <v>0</v>
      </c>
      <c r="M85" s="133">
        <f t="shared" si="32"/>
        <v>0</v>
      </c>
      <c r="N85" s="133">
        <f t="shared" si="32"/>
        <v>0</v>
      </c>
      <c r="O85" s="133">
        <f t="shared" si="32"/>
        <v>1.2000999999999999</v>
      </c>
      <c r="P85" s="133">
        <f t="shared" si="32"/>
        <v>1.2095</v>
      </c>
      <c r="Q85" s="133">
        <f t="shared" si="32"/>
        <v>1.1567000000000001</v>
      </c>
      <c r="R85" s="133">
        <f t="shared" si="32"/>
        <v>0</v>
      </c>
      <c r="S85" s="133">
        <f t="shared" si="32"/>
        <v>0</v>
      </c>
      <c r="T85" s="133">
        <f t="shared" si="32"/>
        <v>0</v>
      </c>
      <c r="U85" s="133">
        <f t="shared" si="23"/>
        <v>0</v>
      </c>
      <c r="W85" s="308">
        <f t="shared" si="24"/>
        <v>0</v>
      </c>
      <c r="X85" s="308">
        <f t="shared" si="5"/>
        <v>29.985585432052613</v>
      </c>
      <c r="Y85" s="308">
        <f t="shared" si="6"/>
        <v>0</v>
      </c>
      <c r="Z85" s="308">
        <f t="shared" si="7"/>
        <v>0</v>
      </c>
      <c r="AA85" s="308">
        <f t="shared" si="8"/>
        <v>0</v>
      </c>
      <c r="AB85" s="308">
        <f t="shared" si="9"/>
        <v>0</v>
      </c>
      <c r="AC85" s="308">
        <f t="shared" si="10"/>
        <v>0</v>
      </c>
      <c r="AD85" s="308">
        <f t="shared" si="11"/>
        <v>0</v>
      </c>
      <c r="AE85" s="308">
        <f t="shared" si="12"/>
        <v>0</v>
      </c>
      <c r="AF85" s="308">
        <f t="shared" si="13"/>
        <v>0</v>
      </c>
      <c r="AG85" s="308">
        <f t="shared" si="14"/>
        <v>31.772647957801816</v>
      </c>
      <c r="AH85" s="308">
        <f t="shared" si="15"/>
        <v>32.021512961387636</v>
      </c>
      <c r="AI85" s="308">
        <f t="shared" si="16"/>
        <v>30.623632941246033</v>
      </c>
      <c r="AJ85" s="308">
        <f t="shared" si="17"/>
        <v>0</v>
      </c>
      <c r="AK85" s="308">
        <f t="shared" si="18"/>
        <v>0</v>
      </c>
      <c r="AL85" s="308">
        <f t="shared" si="19"/>
        <v>0</v>
      </c>
      <c r="AN85" s="327">
        <f t="shared" si="25"/>
        <v>31.100844823122024</v>
      </c>
      <c r="AO85" s="331">
        <f t="shared" si="26"/>
        <v>26.475000381469727</v>
      </c>
    </row>
    <row r="86" spans="2:41">
      <c r="B86" s="102">
        <f t="shared" si="20"/>
        <v>11</v>
      </c>
      <c r="C86" s="113">
        <f>PJM_01212000!A70</f>
        <v>37561</v>
      </c>
      <c r="D86" s="315">
        <f>PJM_01212000!C70</f>
        <v>26.147499084472656</v>
      </c>
      <c r="E86" s="133">
        <f t="shared" si="31"/>
        <v>0</v>
      </c>
      <c r="F86" s="133">
        <f t="shared" si="32"/>
        <v>1.1426000000000001</v>
      </c>
      <c r="G86" s="133">
        <f t="shared" si="32"/>
        <v>0</v>
      </c>
      <c r="H86" s="133">
        <f t="shared" si="32"/>
        <v>0</v>
      </c>
      <c r="I86" s="133">
        <f t="shared" si="32"/>
        <v>0</v>
      </c>
      <c r="J86" s="133">
        <f t="shared" si="32"/>
        <v>0</v>
      </c>
      <c r="K86" s="133">
        <f t="shared" si="32"/>
        <v>0</v>
      </c>
      <c r="L86" s="133">
        <f t="shared" si="32"/>
        <v>0</v>
      </c>
      <c r="M86" s="133">
        <f t="shared" si="32"/>
        <v>0</v>
      </c>
      <c r="N86" s="133">
        <f t="shared" si="32"/>
        <v>0</v>
      </c>
      <c r="O86" s="133">
        <f t="shared" si="32"/>
        <v>1.2171000000000001</v>
      </c>
      <c r="P86" s="133">
        <f t="shared" si="32"/>
        <v>1.2269000000000001</v>
      </c>
      <c r="Q86" s="133">
        <f t="shared" si="32"/>
        <v>1.1767000000000001</v>
      </c>
      <c r="R86" s="133">
        <f t="shared" si="32"/>
        <v>0</v>
      </c>
      <c r="S86" s="133">
        <f t="shared" si="32"/>
        <v>0</v>
      </c>
      <c r="T86" s="133">
        <f t="shared" si="32"/>
        <v>0</v>
      </c>
      <c r="U86" s="133">
        <f t="shared" si="23"/>
        <v>0</v>
      </c>
      <c r="W86" s="308">
        <f t="shared" si="24"/>
        <v>0</v>
      </c>
      <c r="X86" s="308">
        <f t="shared" si="5"/>
        <v>29.876132453918459</v>
      </c>
      <c r="Y86" s="308">
        <f t="shared" si="6"/>
        <v>0</v>
      </c>
      <c r="Z86" s="308">
        <f t="shared" si="7"/>
        <v>0</v>
      </c>
      <c r="AA86" s="308">
        <f t="shared" si="8"/>
        <v>0</v>
      </c>
      <c r="AB86" s="308">
        <f t="shared" si="9"/>
        <v>0</v>
      </c>
      <c r="AC86" s="308">
        <f t="shared" si="10"/>
        <v>0</v>
      </c>
      <c r="AD86" s="308">
        <f t="shared" si="11"/>
        <v>0</v>
      </c>
      <c r="AE86" s="308">
        <f t="shared" si="12"/>
        <v>0</v>
      </c>
      <c r="AF86" s="308">
        <f t="shared" si="13"/>
        <v>0</v>
      </c>
      <c r="AG86" s="308">
        <f t="shared" si="14"/>
        <v>31.824121135711671</v>
      </c>
      <c r="AH86" s="308">
        <f t="shared" si="15"/>
        <v>32.080366626739504</v>
      </c>
      <c r="AI86" s="308">
        <f t="shared" si="16"/>
        <v>30.767762172698976</v>
      </c>
      <c r="AJ86" s="308">
        <f t="shared" si="17"/>
        <v>0</v>
      </c>
      <c r="AK86" s="308">
        <f t="shared" si="18"/>
        <v>0</v>
      </c>
      <c r="AL86" s="308">
        <f t="shared" si="19"/>
        <v>0</v>
      </c>
      <c r="AN86" s="327">
        <f t="shared" si="25"/>
        <v>31.137095597267155</v>
      </c>
      <c r="AO86" s="331">
        <f t="shared" si="26"/>
        <v>26.147499084472656</v>
      </c>
    </row>
    <row r="87" spans="2:41">
      <c r="B87" s="102">
        <f t="shared" si="20"/>
        <v>12</v>
      </c>
      <c r="C87" s="113">
        <f>PJM_01212000!A71</f>
        <v>37591</v>
      </c>
      <c r="D87" s="315">
        <f>PJM_01212000!C71</f>
        <v>27.899999618530273</v>
      </c>
      <c r="E87" s="133">
        <f t="shared" si="31"/>
        <v>0</v>
      </c>
      <c r="F87" s="133">
        <f t="shared" si="32"/>
        <v>1.1637999999999999</v>
      </c>
      <c r="G87" s="133">
        <f t="shared" si="32"/>
        <v>0</v>
      </c>
      <c r="H87" s="133">
        <f t="shared" si="32"/>
        <v>0</v>
      </c>
      <c r="I87" s="133">
        <f t="shared" si="32"/>
        <v>0</v>
      </c>
      <c r="J87" s="133">
        <f t="shared" si="32"/>
        <v>0</v>
      </c>
      <c r="K87" s="133">
        <f t="shared" si="32"/>
        <v>0</v>
      </c>
      <c r="L87" s="133">
        <f t="shared" si="32"/>
        <v>0</v>
      </c>
      <c r="M87" s="133">
        <f t="shared" si="32"/>
        <v>0</v>
      </c>
      <c r="N87" s="133">
        <f t="shared" si="32"/>
        <v>0</v>
      </c>
      <c r="O87" s="133">
        <f t="shared" si="32"/>
        <v>1.2396592528631896</v>
      </c>
      <c r="P87" s="133">
        <f t="shared" si="32"/>
        <v>1.2314000000000001</v>
      </c>
      <c r="Q87" s="133">
        <f t="shared" si="32"/>
        <v>1.1889963083145296</v>
      </c>
      <c r="R87" s="133">
        <f t="shared" si="32"/>
        <v>0</v>
      </c>
      <c r="S87" s="133">
        <f t="shared" si="32"/>
        <v>0</v>
      </c>
      <c r="T87" s="133">
        <f t="shared" si="32"/>
        <v>0</v>
      </c>
      <c r="U87" s="133">
        <f t="shared" si="23"/>
        <v>0</v>
      </c>
      <c r="W87" s="308">
        <f t="shared" si="24"/>
        <v>0</v>
      </c>
      <c r="X87" s="308">
        <f t="shared" ref="X87:X150" si="33">$D87*F87</f>
        <v>32.470019556045528</v>
      </c>
      <c r="Y87" s="308">
        <f t="shared" ref="Y87:Y150" si="34">$D87*G87</f>
        <v>0</v>
      </c>
      <c r="Z87" s="308">
        <f t="shared" ref="Z87:Z150" si="35">$D87*H87</f>
        <v>0</v>
      </c>
      <c r="AA87" s="308">
        <f t="shared" ref="AA87:AA150" si="36">$D87*I87</f>
        <v>0</v>
      </c>
      <c r="AB87" s="308">
        <f t="shared" ref="AB87:AB150" si="37">$D87*J87</f>
        <v>0</v>
      </c>
      <c r="AC87" s="308">
        <f t="shared" ref="AC87:AC150" si="38">$D87*K87</f>
        <v>0</v>
      </c>
      <c r="AD87" s="308">
        <f t="shared" ref="AD87:AD150" si="39">$D87*L87</f>
        <v>0</v>
      </c>
      <c r="AE87" s="308">
        <f t="shared" ref="AE87:AE150" si="40">$D87*M87</f>
        <v>0</v>
      </c>
      <c r="AF87" s="308">
        <f t="shared" ref="AF87:AF150" si="41">$D87*N87</f>
        <v>0</v>
      </c>
      <c r="AG87" s="308">
        <f t="shared" ref="AG87:AG150" si="42">$D87*O87</f>
        <v>34.586492681990514</v>
      </c>
      <c r="AH87" s="308">
        <f t="shared" ref="AH87:AH150" si="43">$D87*P87</f>
        <v>34.356059530258179</v>
      </c>
      <c r="AI87" s="308">
        <f t="shared" ref="AI87:AI150" si="44">$D87*Q87</f>
        <v>33.17299654840928</v>
      </c>
      <c r="AJ87" s="308">
        <f t="shared" ref="AJ87:AJ150" si="45">$D87*R87</f>
        <v>0</v>
      </c>
      <c r="AK87" s="308">
        <f t="shared" ref="AK87:AK150" si="46">$D87*S87</f>
        <v>0</v>
      </c>
      <c r="AL87" s="308">
        <f t="shared" ref="AL87:AL150" si="47">$D87*T87</f>
        <v>0</v>
      </c>
      <c r="AN87" s="327">
        <f t="shared" si="25"/>
        <v>33.646392079175875</v>
      </c>
      <c r="AO87" s="331">
        <f t="shared" si="26"/>
        <v>27.899999618530273</v>
      </c>
    </row>
    <row r="88" spans="2:41">
      <c r="B88" s="102">
        <f t="shared" ref="B88:B151" si="48">MONTH(C88)</f>
        <v>1</v>
      </c>
      <c r="C88" s="113">
        <f>PJM_01212000!A72</f>
        <v>37622</v>
      </c>
      <c r="D88" s="315">
        <f>PJM_01212000!C72</f>
        <v>36.324998474121088</v>
      </c>
      <c r="E88" s="133">
        <f t="shared" si="31"/>
        <v>0</v>
      </c>
      <c r="F88" s="133">
        <f t="shared" si="32"/>
        <v>1.1998117566192825</v>
      </c>
      <c r="G88" s="133">
        <f t="shared" si="32"/>
        <v>1.1961600115620716</v>
      </c>
      <c r="H88" s="133">
        <f t="shared" si="32"/>
        <v>0</v>
      </c>
      <c r="I88" s="133">
        <f t="shared" si="32"/>
        <v>0</v>
      </c>
      <c r="J88" s="133">
        <f t="shared" si="32"/>
        <v>0</v>
      </c>
      <c r="K88" s="133">
        <f t="shared" si="32"/>
        <v>0</v>
      </c>
      <c r="L88" s="133">
        <f t="shared" si="32"/>
        <v>0</v>
      </c>
      <c r="M88" s="133">
        <f t="shared" si="32"/>
        <v>0</v>
      </c>
      <c r="N88" s="133">
        <f t="shared" si="32"/>
        <v>0</v>
      </c>
      <c r="O88" s="133">
        <f t="shared" si="32"/>
        <v>0</v>
      </c>
      <c r="P88" s="133">
        <f t="shared" si="32"/>
        <v>1.2818992289435116</v>
      </c>
      <c r="Q88" s="133">
        <f t="shared" si="32"/>
        <v>1.2270000000000001</v>
      </c>
      <c r="R88" s="133">
        <f t="shared" si="32"/>
        <v>0</v>
      </c>
      <c r="S88" s="133">
        <f t="shared" si="32"/>
        <v>0</v>
      </c>
      <c r="T88" s="133">
        <f t="shared" si="32"/>
        <v>0</v>
      </c>
      <c r="U88" s="133">
        <f t="shared" ref="U88:U151" si="49">VLOOKUP($B88,$C$6:$AB$17,T$22+3)-SUM(E88:T88)</f>
        <v>0</v>
      </c>
      <c r="W88" s="308">
        <f t="shared" ref="W88:W151" si="50">$D88*E88</f>
        <v>0</v>
      </c>
      <c r="X88" s="308">
        <f t="shared" si="33"/>
        <v>43.583160228427978</v>
      </c>
      <c r="Y88" s="308">
        <f t="shared" si="34"/>
        <v>43.450510594796917</v>
      </c>
      <c r="Z88" s="308">
        <f t="shared" si="35"/>
        <v>0</v>
      </c>
      <c r="AA88" s="308">
        <f t="shared" si="36"/>
        <v>0</v>
      </c>
      <c r="AB88" s="308">
        <f t="shared" si="37"/>
        <v>0</v>
      </c>
      <c r="AC88" s="308">
        <f t="shared" si="38"/>
        <v>0</v>
      </c>
      <c r="AD88" s="308">
        <f t="shared" si="39"/>
        <v>0</v>
      </c>
      <c r="AE88" s="308">
        <f t="shared" si="40"/>
        <v>0</v>
      </c>
      <c r="AF88" s="308">
        <f t="shared" si="41"/>
        <v>0</v>
      </c>
      <c r="AG88" s="308">
        <f t="shared" si="42"/>
        <v>0</v>
      </c>
      <c r="AH88" s="308">
        <f t="shared" si="43"/>
        <v>46.564987535350056</v>
      </c>
      <c r="AI88" s="308">
        <f t="shared" si="44"/>
        <v>44.570773127746577</v>
      </c>
      <c r="AJ88" s="308">
        <f t="shared" si="45"/>
        <v>0</v>
      </c>
      <c r="AK88" s="308">
        <f t="shared" si="46"/>
        <v>0</v>
      </c>
      <c r="AL88" s="308">
        <f t="shared" si="47"/>
        <v>0</v>
      </c>
      <c r="AN88" s="327">
        <f t="shared" ref="AN88:AN151" si="51">SUM(W88:AL88)/4</f>
        <v>44.542357871580379</v>
      </c>
      <c r="AO88" s="331">
        <f t="shared" ref="AO88:AO151" si="52">D88</f>
        <v>36.324998474121088</v>
      </c>
    </row>
    <row r="89" spans="2:41">
      <c r="B89" s="102">
        <f t="shared" si="48"/>
        <v>2</v>
      </c>
      <c r="C89" s="113">
        <f>PJM_01212000!A73</f>
        <v>37653</v>
      </c>
      <c r="D89" s="315">
        <f>PJM_01212000!C73</f>
        <v>36.324998474121088</v>
      </c>
      <c r="E89" s="133">
        <f t="shared" si="31"/>
        <v>0</v>
      </c>
      <c r="F89" s="133">
        <f t="shared" si="32"/>
        <v>1.1998117566192825</v>
      </c>
      <c r="G89" s="133">
        <f t="shared" si="32"/>
        <v>1.1961600115620716</v>
      </c>
      <c r="H89" s="133">
        <f t="shared" si="32"/>
        <v>0</v>
      </c>
      <c r="I89" s="133">
        <f t="shared" si="32"/>
        <v>0</v>
      </c>
      <c r="J89" s="133">
        <f t="shared" si="32"/>
        <v>0</v>
      </c>
      <c r="K89" s="133">
        <f t="shared" si="32"/>
        <v>0</v>
      </c>
      <c r="L89" s="133">
        <f t="shared" si="32"/>
        <v>0</v>
      </c>
      <c r="M89" s="133">
        <f t="shared" si="32"/>
        <v>0</v>
      </c>
      <c r="N89" s="133">
        <f t="shared" si="32"/>
        <v>0</v>
      </c>
      <c r="O89" s="133">
        <f t="shared" si="32"/>
        <v>0</v>
      </c>
      <c r="P89" s="133">
        <f t="shared" si="32"/>
        <v>1.2818992289435116</v>
      </c>
      <c r="Q89" s="133">
        <f t="shared" si="32"/>
        <v>1.2270000000000001</v>
      </c>
      <c r="R89" s="133">
        <f t="shared" si="32"/>
        <v>0</v>
      </c>
      <c r="S89" s="133">
        <f t="shared" si="32"/>
        <v>0</v>
      </c>
      <c r="T89" s="133">
        <f t="shared" si="32"/>
        <v>0</v>
      </c>
      <c r="U89" s="133">
        <f t="shared" si="49"/>
        <v>0</v>
      </c>
      <c r="W89" s="308">
        <f t="shared" si="50"/>
        <v>0</v>
      </c>
      <c r="X89" s="308">
        <f t="shared" si="33"/>
        <v>43.583160228427978</v>
      </c>
      <c r="Y89" s="308">
        <f t="shared" si="34"/>
        <v>43.450510594796917</v>
      </c>
      <c r="Z89" s="308">
        <f t="shared" si="35"/>
        <v>0</v>
      </c>
      <c r="AA89" s="308">
        <f t="shared" si="36"/>
        <v>0</v>
      </c>
      <c r="AB89" s="308">
        <f t="shared" si="37"/>
        <v>0</v>
      </c>
      <c r="AC89" s="308">
        <f t="shared" si="38"/>
        <v>0</v>
      </c>
      <c r="AD89" s="308">
        <f t="shared" si="39"/>
        <v>0</v>
      </c>
      <c r="AE89" s="308">
        <f t="shared" si="40"/>
        <v>0</v>
      </c>
      <c r="AF89" s="308">
        <f t="shared" si="41"/>
        <v>0</v>
      </c>
      <c r="AG89" s="308">
        <f t="shared" si="42"/>
        <v>0</v>
      </c>
      <c r="AH89" s="308">
        <f t="shared" si="43"/>
        <v>46.564987535350056</v>
      </c>
      <c r="AI89" s="308">
        <f t="shared" si="44"/>
        <v>44.570773127746577</v>
      </c>
      <c r="AJ89" s="308">
        <f t="shared" si="45"/>
        <v>0</v>
      </c>
      <c r="AK89" s="308">
        <f t="shared" si="46"/>
        <v>0</v>
      </c>
      <c r="AL89" s="308">
        <f t="shared" si="47"/>
        <v>0</v>
      </c>
      <c r="AN89" s="327">
        <f t="shared" si="51"/>
        <v>44.542357871580379</v>
      </c>
      <c r="AO89" s="331">
        <f t="shared" si="52"/>
        <v>36.324998474121088</v>
      </c>
    </row>
    <row r="90" spans="2:41">
      <c r="B90" s="102">
        <f t="shared" si="48"/>
        <v>3</v>
      </c>
      <c r="C90" s="113">
        <f>PJM_01212000!A74</f>
        <v>37681</v>
      </c>
      <c r="D90" s="315">
        <f>PJM_01212000!C74</f>
        <v>26.200000762939453</v>
      </c>
      <c r="E90" s="133">
        <f t="shared" si="31"/>
        <v>0</v>
      </c>
      <c r="F90" s="133">
        <f t="shared" ref="F90:T99" si="53">VLOOKUP($B90,$C$6:$Z$17,F$22+1)</f>
        <v>1.1898</v>
      </c>
      <c r="G90" s="133">
        <f t="shared" si="53"/>
        <v>1.1861999999999999</v>
      </c>
      <c r="H90" s="133">
        <f t="shared" si="53"/>
        <v>0</v>
      </c>
      <c r="I90" s="133">
        <f t="shared" si="53"/>
        <v>0</v>
      </c>
      <c r="J90" s="133">
        <f t="shared" si="53"/>
        <v>0</v>
      </c>
      <c r="K90" s="133">
        <f t="shared" si="53"/>
        <v>0</v>
      </c>
      <c r="L90" s="133">
        <f t="shared" si="53"/>
        <v>0</v>
      </c>
      <c r="M90" s="133">
        <f t="shared" si="53"/>
        <v>0</v>
      </c>
      <c r="N90" s="133">
        <f t="shared" si="53"/>
        <v>0</v>
      </c>
      <c r="O90" s="133">
        <f t="shared" si="53"/>
        <v>0</v>
      </c>
      <c r="P90" s="133">
        <f t="shared" si="53"/>
        <v>1.2719</v>
      </c>
      <c r="Q90" s="133">
        <f t="shared" si="53"/>
        <v>1.2170000000000001</v>
      </c>
      <c r="R90" s="133">
        <f t="shared" si="53"/>
        <v>0</v>
      </c>
      <c r="S90" s="133">
        <f t="shared" si="53"/>
        <v>0</v>
      </c>
      <c r="T90" s="133">
        <f t="shared" si="53"/>
        <v>0</v>
      </c>
      <c r="U90" s="133">
        <f t="shared" si="49"/>
        <v>0</v>
      </c>
      <c r="W90" s="308">
        <f t="shared" si="50"/>
        <v>0</v>
      </c>
      <c r="X90" s="308">
        <f t="shared" si="33"/>
        <v>31.17276090774536</v>
      </c>
      <c r="Y90" s="308">
        <f t="shared" si="34"/>
        <v>31.078440904998779</v>
      </c>
      <c r="Z90" s="308">
        <f t="shared" si="35"/>
        <v>0</v>
      </c>
      <c r="AA90" s="308">
        <f t="shared" si="36"/>
        <v>0</v>
      </c>
      <c r="AB90" s="308">
        <f t="shared" si="37"/>
        <v>0</v>
      </c>
      <c r="AC90" s="308">
        <f t="shared" si="38"/>
        <v>0</v>
      </c>
      <c r="AD90" s="308">
        <f t="shared" si="39"/>
        <v>0</v>
      </c>
      <c r="AE90" s="308">
        <f t="shared" si="40"/>
        <v>0</v>
      </c>
      <c r="AF90" s="308">
        <f t="shared" si="41"/>
        <v>0</v>
      </c>
      <c r="AG90" s="308">
        <f t="shared" si="42"/>
        <v>0</v>
      </c>
      <c r="AH90" s="308">
        <f t="shared" si="43"/>
        <v>33.323780970382693</v>
      </c>
      <c r="AI90" s="308">
        <f t="shared" si="44"/>
        <v>31.885400928497315</v>
      </c>
      <c r="AJ90" s="308">
        <f t="shared" si="45"/>
        <v>0</v>
      </c>
      <c r="AK90" s="308">
        <f t="shared" si="46"/>
        <v>0</v>
      </c>
      <c r="AL90" s="308">
        <f t="shared" si="47"/>
        <v>0</v>
      </c>
      <c r="AN90" s="327">
        <f t="shared" si="51"/>
        <v>31.86509592790604</v>
      </c>
      <c r="AO90" s="331">
        <f t="shared" si="52"/>
        <v>26.200000762939453</v>
      </c>
    </row>
    <row r="91" spans="2:41">
      <c r="B91" s="102">
        <f t="shared" si="48"/>
        <v>4</v>
      </c>
      <c r="C91" s="113">
        <f>PJM_01212000!A75</f>
        <v>37712</v>
      </c>
      <c r="D91" s="315">
        <f>PJM_01212000!C75</f>
        <v>25.975000762939452</v>
      </c>
      <c r="E91" s="133">
        <f t="shared" si="31"/>
        <v>1.1232726508202047</v>
      </c>
      <c r="F91" s="133">
        <f t="shared" si="53"/>
        <v>1.1413154461256174</v>
      </c>
      <c r="G91" s="133">
        <f t="shared" si="53"/>
        <v>0</v>
      </c>
      <c r="H91" s="133">
        <f t="shared" si="53"/>
        <v>0</v>
      </c>
      <c r="I91" s="133">
        <f t="shared" si="53"/>
        <v>1.1185245467924647</v>
      </c>
      <c r="J91" s="133">
        <f t="shared" si="53"/>
        <v>0</v>
      </c>
      <c r="K91" s="133">
        <f t="shared" si="53"/>
        <v>0</v>
      </c>
      <c r="L91" s="133">
        <f t="shared" si="53"/>
        <v>0</v>
      </c>
      <c r="M91" s="133">
        <f t="shared" si="53"/>
        <v>0</v>
      </c>
      <c r="N91" s="133">
        <f t="shared" si="53"/>
        <v>0</v>
      </c>
      <c r="O91" s="133">
        <f t="shared" si="53"/>
        <v>0</v>
      </c>
      <c r="P91" s="133">
        <f t="shared" si="53"/>
        <v>0</v>
      </c>
      <c r="Q91" s="133">
        <f t="shared" si="53"/>
        <v>0</v>
      </c>
      <c r="R91" s="133">
        <f t="shared" si="53"/>
        <v>1.1543365178491491</v>
      </c>
      <c r="S91" s="133">
        <f t="shared" si="53"/>
        <v>0</v>
      </c>
      <c r="T91" s="133">
        <f t="shared" si="53"/>
        <v>0</v>
      </c>
      <c r="U91" s="133">
        <f t="shared" si="49"/>
        <v>0</v>
      </c>
      <c r="W91" s="308">
        <f t="shared" si="50"/>
        <v>29.177007962043838</v>
      </c>
      <c r="X91" s="308">
        <f t="shared" si="33"/>
        <v>29.645669583867495</v>
      </c>
      <c r="Y91" s="308">
        <f t="shared" si="34"/>
        <v>0</v>
      </c>
      <c r="Z91" s="308">
        <f t="shared" si="35"/>
        <v>0</v>
      </c>
      <c r="AA91" s="308">
        <f t="shared" si="36"/>
        <v>29.053675956300776</v>
      </c>
      <c r="AB91" s="308">
        <f t="shared" si="37"/>
        <v>0</v>
      </c>
      <c r="AC91" s="308">
        <f t="shared" si="38"/>
        <v>0</v>
      </c>
      <c r="AD91" s="308">
        <f t="shared" si="39"/>
        <v>0</v>
      </c>
      <c r="AE91" s="308">
        <f t="shared" si="40"/>
        <v>0</v>
      </c>
      <c r="AF91" s="308">
        <f t="shared" si="41"/>
        <v>0</v>
      </c>
      <c r="AG91" s="308">
        <f t="shared" si="42"/>
        <v>0</v>
      </c>
      <c r="AH91" s="308">
        <f t="shared" si="43"/>
        <v>0</v>
      </c>
      <c r="AI91" s="308">
        <f t="shared" si="44"/>
        <v>0</v>
      </c>
      <c r="AJ91" s="308">
        <f t="shared" si="45"/>
        <v>29.983891931820519</v>
      </c>
      <c r="AK91" s="308">
        <f t="shared" si="46"/>
        <v>0</v>
      </c>
      <c r="AL91" s="308">
        <f t="shared" si="47"/>
        <v>0</v>
      </c>
      <c r="AN91" s="327">
        <f t="shared" si="51"/>
        <v>29.465061358508159</v>
      </c>
      <c r="AO91" s="331">
        <f t="shared" si="52"/>
        <v>25.975000762939452</v>
      </c>
    </row>
    <row r="92" spans="2:41">
      <c r="B92" s="102">
        <f t="shared" si="48"/>
        <v>5</v>
      </c>
      <c r="C92" s="113">
        <f>PJM_01212000!A76</f>
        <v>37742</v>
      </c>
      <c r="D92" s="315">
        <f>PJM_01212000!C76</f>
        <v>30.975000000000001</v>
      </c>
      <c r="E92" s="133">
        <f t="shared" si="31"/>
        <v>0</v>
      </c>
      <c r="F92" s="133">
        <f t="shared" si="53"/>
        <v>0</v>
      </c>
      <c r="G92" s="133">
        <f t="shared" si="53"/>
        <v>1.0610266218026732</v>
      </c>
      <c r="H92" s="133">
        <f t="shared" si="53"/>
        <v>1.1254998619307197</v>
      </c>
      <c r="I92" s="133">
        <f t="shared" si="53"/>
        <v>1.1169907033351396</v>
      </c>
      <c r="J92" s="133">
        <f t="shared" si="53"/>
        <v>0</v>
      </c>
      <c r="K92" s="133">
        <f t="shared" si="53"/>
        <v>0</v>
      </c>
      <c r="L92" s="133">
        <f t="shared" si="53"/>
        <v>0</v>
      </c>
      <c r="M92" s="133">
        <f t="shared" si="53"/>
        <v>0</v>
      </c>
      <c r="N92" s="133">
        <f t="shared" si="53"/>
        <v>0</v>
      </c>
      <c r="O92" s="133">
        <f t="shared" si="53"/>
        <v>0</v>
      </c>
      <c r="P92" s="133">
        <f t="shared" si="53"/>
        <v>0</v>
      </c>
      <c r="Q92" s="133">
        <f t="shared" si="53"/>
        <v>0</v>
      </c>
      <c r="R92" s="133">
        <f t="shared" si="53"/>
        <v>1.0876995612465097</v>
      </c>
      <c r="S92" s="133">
        <f t="shared" si="53"/>
        <v>0</v>
      </c>
      <c r="T92" s="133">
        <f t="shared" si="53"/>
        <v>0</v>
      </c>
      <c r="U92" s="133">
        <f t="shared" si="49"/>
        <v>0</v>
      </c>
      <c r="W92" s="308">
        <f t="shared" si="50"/>
        <v>0</v>
      </c>
      <c r="X92" s="308">
        <f t="shared" si="33"/>
        <v>0</v>
      </c>
      <c r="Y92" s="308">
        <f t="shared" si="34"/>
        <v>32.8652996103378</v>
      </c>
      <c r="Z92" s="308">
        <f t="shared" si="35"/>
        <v>34.862358223304042</v>
      </c>
      <c r="AA92" s="308">
        <f t="shared" si="36"/>
        <v>34.598787035805948</v>
      </c>
      <c r="AB92" s="308">
        <f t="shared" si="37"/>
        <v>0</v>
      </c>
      <c r="AC92" s="308">
        <f t="shared" si="38"/>
        <v>0</v>
      </c>
      <c r="AD92" s="308">
        <f t="shared" si="39"/>
        <v>0</v>
      </c>
      <c r="AE92" s="308">
        <f t="shared" si="40"/>
        <v>0</v>
      </c>
      <c r="AF92" s="308">
        <f t="shared" si="41"/>
        <v>0</v>
      </c>
      <c r="AG92" s="308">
        <f t="shared" si="42"/>
        <v>0</v>
      </c>
      <c r="AH92" s="308">
        <f t="shared" si="43"/>
        <v>0</v>
      </c>
      <c r="AI92" s="308">
        <f t="shared" si="44"/>
        <v>0</v>
      </c>
      <c r="AJ92" s="308">
        <f t="shared" si="45"/>
        <v>33.691493909610642</v>
      </c>
      <c r="AK92" s="308">
        <f t="shared" si="46"/>
        <v>0</v>
      </c>
      <c r="AL92" s="308">
        <f t="shared" si="47"/>
        <v>0</v>
      </c>
      <c r="AN92" s="327">
        <f t="shared" si="51"/>
        <v>34.004484694764606</v>
      </c>
      <c r="AO92" s="331">
        <f t="shared" si="52"/>
        <v>30.975000000000001</v>
      </c>
    </row>
    <row r="93" spans="2:41">
      <c r="B93" s="102">
        <f t="shared" si="48"/>
        <v>6</v>
      </c>
      <c r="C93" s="113">
        <f>PJM_01212000!A77</f>
        <v>37773</v>
      </c>
      <c r="D93" s="315">
        <f>PJM_01212000!C77</f>
        <v>55.099998474121094</v>
      </c>
      <c r="E93" s="133">
        <f t="shared" si="31"/>
        <v>0</v>
      </c>
      <c r="F93" s="133">
        <f t="shared" si="53"/>
        <v>0</v>
      </c>
      <c r="G93" s="133">
        <f t="shared" si="53"/>
        <v>0</v>
      </c>
      <c r="H93" s="133">
        <f t="shared" si="53"/>
        <v>0</v>
      </c>
      <c r="I93" s="133">
        <f t="shared" si="53"/>
        <v>0</v>
      </c>
      <c r="J93" s="133">
        <f t="shared" si="53"/>
        <v>0</v>
      </c>
      <c r="K93" s="133">
        <f t="shared" si="53"/>
        <v>1.2209201862181771</v>
      </c>
      <c r="L93" s="133">
        <f t="shared" si="53"/>
        <v>1.2303149771421382</v>
      </c>
      <c r="M93" s="133">
        <f t="shared" si="53"/>
        <v>1.2323281466258438</v>
      </c>
      <c r="N93" s="133">
        <f t="shared" si="53"/>
        <v>1.2523256301639896</v>
      </c>
      <c r="O93" s="133">
        <f t="shared" si="53"/>
        <v>0</v>
      </c>
      <c r="P93" s="133">
        <f t="shared" si="53"/>
        <v>0</v>
      </c>
      <c r="Q93" s="133">
        <f t="shared" si="53"/>
        <v>0</v>
      </c>
      <c r="R93" s="133">
        <f t="shared" si="53"/>
        <v>0</v>
      </c>
      <c r="S93" s="133">
        <f t="shared" si="53"/>
        <v>0</v>
      </c>
      <c r="T93" s="133">
        <f t="shared" si="53"/>
        <v>0</v>
      </c>
      <c r="U93" s="133">
        <f t="shared" si="49"/>
        <v>0</v>
      </c>
      <c r="W93" s="308">
        <f t="shared" si="50"/>
        <v>0</v>
      </c>
      <c r="X93" s="308">
        <f t="shared" si="33"/>
        <v>0</v>
      </c>
      <c r="Y93" s="308">
        <f t="shared" si="34"/>
        <v>0</v>
      </c>
      <c r="Z93" s="308">
        <f t="shared" si="35"/>
        <v>0</v>
      </c>
      <c r="AA93" s="308">
        <f t="shared" si="36"/>
        <v>0</v>
      </c>
      <c r="AB93" s="308">
        <f t="shared" si="37"/>
        <v>0</v>
      </c>
      <c r="AC93" s="308">
        <f t="shared" si="38"/>
        <v>67.272700397645195</v>
      </c>
      <c r="AD93" s="308">
        <f t="shared" si="39"/>
        <v>67.790353363220149</v>
      </c>
      <c r="AE93" s="308">
        <f t="shared" si="40"/>
        <v>67.901278998700462</v>
      </c>
      <c r="AF93" s="308">
        <f t="shared" si="41"/>
        <v>69.003140311138566</v>
      </c>
      <c r="AG93" s="308">
        <f t="shared" si="42"/>
        <v>0</v>
      </c>
      <c r="AH93" s="308">
        <f t="shared" si="43"/>
        <v>0</v>
      </c>
      <c r="AI93" s="308">
        <f t="shared" si="44"/>
        <v>0</v>
      </c>
      <c r="AJ93" s="308">
        <f t="shared" si="45"/>
        <v>0</v>
      </c>
      <c r="AK93" s="308">
        <f t="shared" si="46"/>
        <v>0</v>
      </c>
      <c r="AL93" s="308">
        <f t="shared" si="47"/>
        <v>0</v>
      </c>
      <c r="AN93" s="327">
        <f t="shared" si="51"/>
        <v>67.991868267676097</v>
      </c>
      <c r="AO93" s="331">
        <f t="shared" si="52"/>
        <v>55.099998474121094</v>
      </c>
    </row>
    <row r="94" spans="2:41">
      <c r="B94" s="102">
        <f t="shared" si="48"/>
        <v>7</v>
      </c>
      <c r="C94" s="113">
        <f>PJM_01212000!A78</f>
        <v>37803</v>
      </c>
      <c r="D94" s="315">
        <f>PJM_01212000!C78</f>
        <v>94.199996948242188</v>
      </c>
      <c r="E94" s="133">
        <f t="shared" si="31"/>
        <v>0</v>
      </c>
      <c r="F94" s="133">
        <f t="shared" si="53"/>
        <v>0</v>
      </c>
      <c r="G94" s="133">
        <f t="shared" si="53"/>
        <v>0</v>
      </c>
      <c r="H94" s="133">
        <f t="shared" si="53"/>
        <v>0</v>
      </c>
      <c r="I94" s="133">
        <f t="shared" si="53"/>
        <v>0</v>
      </c>
      <c r="J94" s="133">
        <f t="shared" si="53"/>
        <v>0</v>
      </c>
      <c r="K94" s="133">
        <f t="shared" si="53"/>
        <v>0</v>
      </c>
      <c r="L94" s="133">
        <f t="shared" si="53"/>
        <v>1.2506946851612968</v>
      </c>
      <c r="M94" s="133">
        <f t="shared" si="53"/>
        <v>1.3273401940004199</v>
      </c>
      <c r="N94" s="133">
        <f t="shared" si="53"/>
        <v>1.3538888162792144</v>
      </c>
      <c r="O94" s="133">
        <f t="shared" si="53"/>
        <v>1.3203393586734773</v>
      </c>
      <c r="P94" s="133">
        <f t="shared" si="53"/>
        <v>0</v>
      </c>
      <c r="Q94" s="133">
        <f t="shared" si="53"/>
        <v>0</v>
      </c>
      <c r="R94" s="133">
        <f t="shared" si="53"/>
        <v>0</v>
      </c>
      <c r="S94" s="133">
        <f t="shared" si="53"/>
        <v>0</v>
      </c>
      <c r="T94" s="133">
        <f t="shared" si="53"/>
        <v>0</v>
      </c>
      <c r="U94" s="133">
        <f t="shared" si="49"/>
        <v>0</v>
      </c>
      <c r="W94" s="308">
        <f t="shared" si="50"/>
        <v>0</v>
      </c>
      <c r="X94" s="308">
        <f t="shared" si="33"/>
        <v>0</v>
      </c>
      <c r="Y94" s="308">
        <f t="shared" si="34"/>
        <v>0</v>
      </c>
      <c r="Z94" s="308">
        <f t="shared" si="35"/>
        <v>0</v>
      </c>
      <c r="AA94" s="308">
        <f t="shared" si="36"/>
        <v>0</v>
      </c>
      <c r="AB94" s="308">
        <f t="shared" si="37"/>
        <v>0</v>
      </c>
      <c r="AC94" s="308">
        <f t="shared" si="38"/>
        <v>0</v>
      </c>
      <c r="AD94" s="308">
        <f t="shared" si="39"/>
        <v>117.81543552537688</v>
      </c>
      <c r="AE94" s="308">
        <f t="shared" si="40"/>
        <v>125.03544222411875</v>
      </c>
      <c r="AF94" s="308">
        <f t="shared" si="41"/>
        <v>127.53632236176122</v>
      </c>
      <c r="AG94" s="308">
        <f t="shared" si="42"/>
        <v>124.37596355768561</v>
      </c>
      <c r="AH94" s="308">
        <f t="shared" si="43"/>
        <v>0</v>
      </c>
      <c r="AI94" s="308">
        <f t="shared" si="44"/>
        <v>0</v>
      </c>
      <c r="AJ94" s="308">
        <f t="shared" si="45"/>
        <v>0</v>
      </c>
      <c r="AK94" s="308">
        <f t="shared" si="46"/>
        <v>0</v>
      </c>
      <c r="AL94" s="308">
        <f t="shared" si="47"/>
        <v>0</v>
      </c>
      <c r="AN94" s="327">
        <f t="shared" si="51"/>
        <v>123.69079091723562</v>
      </c>
      <c r="AO94" s="331">
        <f t="shared" si="52"/>
        <v>94.199996948242188</v>
      </c>
    </row>
    <row r="95" spans="2:41">
      <c r="B95" s="102">
        <f t="shared" si="48"/>
        <v>8</v>
      </c>
      <c r="C95" s="113">
        <f>PJM_01212000!A79</f>
        <v>37834</v>
      </c>
      <c r="D95" s="315">
        <f>PJM_01212000!C79</f>
        <v>81.199996948242188</v>
      </c>
      <c r="E95" s="133">
        <f t="shared" si="31"/>
        <v>0</v>
      </c>
      <c r="F95" s="133">
        <f t="shared" si="53"/>
        <v>0</v>
      </c>
      <c r="G95" s="133">
        <f t="shared" si="53"/>
        <v>0</v>
      </c>
      <c r="H95" s="133">
        <f t="shared" si="53"/>
        <v>0</v>
      </c>
      <c r="I95" s="133">
        <f t="shared" si="53"/>
        <v>0</v>
      </c>
      <c r="J95" s="133">
        <f t="shared" si="53"/>
        <v>0</v>
      </c>
      <c r="K95" s="133">
        <f t="shared" si="53"/>
        <v>1.1907290919069531</v>
      </c>
      <c r="L95" s="133">
        <f t="shared" si="53"/>
        <v>1.26057331025457</v>
      </c>
      <c r="M95" s="133">
        <f t="shared" si="53"/>
        <v>1.2430109342677418</v>
      </c>
      <c r="N95" s="133">
        <f t="shared" si="53"/>
        <v>1.2150462278887151</v>
      </c>
      <c r="O95" s="133">
        <f t="shared" si="53"/>
        <v>0</v>
      </c>
      <c r="P95" s="133">
        <f t="shared" si="53"/>
        <v>0</v>
      </c>
      <c r="Q95" s="133">
        <f t="shared" si="53"/>
        <v>0</v>
      </c>
      <c r="R95" s="133">
        <f t="shared" si="53"/>
        <v>0</v>
      </c>
      <c r="S95" s="133">
        <f t="shared" si="53"/>
        <v>0</v>
      </c>
      <c r="T95" s="133">
        <f t="shared" si="53"/>
        <v>0</v>
      </c>
      <c r="U95" s="133">
        <f t="shared" si="49"/>
        <v>0</v>
      </c>
      <c r="W95" s="308">
        <f t="shared" si="50"/>
        <v>0</v>
      </c>
      <c r="X95" s="308">
        <f t="shared" si="33"/>
        <v>0</v>
      </c>
      <c r="Y95" s="308">
        <f t="shared" si="34"/>
        <v>0</v>
      </c>
      <c r="Z95" s="308">
        <f t="shared" si="35"/>
        <v>0</v>
      </c>
      <c r="AA95" s="308">
        <f t="shared" si="36"/>
        <v>0</v>
      </c>
      <c r="AB95" s="308">
        <f t="shared" si="37"/>
        <v>0</v>
      </c>
      <c r="AC95" s="308">
        <f t="shared" si="38"/>
        <v>96.687198629027776</v>
      </c>
      <c r="AD95" s="308">
        <f t="shared" si="39"/>
        <v>102.35854894570663</v>
      </c>
      <c r="AE95" s="308">
        <f t="shared" si="40"/>
        <v>100.9324840691723</v>
      </c>
      <c r="AF95" s="308">
        <f t="shared" si="41"/>
        <v>98.661749996536841</v>
      </c>
      <c r="AG95" s="308">
        <f t="shared" si="42"/>
        <v>0</v>
      </c>
      <c r="AH95" s="308">
        <f t="shared" si="43"/>
        <v>0</v>
      </c>
      <c r="AI95" s="308">
        <f t="shared" si="44"/>
        <v>0</v>
      </c>
      <c r="AJ95" s="308">
        <f t="shared" si="45"/>
        <v>0</v>
      </c>
      <c r="AK95" s="308">
        <f t="shared" si="46"/>
        <v>0</v>
      </c>
      <c r="AL95" s="308">
        <f t="shared" si="47"/>
        <v>0</v>
      </c>
      <c r="AN95" s="327">
        <f t="shared" si="51"/>
        <v>99.659995410110895</v>
      </c>
      <c r="AO95" s="331">
        <f t="shared" si="52"/>
        <v>81.199996948242188</v>
      </c>
    </row>
    <row r="96" spans="2:41">
      <c r="B96" s="102">
        <f t="shared" si="48"/>
        <v>9</v>
      </c>
      <c r="C96" s="113">
        <f>PJM_01212000!A80</f>
        <v>37865</v>
      </c>
      <c r="D96" s="315">
        <f>PJM_01212000!C80</f>
        <v>33.074998474121095</v>
      </c>
      <c r="E96" s="133">
        <f t="shared" si="31"/>
        <v>0</v>
      </c>
      <c r="F96" s="133">
        <f t="shared" si="53"/>
        <v>0</v>
      </c>
      <c r="G96" s="133">
        <f t="shared" si="53"/>
        <v>0</v>
      </c>
      <c r="H96" s="133">
        <f t="shared" si="53"/>
        <v>0</v>
      </c>
      <c r="I96" s="133">
        <f t="shared" si="53"/>
        <v>0</v>
      </c>
      <c r="J96" s="133">
        <f t="shared" si="53"/>
        <v>0</v>
      </c>
      <c r="K96" s="133">
        <f t="shared" si="53"/>
        <v>0</v>
      </c>
      <c r="L96" s="133">
        <f t="shared" si="53"/>
        <v>0</v>
      </c>
      <c r="M96" s="133">
        <f t="shared" si="53"/>
        <v>0</v>
      </c>
      <c r="N96" s="133">
        <f t="shared" si="53"/>
        <v>1.1345284089868721</v>
      </c>
      <c r="O96" s="133">
        <f t="shared" si="53"/>
        <v>1.1066962078625975</v>
      </c>
      <c r="P96" s="133">
        <f t="shared" si="53"/>
        <v>0</v>
      </c>
      <c r="Q96" s="133">
        <f t="shared" si="53"/>
        <v>1.184626371010566</v>
      </c>
      <c r="R96" s="133">
        <f t="shared" si="53"/>
        <v>1.1944408840385996</v>
      </c>
      <c r="S96" s="133">
        <f t="shared" si="53"/>
        <v>0</v>
      </c>
      <c r="T96" s="133">
        <f t="shared" si="53"/>
        <v>0</v>
      </c>
      <c r="U96" s="133">
        <f t="shared" si="49"/>
        <v>0</v>
      </c>
      <c r="W96" s="308">
        <f t="shared" si="50"/>
        <v>0</v>
      </c>
      <c r="X96" s="308">
        <f t="shared" si="33"/>
        <v>0</v>
      </c>
      <c r="Y96" s="308">
        <f t="shared" si="34"/>
        <v>0</v>
      </c>
      <c r="Z96" s="308">
        <f t="shared" si="35"/>
        <v>0</v>
      </c>
      <c r="AA96" s="308">
        <f t="shared" si="36"/>
        <v>0</v>
      </c>
      <c r="AB96" s="308">
        <f t="shared" si="37"/>
        <v>0</v>
      </c>
      <c r="AC96" s="308">
        <f t="shared" si="38"/>
        <v>0</v>
      </c>
      <c r="AD96" s="308">
        <f t="shared" si="39"/>
        <v>0</v>
      </c>
      <c r="AE96" s="308">
        <f t="shared" si="40"/>
        <v>0</v>
      </c>
      <c r="AF96" s="308">
        <f t="shared" si="41"/>
        <v>37.524525396087832</v>
      </c>
      <c r="AG96" s="308">
        <f t="shared" si="42"/>
        <v>36.603975386371012</v>
      </c>
      <c r="AH96" s="308">
        <f t="shared" si="43"/>
        <v>0</v>
      </c>
      <c r="AI96" s="308">
        <f t="shared" si="44"/>
        <v>39.181515413578083</v>
      </c>
      <c r="AJ96" s="308">
        <f t="shared" si="45"/>
        <v>39.506130417004535</v>
      </c>
      <c r="AK96" s="308">
        <f t="shared" si="46"/>
        <v>0</v>
      </c>
      <c r="AL96" s="308">
        <f t="shared" si="47"/>
        <v>0</v>
      </c>
      <c r="AN96" s="327">
        <f t="shared" si="51"/>
        <v>38.204036653260367</v>
      </c>
      <c r="AO96" s="331">
        <f t="shared" si="52"/>
        <v>33.074998474121095</v>
      </c>
    </row>
    <row r="97" spans="2:41">
      <c r="B97" s="102">
        <f t="shared" si="48"/>
        <v>10</v>
      </c>
      <c r="C97" s="113">
        <f>PJM_01212000!A81</f>
        <v>37895</v>
      </c>
      <c r="D97" s="315">
        <f>PJM_01212000!C81</f>
        <v>26.725000381469727</v>
      </c>
      <c r="E97" s="133">
        <f t="shared" si="31"/>
        <v>0</v>
      </c>
      <c r="F97" s="133">
        <f t="shared" si="53"/>
        <v>1.1326000000000001</v>
      </c>
      <c r="G97" s="133">
        <f t="shared" si="53"/>
        <v>0</v>
      </c>
      <c r="H97" s="133">
        <f t="shared" si="53"/>
        <v>0</v>
      </c>
      <c r="I97" s="133">
        <f t="shared" si="53"/>
        <v>0</v>
      </c>
      <c r="J97" s="133">
        <f t="shared" si="53"/>
        <v>0</v>
      </c>
      <c r="K97" s="133">
        <f t="shared" si="53"/>
        <v>0</v>
      </c>
      <c r="L97" s="133">
        <f t="shared" si="53"/>
        <v>0</v>
      </c>
      <c r="M97" s="133">
        <f t="shared" si="53"/>
        <v>0</v>
      </c>
      <c r="N97" s="133">
        <f t="shared" si="53"/>
        <v>0</v>
      </c>
      <c r="O97" s="133">
        <f t="shared" si="53"/>
        <v>1.2000999999999999</v>
      </c>
      <c r="P97" s="133">
        <f t="shared" si="53"/>
        <v>1.2095</v>
      </c>
      <c r="Q97" s="133">
        <f t="shared" si="53"/>
        <v>1.1567000000000001</v>
      </c>
      <c r="R97" s="133">
        <f t="shared" si="53"/>
        <v>0</v>
      </c>
      <c r="S97" s="133">
        <f t="shared" si="53"/>
        <v>0</v>
      </c>
      <c r="T97" s="133">
        <f t="shared" si="53"/>
        <v>0</v>
      </c>
      <c r="U97" s="133">
        <f t="shared" si="49"/>
        <v>0</v>
      </c>
      <c r="W97" s="308">
        <f t="shared" si="50"/>
        <v>0</v>
      </c>
      <c r="X97" s="308">
        <f t="shared" si="33"/>
        <v>30.268735432052615</v>
      </c>
      <c r="Y97" s="308">
        <f t="shared" si="34"/>
        <v>0</v>
      </c>
      <c r="Z97" s="308">
        <f t="shared" si="35"/>
        <v>0</v>
      </c>
      <c r="AA97" s="308">
        <f t="shared" si="36"/>
        <v>0</v>
      </c>
      <c r="AB97" s="308">
        <f t="shared" si="37"/>
        <v>0</v>
      </c>
      <c r="AC97" s="308">
        <f t="shared" si="38"/>
        <v>0</v>
      </c>
      <c r="AD97" s="308">
        <f t="shared" si="39"/>
        <v>0</v>
      </c>
      <c r="AE97" s="308">
        <f t="shared" si="40"/>
        <v>0</v>
      </c>
      <c r="AF97" s="308">
        <f t="shared" si="41"/>
        <v>0</v>
      </c>
      <c r="AG97" s="308">
        <f t="shared" si="42"/>
        <v>32.072672957801821</v>
      </c>
      <c r="AH97" s="308">
        <f t="shared" si="43"/>
        <v>32.323887961387634</v>
      </c>
      <c r="AI97" s="308">
        <f t="shared" si="44"/>
        <v>30.912807941246033</v>
      </c>
      <c r="AJ97" s="308">
        <f t="shared" si="45"/>
        <v>0</v>
      </c>
      <c r="AK97" s="308">
        <f t="shared" si="46"/>
        <v>0</v>
      </c>
      <c r="AL97" s="308">
        <f t="shared" si="47"/>
        <v>0</v>
      </c>
      <c r="AN97" s="327">
        <f t="shared" si="51"/>
        <v>31.394526073122023</v>
      </c>
      <c r="AO97" s="331">
        <f t="shared" si="52"/>
        <v>26.725000381469727</v>
      </c>
    </row>
    <row r="98" spans="2:41">
      <c r="B98" s="102">
        <f t="shared" si="48"/>
        <v>11</v>
      </c>
      <c r="C98" s="113">
        <f>PJM_01212000!A82</f>
        <v>37926</v>
      </c>
      <c r="D98" s="315">
        <f>PJM_01212000!C82</f>
        <v>26.397499084472656</v>
      </c>
      <c r="E98" s="133">
        <f t="shared" si="31"/>
        <v>0</v>
      </c>
      <c r="F98" s="133">
        <f t="shared" si="53"/>
        <v>1.1426000000000001</v>
      </c>
      <c r="G98" s="133">
        <f t="shared" si="53"/>
        <v>0</v>
      </c>
      <c r="H98" s="133">
        <f t="shared" si="53"/>
        <v>0</v>
      </c>
      <c r="I98" s="133">
        <f t="shared" si="53"/>
        <v>0</v>
      </c>
      <c r="J98" s="133">
        <f t="shared" si="53"/>
        <v>0</v>
      </c>
      <c r="K98" s="133">
        <f t="shared" si="53"/>
        <v>0</v>
      </c>
      <c r="L98" s="133">
        <f t="shared" si="53"/>
        <v>0</v>
      </c>
      <c r="M98" s="133">
        <f t="shared" si="53"/>
        <v>0</v>
      </c>
      <c r="N98" s="133">
        <f t="shared" si="53"/>
        <v>0</v>
      </c>
      <c r="O98" s="133">
        <f t="shared" si="53"/>
        <v>1.2171000000000001</v>
      </c>
      <c r="P98" s="133">
        <f t="shared" si="53"/>
        <v>1.2269000000000001</v>
      </c>
      <c r="Q98" s="133">
        <f t="shared" si="53"/>
        <v>1.1767000000000001</v>
      </c>
      <c r="R98" s="133">
        <f t="shared" si="53"/>
        <v>0</v>
      </c>
      <c r="S98" s="133">
        <f t="shared" si="53"/>
        <v>0</v>
      </c>
      <c r="T98" s="133">
        <f t="shared" si="53"/>
        <v>0</v>
      </c>
      <c r="U98" s="133">
        <f t="shared" si="49"/>
        <v>0</v>
      </c>
      <c r="W98" s="308">
        <f t="shared" si="50"/>
        <v>0</v>
      </c>
      <c r="X98" s="308">
        <f t="shared" si="33"/>
        <v>30.161782453918459</v>
      </c>
      <c r="Y98" s="308">
        <f t="shared" si="34"/>
        <v>0</v>
      </c>
      <c r="Z98" s="308">
        <f t="shared" si="35"/>
        <v>0</v>
      </c>
      <c r="AA98" s="308">
        <f t="shared" si="36"/>
        <v>0</v>
      </c>
      <c r="AB98" s="308">
        <f t="shared" si="37"/>
        <v>0</v>
      </c>
      <c r="AC98" s="308">
        <f t="shared" si="38"/>
        <v>0</v>
      </c>
      <c r="AD98" s="308">
        <f t="shared" si="39"/>
        <v>0</v>
      </c>
      <c r="AE98" s="308">
        <f t="shared" si="40"/>
        <v>0</v>
      </c>
      <c r="AF98" s="308">
        <f t="shared" si="41"/>
        <v>0</v>
      </c>
      <c r="AG98" s="308">
        <f t="shared" si="42"/>
        <v>32.128396135711675</v>
      </c>
      <c r="AH98" s="308">
        <f t="shared" si="43"/>
        <v>32.387091626739505</v>
      </c>
      <c r="AI98" s="308">
        <f t="shared" si="44"/>
        <v>31.061937172698975</v>
      </c>
      <c r="AJ98" s="308">
        <f t="shared" si="45"/>
        <v>0</v>
      </c>
      <c r="AK98" s="308">
        <f t="shared" si="46"/>
        <v>0</v>
      </c>
      <c r="AL98" s="308">
        <f t="shared" si="47"/>
        <v>0</v>
      </c>
      <c r="AN98" s="327">
        <f t="shared" si="51"/>
        <v>31.434801847267153</v>
      </c>
      <c r="AO98" s="331">
        <f t="shared" si="52"/>
        <v>26.397499084472656</v>
      </c>
    </row>
    <row r="99" spans="2:41">
      <c r="B99" s="102">
        <f t="shared" si="48"/>
        <v>12</v>
      </c>
      <c r="C99" s="113">
        <f>PJM_01212000!A83</f>
        <v>37956</v>
      </c>
      <c r="D99" s="315">
        <f>PJM_01212000!C83</f>
        <v>28.149999618530273</v>
      </c>
      <c r="E99" s="133">
        <f t="shared" si="31"/>
        <v>0</v>
      </c>
      <c r="F99" s="133">
        <f t="shared" si="53"/>
        <v>1.1637999999999999</v>
      </c>
      <c r="G99" s="133">
        <f t="shared" si="53"/>
        <v>0</v>
      </c>
      <c r="H99" s="133">
        <f t="shared" si="53"/>
        <v>0</v>
      </c>
      <c r="I99" s="133">
        <f t="shared" si="53"/>
        <v>0</v>
      </c>
      <c r="J99" s="133">
        <f t="shared" si="53"/>
        <v>0</v>
      </c>
      <c r="K99" s="133">
        <f t="shared" si="53"/>
        <v>0</v>
      </c>
      <c r="L99" s="133">
        <f t="shared" si="53"/>
        <v>0</v>
      </c>
      <c r="M99" s="133">
        <f t="shared" si="53"/>
        <v>0</v>
      </c>
      <c r="N99" s="133">
        <f t="shared" si="53"/>
        <v>0</v>
      </c>
      <c r="O99" s="133">
        <f t="shared" si="53"/>
        <v>1.2396592528631896</v>
      </c>
      <c r="P99" s="133">
        <f t="shared" si="53"/>
        <v>1.2314000000000001</v>
      </c>
      <c r="Q99" s="133">
        <f t="shared" si="53"/>
        <v>1.1889963083145296</v>
      </c>
      <c r="R99" s="133">
        <f t="shared" si="53"/>
        <v>0</v>
      </c>
      <c r="S99" s="133">
        <f t="shared" si="53"/>
        <v>0</v>
      </c>
      <c r="T99" s="133">
        <f t="shared" si="53"/>
        <v>0</v>
      </c>
      <c r="U99" s="133">
        <f t="shared" si="49"/>
        <v>0</v>
      </c>
      <c r="W99" s="308">
        <f t="shared" si="50"/>
        <v>0</v>
      </c>
      <c r="X99" s="308">
        <f t="shared" si="33"/>
        <v>32.760969556045531</v>
      </c>
      <c r="Y99" s="308">
        <f t="shared" si="34"/>
        <v>0</v>
      </c>
      <c r="Z99" s="308">
        <f t="shared" si="35"/>
        <v>0</v>
      </c>
      <c r="AA99" s="308">
        <f t="shared" si="36"/>
        <v>0</v>
      </c>
      <c r="AB99" s="308">
        <f t="shared" si="37"/>
        <v>0</v>
      </c>
      <c r="AC99" s="308">
        <f t="shared" si="38"/>
        <v>0</v>
      </c>
      <c r="AD99" s="308">
        <f t="shared" si="39"/>
        <v>0</v>
      </c>
      <c r="AE99" s="308">
        <f t="shared" si="40"/>
        <v>0</v>
      </c>
      <c r="AF99" s="308">
        <f t="shared" si="41"/>
        <v>0</v>
      </c>
      <c r="AG99" s="308">
        <f t="shared" si="42"/>
        <v>34.896407495206311</v>
      </c>
      <c r="AH99" s="308">
        <f t="shared" si="43"/>
        <v>34.663909530258181</v>
      </c>
      <c r="AI99" s="308">
        <f t="shared" si="44"/>
        <v>33.470245625487912</v>
      </c>
      <c r="AJ99" s="308">
        <f t="shared" si="45"/>
        <v>0</v>
      </c>
      <c r="AK99" s="308">
        <f t="shared" si="46"/>
        <v>0</v>
      </c>
      <c r="AL99" s="308">
        <f t="shared" si="47"/>
        <v>0</v>
      </c>
      <c r="AN99" s="327">
        <f t="shared" si="51"/>
        <v>33.947883051749486</v>
      </c>
      <c r="AO99" s="331">
        <f t="shared" si="52"/>
        <v>28.149999618530273</v>
      </c>
    </row>
    <row r="100" spans="2:41">
      <c r="B100" s="102">
        <f t="shared" si="48"/>
        <v>1</v>
      </c>
      <c r="C100" s="113">
        <f>PJM_01212000!A84</f>
        <v>37987</v>
      </c>
      <c r="D100" s="315">
        <f>PJM_01212000!C84</f>
        <v>36.824998474121088</v>
      </c>
      <c r="E100" s="133">
        <f t="shared" si="31"/>
        <v>0</v>
      </c>
      <c r="F100" s="133">
        <f t="shared" ref="F100:T109" si="54">VLOOKUP($B100,$C$6:$Z$17,F$22+1)</f>
        <v>1.1998117566192825</v>
      </c>
      <c r="G100" s="133">
        <f t="shared" si="54"/>
        <v>1.1961600115620716</v>
      </c>
      <c r="H100" s="133">
        <f t="shared" si="54"/>
        <v>0</v>
      </c>
      <c r="I100" s="133">
        <f t="shared" si="54"/>
        <v>0</v>
      </c>
      <c r="J100" s="133">
        <f t="shared" si="54"/>
        <v>0</v>
      </c>
      <c r="K100" s="133">
        <f t="shared" si="54"/>
        <v>0</v>
      </c>
      <c r="L100" s="133">
        <f t="shared" si="54"/>
        <v>0</v>
      </c>
      <c r="M100" s="133">
        <f t="shared" si="54"/>
        <v>0</v>
      </c>
      <c r="N100" s="133">
        <f t="shared" si="54"/>
        <v>0</v>
      </c>
      <c r="O100" s="133">
        <f t="shared" si="54"/>
        <v>0</v>
      </c>
      <c r="P100" s="133">
        <f t="shared" si="54"/>
        <v>1.2818992289435116</v>
      </c>
      <c r="Q100" s="133">
        <f t="shared" si="54"/>
        <v>1.2270000000000001</v>
      </c>
      <c r="R100" s="133">
        <f t="shared" si="54"/>
        <v>0</v>
      </c>
      <c r="S100" s="133">
        <f t="shared" si="54"/>
        <v>0</v>
      </c>
      <c r="T100" s="133">
        <f t="shared" si="54"/>
        <v>0</v>
      </c>
      <c r="U100" s="133">
        <f t="shared" si="49"/>
        <v>0</v>
      </c>
      <c r="W100" s="308">
        <f t="shared" si="50"/>
        <v>0</v>
      </c>
      <c r="X100" s="308">
        <f t="shared" si="33"/>
        <v>44.18306610673762</v>
      </c>
      <c r="Y100" s="308">
        <f t="shared" si="34"/>
        <v>44.048590600577953</v>
      </c>
      <c r="Z100" s="308">
        <f t="shared" si="35"/>
        <v>0</v>
      </c>
      <c r="AA100" s="308">
        <f t="shared" si="36"/>
        <v>0</v>
      </c>
      <c r="AB100" s="308">
        <f t="shared" si="37"/>
        <v>0</v>
      </c>
      <c r="AC100" s="308">
        <f t="shared" si="38"/>
        <v>0</v>
      </c>
      <c r="AD100" s="308">
        <f t="shared" si="39"/>
        <v>0</v>
      </c>
      <c r="AE100" s="308">
        <f t="shared" si="40"/>
        <v>0</v>
      </c>
      <c r="AF100" s="308">
        <f t="shared" si="41"/>
        <v>0</v>
      </c>
      <c r="AG100" s="308">
        <f t="shared" si="42"/>
        <v>0</v>
      </c>
      <c r="AH100" s="308">
        <f t="shared" si="43"/>
        <v>47.205937149821814</v>
      </c>
      <c r="AI100" s="308">
        <f t="shared" si="44"/>
        <v>45.184273127746579</v>
      </c>
      <c r="AJ100" s="308">
        <f t="shared" si="45"/>
        <v>0</v>
      </c>
      <c r="AK100" s="308">
        <f t="shared" si="46"/>
        <v>0</v>
      </c>
      <c r="AL100" s="308">
        <f t="shared" si="47"/>
        <v>0</v>
      </c>
      <c r="AN100" s="327">
        <f t="shared" si="51"/>
        <v>45.155466746220995</v>
      </c>
      <c r="AO100" s="331">
        <f t="shared" si="52"/>
        <v>36.824998474121088</v>
      </c>
    </row>
    <row r="101" spans="2:41">
      <c r="B101" s="102">
        <f t="shared" si="48"/>
        <v>2</v>
      </c>
      <c r="C101" s="113">
        <f>PJM_01212000!A85</f>
        <v>38018</v>
      </c>
      <c r="D101" s="315">
        <f>PJM_01212000!C85</f>
        <v>36.824998474121088</v>
      </c>
      <c r="E101" s="133">
        <f t="shared" si="31"/>
        <v>0</v>
      </c>
      <c r="F101" s="133">
        <f t="shared" si="54"/>
        <v>1.1998117566192825</v>
      </c>
      <c r="G101" s="133">
        <f t="shared" si="54"/>
        <v>1.1961600115620716</v>
      </c>
      <c r="H101" s="133">
        <f t="shared" si="54"/>
        <v>0</v>
      </c>
      <c r="I101" s="133">
        <f t="shared" si="54"/>
        <v>0</v>
      </c>
      <c r="J101" s="133">
        <f t="shared" si="54"/>
        <v>0</v>
      </c>
      <c r="K101" s="133">
        <f t="shared" si="54"/>
        <v>0</v>
      </c>
      <c r="L101" s="133">
        <f t="shared" si="54"/>
        <v>0</v>
      </c>
      <c r="M101" s="133">
        <f t="shared" si="54"/>
        <v>0</v>
      </c>
      <c r="N101" s="133">
        <f t="shared" si="54"/>
        <v>0</v>
      </c>
      <c r="O101" s="133">
        <f t="shared" si="54"/>
        <v>0</v>
      </c>
      <c r="P101" s="133">
        <f t="shared" si="54"/>
        <v>1.2818992289435116</v>
      </c>
      <c r="Q101" s="133">
        <f t="shared" si="54"/>
        <v>1.2270000000000001</v>
      </c>
      <c r="R101" s="133">
        <f t="shared" si="54"/>
        <v>0</v>
      </c>
      <c r="S101" s="133">
        <f t="shared" si="54"/>
        <v>0</v>
      </c>
      <c r="T101" s="133">
        <f t="shared" si="54"/>
        <v>0</v>
      </c>
      <c r="U101" s="133">
        <f t="shared" si="49"/>
        <v>0</v>
      </c>
      <c r="W101" s="308">
        <f t="shared" si="50"/>
        <v>0</v>
      </c>
      <c r="X101" s="308">
        <f t="shared" si="33"/>
        <v>44.18306610673762</v>
      </c>
      <c r="Y101" s="308">
        <f t="shared" si="34"/>
        <v>44.048590600577953</v>
      </c>
      <c r="Z101" s="308">
        <f t="shared" si="35"/>
        <v>0</v>
      </c>
      <c r="AA101" s="308">
        <f t="shared" si="36"/>
        <v>0</v>
      </c>
      <c r="AB101" s="308">
        <f t="shared" si="37"/>
        <v>0</v>
      </c>
      <c r="AC101" s="308">
        <f t="shared" si="38"/>
        <v>0</v>
      </c>
      <c r="AD101" s="308">
        <f t="shared" si="39"/>
        <v>0</v>
      </c>
      <c r="AE101" s="308">
        <f t="shared" si="40"/>
        <v>0</v>
      </c>
      <c r="AF101" s="308">
        <f t="shared" si="41"/>
        <v>0</v>
      </c>
      <c r="AG101" s="308">
        <f t="shared" si="42"/>
        <v>0</v>
      </c>
      <c r="AH101" s="308">
        <f t="shared" si="43"/>
        <v>47.205937149821814</v>
      </c>
      <c r="AI101" s="308">
        <f t="shared" si="44"/>
        <v>45.184273127746579</v>
      </c>
      <c r="AJ101" s="308">
        <f t="shared" si="45"/>
        <v>0</v>
      </c>
      <c r="AK101" s="308">
        <f t="shared" si="46"/>
        <v>0</v>
      </c>
      <c r="AL101" s="308">
        <f t="shared" si="47"/>
        <v>0</v>
      </c>
      <c r="AN101" s="327">
        <f t="shared" si="51"/>
        <v>45.155466746220995</v>
      </c>
      <c r="AO101" s="331">
        <f t="shared" si="52"/>
        <v>36.824998474121088</v>
      </c>
    </row>
    <row r="102" spans="2:41">
      <c r="B102" s="102">
        <f t="shared" si="48"/>
        <v>3</v>
      </c>
      <c r="C102" s="113">
        <f>PJM_01212000!A86</f>
        <v>38047</v>
      </c>
      <c r="D102" s="315">
        <f>PJM_01212000!C86</f>
        <v>26.550000762939455</v>
      </c>
      <c r="E102" s="133">
        <f t="shared" si="31"/>
        <v>0</v>
      </c>
      <c r="F102" s="133">
        <f t="shared" si="54"/>
        <v>1.1898</v>
      </c>
      <c r="G102" s="133">
        <f t="shared" si="54"/>
        <v>1.1861999999999999</v>
      </c>
      <c r="H102" s="133">
        <f t="shared" si="54"/>
        <v>0</v>
      </c>
      <c r="I102" s="133">
        <f t="shared" si="54"/>
        <v>0</v>
      </c>
      <c r="J102" s="133">
        <f t="shared" si="54"/>
        <v>0</v>
      </c>
      <c r="K102" s="133">
        <f t="shared" si="54"/>
        <v>0</v>
      </c>
      <c r="L102" s="133">
        <f t="shared" si="54"/>
        <v>0</v>
      </c>
      <c r="M102" s="133">
        <f t="shared" si="54"/>
        <v>0</v>
      </c>
      <c r="N102" s="133">
        <f t="shared" si="54"/>
        <v>0</v>
      </c>
      <c r="O102" s="133">
        <f t="shared" si="54"/>
        <v>0</v>
      </c>
      <c r="P102" s="133">
        <f t="shared" si="54"/>
        <v>1.2719</v>
      </c>
      <c r="Q102" s="133">
        <f t="shared" si="54"/>
        <v>1.2170000000000001</v>
      </c>
      <c r="R102" s="133">
        <f t="shared" si="54"/>
        <v>0</v>
      </c>
      <c r="S102" s="133">
        <f t="shared" si="54"/>
        <v>0</v>
      </c>
      <c r="T102" s="133">
        <f t="shared" si="54"/>
        <v>0</v>
      </c>
      <c r="U102" s="133">
        <f t="shared" si="49"/>
        <v>0</v>
      </c>
      <c r="W102" s="308">
        <f t="shared" si="50"/>
        <v>0</v>
      </c>
      <c r="X102" s="308">
        <f t="shared" si="33"/>
        <v>31.589190907745362</v>
      </c>
      <c r="Y102" s="308">
        <f t="shared" si="34"/>
        <v>31.493610904998778</v>
      </c>
      <c r="Z102" s="308">
        <f t="shared" si="35"/>
        <v>0</v>
      </c>
      <c r="AA102" s="308">
        <f t="shared" si="36"/>
        <v>0</v>
      </c>
      <c r="AB102" s="308">
        <f t="shared" si="37"/>
        <v>0</v>
      </c>
      <c r="AC102" s="308">
        <f t="shared" si="38"/>
        <v>0</v>
      </c>
      <c r="AD102" s="308">
        <f t="shared" si="39"/>
        <v>0</v>
      </c>
      <c r="AE102" s="308">
        <f t="shared" si="40"/>
        <v>0</v>
      </c>
      <c r="AF102" s="308">
        <f t="shared" si="41"/>
        <v>0</v>
      </c>
      <c r="AG102" s="308">
        <f t="shared" si="42"/>
        <v>0</v>
      </c>
      <c r="AH102" s="308">
        <f t="shared" si="43"/>
        <v>33.768945970382696</v>
      </c>
      <c r="AI102" s="308">
        <f t="shared" si="44"/>
        <v>32.311350928497319</v>
      </c>
      <c r="AJ102" s="308">
        <f t="shared" si="45"/>
        <v>0</v>
      </c>
      <c r="AK102" s="308">
        <f t="shared" si="46"/>
        <v>0</v>
      </c>
      <c r="AL102" s="308">
        <f t="shared" si="47"/>
        <v>0</v>
      </c>
      <c r="AN102" s="327">
        <f t="shared" si="51"/>
        <v>32.290774677906036</v>
      </c>
      <c r="AO102" s="331">
        <f t="shared" si="52"/>
        <v>26.550000762939455</v>
      </c>
    </row>
    <row r="103" spans="2:41">
      <c r="B103" s="102">
        <f t="shared" si="48"/>
        <v>4</v>
      </c>
      <c r="C103" s="113">
        <f>PJM_01212000!A87</f>
        <v>38078</v>
      </c>
      <c r="D103" s="315">
        <f>PJM_01212000!C87</f>
        <v>26.325000762939453</v>
      </c>
      <c r="E103" s="133">
        <f t="shared" si="31"/>
        <v>1.1232726508202047</v>
      </c>
      <c r="F103" s="133">
        <f t="shared" si="54"/>
        <v>1.1413154461256174</v>
      </c>
      <c r="G103" s="133">
        <f t="shared" si="54"/>
        <v>0</v>
      </c>
      <c r="H103" s="133">
        <f t="shared" si="54"/>
        <v>0</v>
      </c>
      <c r="I103" s="133">
        <f t="shared" si="54"/>
        <v>1.1185245467924647</v>
      </c>
      <c r="J103" s="133">
        <f t="shared" si="54"/>
        <v>0</v>
      </c>
      <c r="K103" s="133">
        <f t="shared" si="54"/>
        <v>0</v>
      </c>
      <c r="L103" s="133">
        <f t="shared" si="54"/>
        <v>0</v>
      </c>
      <c r="M103" s="133">
        <f t="shared" si="54"/>
        <v>0</v>
      </c>
      <c r="N103" s="133">
        <f t="shared" si="54"/>
        <v>0</v>
      </c>
      <c r="O103" s="133">
        <f t="shared" si="54"/>
        <v>0</v>
      </c>
      <c r="P103" s="133">
        <f t="shared" si="54"/>
        <v>0</v>
      </c>
      <c r="Q103" s="133">
        <f t="shared" si="54"/>
        <v>0</v>
      </c>
      <c r="R103" s="133">
        <f t="shared" si="54"/>
        <v>1.1543365178491491</v>
      </c>
      <c r="S103" s="133">
        <f t="shared" si="54"/>
        <v>0</v>
      </c>
      <c r="T103" s="133">
        <f t="shared" si="54"/>
        <v>0</v>
      </c>
      <c r="U103" s="133">
        <f t="shared" si="49"/>
        <v>0</v>
      </c>
      <c r="W103" s="308">
        <f t="shared" si="50"/>
        <v>29.57015338983091</v>
      </c>
      <c r="X103" s="308">
        <f t="shared" si="33"/>
        <v>30.045129990011461</v>
      </c>
      <c r="Y103" s="308">
        <f t="shared" si="34"/>
        <v>0</v>
      </c>
      <c r="Z103" s="308">
        <f t="shared" si="35"/>
        <v>0</v>
      </c>
      <c r="AA103" s="308">
        <f t="shared" si="36"/>
        <v>29.445159547678141</v>
      </c>
      <c r="AB103" s="308">
        <f t="shared" si="37"/>
        <v>0</v>
      </c>
      <c r="AC103" s="308">
        <f t="shared" si="38"/>
        <v>0</v>
      </c>
      <c r="AD103" s="308">
        <f t="shared" si="39"/>
        <v>0</v>
      </c>
      <c r="AE103" s="308">
        <f t="shared" si="40"/>
        <v>0</v>
      </c>
      <c r="AF103" s="308">
        <f t="shared" si="41"/>
        <v>0</v>
      </c>
      <c r="AG103" s="308">
        <f t="shared" si="42"/>
        <v>0</v>
      </c>
      <c r="AH103" s="308">
        <f t="shared" si="43"/>
        <v>0</v>
      </c>
      <c r="AI103" s="308">
        <f t="shared" si="44"/>
        <v>0</v>
      </c>
      <c r="AJ103" s="308">
        <f t="shared" si="45"/>
        <v>30.387909713067724</v>
      </c>
      <c r="AK103" s="308">
        <f t="shared" si="46"/>
        <v>0</v>
      </c>
      <c r="AL103" s="308">
        <f t="shared" si="47"/>
        <v>0</v>
      </c>
      <c r="AN103" s="327">
        <f t="shared" si="51"/>
        <v>29.86208816014706</v>
      </c>
      <c r="AO103" s="331">
        <f t="shared" si="52"/>
        <v>26.325000762939453</v>
      </c>
    </row>
    <row r="104" spans="2:41">
      <c r="B104" s="102">
        <f t="shared" si="48"/>
        <v>5</v>
      </c>
      <c r="C104" s="113">
        <f>PJM_01212000!A88</f>
        <v>38108</v>
      </c>
      <c r="D104" s="315">
        <f>PJM_01212000!C88</f>
        <v>31.324999999999999</v>
      </c>
      <c r="E104" s="133">
        <f t="shared" si="31"/>
        <v>0</v>
      </c>
      <c r="F104" s="133">
        <f t="shared" si="54"/>
        <v>0</v>
      </c>
      <c r="G104" s="133">
        <f t="shared" si="54"/>
        <v>1.0610266218026732</v>
      </c>
      <c r="H104" s="133">
        <f t="shared" si="54"/>
        <v>1.1254998619307197</v>
      </c>
      <c r="I104" s="133">
        <f t="shared" si="54"/>
        <v>1.1169907033351396</v>
      </c>
      <c r="J104" s="133">
        <f t="shared" si="54"/>
        <v>0</v>
      </c>
      <c r="K104" s="133">
        <f t="shared" si="54"/>
        <v>0</v>
      </c>
      <c r="L104" s="133">
        <f t="shared" si="54"/>
        <v>0</v>
      </c>
      <c r="M104" s="133">
        <f t="shared" si="54"/>
        <v>0</v>
      </c>
      <c r="N104" s="133">
        <f t="shared" si="54"/>
        <v>0</v>
      </c>
      <c r="O104" s="133">
        <f t="shared" si="54"/>
        <v>0</v>
      </c>
      <c r="P104" s="133">
        <f t="shared" si="54"/>
        <v>0</v>
      </c>
      <c r="Q104" s="133">
        <f t="shared" si="54"/>
        <v>0</v>
      </c>
      <c r="R104" s="133">
        <f t="shared" si="54"/>
        <v>1.0876995612465097</v>
      </c>
      <c r="S104" s="133">
        <f t="shared" si="54"/>
        <v>0</v>
      </c>
      <c r="T104" s="133">
        <f t="shared" si="54"/>
        <v>0</v>
      </c>
      <c r="U104" s="133">
        <f t="shared" si="49"/>
        <v>0</v>
      </c>
      <c r="W104" s="308">
        <f t="shared" si="50"/>
        <v>0</v>
      </c>
      <c r="X104" s="308">
        <f t="shared" si="33"/>
        <v>0</v>
      </c>
      <c r="Y104" s="308">
        <f t="shared" si="34"/>
        <v>33.236658927968733</v>
      </c>
      <c r="Z104" s="308">
        <f t="shared" si="35"/>
        <v>35.256283174979792</v>
      </c>
      <c r="AA104" s="308">
        <f t="shared" si="36"/>
        <v>34.98973378197325</v>
      </c>
      <c r="AB104" s="308">
        <f t="shared" si="37"/>
        <v>0</v>
      </c>
      <c r="AC104" s="308">
        <f t="shared" si="38"/>
        <v>0</v>
      </c>
      <c r="AD104" s="308">
        <f t="shared" si="39"/>
        <v>0</v>
      </c>
      <c r="AE104" s="308">
        <f t="shared" si="40"/>
        <v>0</v>
      </c>
      <c r="AF104" s="308">
        <f t="shared" si="41"/>
        <v>0</v>
      </c>
      <c r="AG104" s="308">
        <f t="shared" si="42"/>
        <v>0</v>
      </c>
      <c r="AH104" s="308">
        <f t="shared" si="43"/>
        <v>0</v>
      </c>
      <c r="AI104" s="308">
        <f t="shared" si="44"/>
        <v>0</v>
      </c>
      <c r="AJ104" s="308">
        <f t="shared" si="45"/>
        <v>34.072188756046913</v>
      </c>
      <c r="AK104" s="308">
        <f t="shared" si="46"/>
        <v>0</v>
      </c>
      <c r="AL104" s="308">
        <f t="shared" si="47"/>
        <v>0</v>
      </c>
      <c r="AN104" s="327">
        <f t="shared" si="51"/>
        <v>34.388716160242168</v>
      </c>
      <c r="AO104" s="331">
        <f t="shared" si="52"/>
        <v>31.324999999999999</v>
      </c>
    </row>
    <row r="105" spans="2:41">
      <c r="B105" s="102">
        <f t="shared" si="48"/>
        <v>6</v>
      </c>
      <c r="C105" s="113">
        <f>PJM_01212000!A89</f>
        <v>38139</v>
      </c>
      <c r="D105" s="315">
        <f>PJM_01212000!C89</f>
        <v>55.599998474121094</v>
      </c>
      <c r="E105" s="133">
        <f t="shared" si="31"/>
        <v>0</v>
      </c>
      <c r="F105" s="133">
        <f t="shared" si="54"/>
        <v>0</v>
      </c>
      <c r="G105" s="133">
        <f t="shared" si="54"/>
        <v>0</v>
      </c>
      <c r="H105" s="133">
        <f t="shared" si="54"/>
        <v>0</v>
      </c>
      <c r="I105" s="133">
        <f t="shared" si="54"/>
        <v>0</v>
      </c>
      <c r="J105" s="133">
        <f t="shared" si="54"/>
        <v>0</v>
      </c>
      <c r="K105" s="133">
        <f t="shared" si="54"/>
        <v>1.2209201862181771</v>
      </c>
      <c r="L105" s="133">
        <f t="shared" si="54"/>
        <v>1.2303149771421382</v>
      </c>
      <c r="M105" s="133">
        <f t="shared" si="54"/>
        <v>1.2323281466258438</v>
      </c>
      <c r="N105" s="133">
        <f t="shared" si="54"/>
        <v>1.2523256301639896</v>
      </c>
      <c r="O105" s="133">
        <f t="shared" si="54"/>
        <v>0</v>
      </c>
      <c r="P105" s="133">
        <f t="shared" si="54"/>
        <v>0</v>
      </c>
      <c r="Q105" s="133">
        <f t="shared" si="54"/>
        <v>0</v>
      </c>
      <c r="R105" s="133">
        <f t="shared" si="54"/>
        <v>0</v>
      </c>
      <c r="S105" s="133">
        <f t="shared" si="54"/>
        <v>0</v>
      </c>
      <c r="T105" s="133">
        <f t="shared" si="54"/>
        <v>0</v>
      </c>
      <c r="U105" s="133">
        <f t="shared" si="49"/>
        <v>0</v>
      </c>
      <c r="W105" s="308">
        <f t="shared" si="50"/>
        <v>0</v>
      </c>
      <c r="X105" s="308">
        <f t="shared" si="33"/>
        <v>0</v>
      </c>
      <c r="Y105" s="308">
        <f t="shared" si="34"/>
        <v>0</v>
      </c>
      <c r="Z105" s="308">
        <f t="shared" si="35"/>
        <v>0</v>
      </c>
      <c r="AA105" s="308">
        <f t="shared" si="36"/>
        <v>0</v>
      </c>
      <c r="AB105" s="308">
        <f t="shared" si="37"/>
        <v>0</v>
      </c>
      <c r="AC105" s="308">
        <f t="shared" si="38"/>
        <v>67.883160490754292</v>
      </c>
      <c r="AD105" s="308">
        <f t="shared" si="39"/>
        <v>68.40551085179122</v>
      </c>
      <c r="AE105" s="308">
        <f t="shared" si="40"/>
        <v>68.517443072013393</v>
      </c>
      <c r="AF105" s="308">
        <f t="shared" si="41"/>
        <v>69.629303126220563</v>
      </c>
      <c r="AG105" s="308">
        <f t="shared" si="42"/>
        <v>0</v>
      </c>
      <c r="AH105" s="308">
        <f t="shared" si="43"/>
        <v>0</v>
      </c>
      <c r="AI105" s="308">
        <f t="shared" si="44"/>
        <v>0</v>
      </c>
      <c r="AJ105" s="308">
        <f t="shared" si="45"/>
        <v>0</v>
      </c>
      <c r="AK105" s="308">
        <f t="shared" si="46"/>
        <v>0</v>
      </c>
      <c r="AL105" s="308">
        <f t="shared" si="47"/>
        <v>0</v>
      </c>
      <c r="AN105" s="327">
        <f t="shared" si="51"/>
        <v>68.608854385194874</v>
      </c>
      <c r="AO105" s="331">
        <f t="shared" si="52"/>
        <v>55.599998474121094</v>
      </c>
    </row>
    <row r="106" spans="2:41">
      <c r="B106" s="102">
        <f t="shared" si="48"/>
        <v>7</v>
      </c>
      <c r="C106" s="113">
        <f>PJM_01212000!A90</f>
        <v>38169</v>
      </c>
      <c r="D106" s="315">
        <f>PJM_01212000!C90</f>
        <v>94.449996948242188</v>
      </c>
      <c r="E106" s="133">
        <f t="shared" si="31"/>
        <v>0</v>
      </c>
      <c r="F106" s="133">
        <f t="shared" si="54"/>
        <v>0</v>
      </c>
      <c r="G106" s="133">
        <f t="shared" si="54"/>
        <v>0</v>
      </c>
      <c r="H106" s="133">
        <f t="shared" si="54"/>
        <v>0</v>
      </c>
      <c r="I106" s="133">
        <f t="shared" si="54"/>
        <v>0</v>
      </c>
      <c r="J106" s="133">
        <f t="shared" si="54"/>
        <v>0</v>
      </c>
      <c r="K106" s="133">
        <f t="shared" si="54"/>
        <v>0</v>
      </c>
      <c r="L106" s="133">
        <f t="shared" si="54"/>
        <v>1.2506946851612968</v>
      </c>
      <c r="M106" s="133">
        <f t="shared" si="54"/>
        <v>1.3273401940004199</v>
      </c>
      <c r="N106" s="133">
        <f t="shared" si="54"/>
        <v>1.3538888162792144</v>
      </c>
      <c r="O106" s="133">
        <f t="shared" si="54"/>
        <v>1.3203393586734773</v>
      </c>
      <c r="P106" s="133">
        <f t="shared" si="54"/>
        <v>0</v>
      </c>
      <c r="Q106" s="133">
        <f t="shared" si="54"/>
        <v>0</v>
      </c>
      <c r="R106" s="133">
        <f t="shared" si="54"/>
        <v>0</v>
      </c>
      <c r="S106" s="133">
        <f t="shared" si="54"/>
        <v>0</v>
      </c>
      <c r="T106" s="133">
        <f t="shared" si="54"/>
        <v>0</v>
      </c>
      <c r="U106" s="133">
        <f t="shared" si="49"/>
        <v>0</v>
      </c>
      <c r="W106" s="308">
        <f t="shared" si="50"/>
        <v>0</v>
      </c>
      <c r="X106" s="308">
        <f t="shared" si="33"/>
        <v>0</v>
      </c>
      <c r="Y106" s="308">
        <f t="shared" si="34"/>
        <v>0</v>
      </c>
      <c r="Z106" s="308">
        <f t="shared" si="35"/>
        <v>0</v>
      </c>
      <c r="AA106" s="308">
        <f t="shared" si="36"/>
        <v>0</v>
      </c>
      <c r="AB106" s="308">
        <f t="shared" si="37"/>
        <v>0</v>
      </c>
      <c r="AC106" s="308">
        <f t="shared" si="38"/>
        <v>0</v>
      </c>
      <c r="AD106" s="308">
        <f t="shared" si="39"/>
        <v>118.12810919666721</v>
      </c>
      <c r="AE106" s="308">
        <f t="shared" si="40"/>
        <v>125.36727727261885</v>
      </c>
      <c r="AF106" s="308">
        <f t="shared" si="41"/>
        <v>127.87479456583102</v>
      </c>
      <c r="AG106" s="308">
        <f t="shared" si="42"/>
        <v>124.70604839735398</v>
      </c>
      <c r="AH106" s="308">
        <f t="shared" si="43"/>
        <v>0</v>
      </c>
      <c r="AI106" s="308">
        <f t="shared" si="44"/>
        <v>0</v>
      </c>
      <c r="AJ106" s="308">
        <f t="shared" si="45"/>
        <v>0</v>
      </c>
      <c r="AK106" s="308">
        <f t="shared" si="46"/>
        <v>0</v>
      </c>
      <c r="AL106" s="308">
        <f t="shared" si="47"/>
        <v>0</v>
      </c>
      <c r="AN106" s="327">
        <f t="shared" si="51"/>
        <v>124.01905735811776</v>
      </c>
      <c r="AO106" s="331">
        <f t="shared" si="52"/>
        <v>94.449996948242188</v>
      </c>
    </row>
    <row r="107" spans="2:41">
      <c r="B107" s="102">
        <f t="shared" si="48"/>
        <v>8</v>
      </c>
      <c r="C107" s="113">
        <f>PJM_01212000!A91</f>
        <v>38200</v>
      </c>
      <c r="D107" s="315">
        <f>PJM_01212000!C91</f>
        <v>81.449996948242188</v>
      </c>
      <c r="E107" s="133">
        <f t="shared" si="31"/>
        <v>0</v>
      </c>
      <c r="F107" s="133">
        <f t="shared" si="54"/>
        <v>0</v>
      </c>
      <c r="G107" s="133">
        <f t="shared" si="54"/>
        <v>0</v>
      </c>
      <c r="H107" s="133">
        <f t="shared" si="54"/>
        <v>0</v>
      </c>
      <c r="I107" s="133">
        <f t="shared" si="54"/>
        <v>0</v>
      </c>
      <c r="J107" s="133">
        <f t="shared" si="54"/>
        <v>0</v>
      </c>
      <c r="K107" s="133">
        <f t="shared" si="54"/>
        <v>1.1907290919069531</v>
      </c>
      <c r="L107" s="133">
        <f t="shared" si="54"/>
        <v>1.26057331025457</v>
      </c>
      <c r="M107" s="133">
        <f t="shared" si="54"/>
        <v>1.2430109342677418</v>
      </c>
      <c r="N107" s="133">
        <f t="shared" si="54"/>
        <v>1.2150462278887151</v>
      </c>
      <c r="O107" s="133">
        <f t="shared" si="54"/>
        <v>0</v>
      </c>
      <c r="P107" s="133">
        <f t="shared" si="54"/>
        <v>0</v>
      </c>
      <c r="Q107" s="133">
        <f t="shared" si="54"/>
        <v>0</v>
      </c>
      <c r="R107" s="133">
        <f t="shared" si="54"/>
        <v>0</v>
      </c>
      <c r="S107" s="133">
        <f t="shared" si="54"/>
        <v>0</v>
      </c>
      <c r="T107" s="133">
        <f t="shared" si="54"/>
        <v>0</v>
      </c>
      <c r="U107" s="133">
        <f t="shared" si="49"/>
        <v>0</v>
      </c>
      <c r="W107" s="308">
        <f t="shared" si="50"/>
        <v>0</v>
      </c>
      <c r="X107" s="308">
        <f t="shared" si="33"/>
        <v>0</v>
      </c>
      <c r="Y107" s="308">
        <f t="shared" si="34"/>
        <v>0</v>
      </c>
      <c r="Z107" s="308">
        <f t="shared" si="35"/>
        <v>0</v>
      </c>
      <c r="AA107" s="308">
        <f t="shared" si="36"/>
        <v>0</v>
      </c>
      <c r="AB107" s="308">
        <f t="shared" si="37"/>
        <v>0</v>
      </c>
      <c r="AC107" s="308">
        <f t="shared" si="38"/>
        <v>96.984880902004519</v>
      </c>
      <c r="AD107" s="308">
        <f t="shared" si="39"/>
        <v>102.67369227327028</v>
      </c>
      <c r="AE107" s="308">
        <f t="shared" si="40"/>
        <v>101.24323680273923</v>
      </c>
      <c r="AF107" s="308">
        <f t="shared" si="41"/>
        <v>98.965511553509032</v>
      </c>
      <c r="AG107" s="308">
        <f t="shared" si="42"/>
        <v>0</v>
      </c>
      <c r="AH107" s="308">
        <f t="shared" si="43"/>
        <v>0</v>
      </c>
      <c r="AI107" s="308">
        <f t="shared" si="44"/>
        <v>0</v>
      </c>
      <c r="AJ107" s="308">
        <f t="shared" si="45"/>
        <v>0</v>
      </c>
      <c r="AK107" s="308">
        <f t="shared" si="46"/>
        <v>0</v>
      </c>
      <c r="AL107" s="308">
        <f t="shared" si="47"/>
        <v>0</v>
      </c>
      <c r="AN107" s="327">
        <f t="shared" si="51"/>
        <v>99.966830382880772</v>
      </c>
      <c r="AO107" s="331">
        <f t="shared" si="52"/>
        <v>81.449996948242188</v>
      </c>
    </row>
    <row r="108" spans="2:41">
      <c r="B108" s="102">
        <f t="shared" si="48"/>
        <v>9</v>
      </c>
      <c r="C108" s="113">
        <f>PJM_01212000!A92</f>
        <v>38231</v>
      </c>
      <c r="D108" s="315">
        <f>PJM_01212000!C92</f>
        <v>33.424998474121097</v>
      </c>
      <c r="E108" s="133">
        <f t="shared" si="31"/>
        <v>0</v>
      </c>
      <c r="F108" s="133">
        <f t="shared" si="54"/>
        <v>0</v>
      </c>
      <c r="G108" s="133">
        <f t="shared" si="54"/>
        <v>0</v>
      </c>
      <c r="H108" s="133">
        <f t="shared" si="54"/>
        <v>0</v>
      </c>
      <c r="I108" s="133">
        <f t="shared" si="54"/>
        <v>0</v>
      </c>
      <c r="J108" s="133">
        <f t="shared" si="54"/>
        <v>0</v>
      </c>
      <c r="K108" s="133">
        <f t="shared" si="54"/>
        <v>0</v>
      </c>
      <c r="L108" s="133">
        <f t="shared" si="54"/>
        <v>0</v>
      </c>
      <c r="M108" s="133">
        <f t="shared" si="54"/>
        <v>0</v>
      </c>
      <c r="N108" s="133">
        <f t="shared" si="54"/>
        <v>1.1345284089868721</v>
      </c>
      <c r="O108" s="133">
        <f t="shared" si="54"/>
        <v>1.1066962078625975</v>
      </c>
      <c r="P108" s="133">
        <f t="shared" si="54"/>
        <v>0</v>
      </c>
      <c r="Q108" s="133">
        <f t="shared" si="54"/>
        <v>1.184626371010566</v>
      </c>
      <c r="R108" s="133">
        <f t="shared" si="54"/>
        <v>1.1944408840385996</v>
      </c>
      <c r="S108" s="133">
        <f t="shared" si="54"/>
        <v>0</v>
      </c>
      <c r="T108" s="133">
        <f t="shared" si="54"/>
        <v>0</v>
      </c>
      <c r="U108" s="133">
        <f t="shared" si="49"/>
        <v>0</v>
      </c>
      <c r="W108" s="308">
        <f t="shared" si="50"/>
        <v>0</v>
      </c>
      <c r="X108" s="308">
        <f t="shared" si="33"/>
        <v>0</v>
      </c>
      <c r="Y108" s="308">
        <f t="shared" si="34"/>
        <v>0</v>
      </c>
      <c r="Z108" s="308">
        <f t="shared" si="35"/>
        <v>0</v>
      </c>
      <c r="AA108" s="308">
        <f t="shared" si="36"/>
        <v>0</v>
      </c>
      <c r="AB108" s="308">
        <f t="shared" si="37"/>
        <v>0</v>
      </c>
      <c r="AC108" s="308">
        <f t="shared" si="38"/>
        <v>0</v>
      </c>
      <c r="AD108" s="308">
        <f t="shared" si="39"/>
        <v>0</v>
      </c>
      <c r="AE108" s="308">
        <f t="shared" si="40"/>
        <v>0</v>
      </c>
      <c r="AF108" s="308">
        <f t="shared" si="41"/>
        <v>37.921610339233233</v>
      </c>
      <c r="AG108" s="308">
        <f t="shared" si="42"/>
        <v>36.991319059122922</v>
      </c>
      <c r="AH108" s="308">
        <f t="shared" si="43"/>
        <v>0</v>
      </c>
      <c r="AI108" s="308">
        <f t="shared" si="44"/>
        <v>39.596134643431782</v>
      </c>
      <c r="AJ108" s="308">
        <f t="shared" si="45"/>
        <v>39.924184726418048</v>
      </c>
      <c r="AK108" s="308">
        <f t="shared" si="46"/>
        <v>0</v>
      </c>
      <c r="AL108" s="308">
        <f t="shared" si="47"/>
        <v>0</v>
      </c>
      <c r="AN108" s="327">
        <f t="shared" si="51"/>
        <v>38.6083121920515</v>
      </c>
      <c r="AO108" s="331">
        <f t="shared" si="52"/>
        <v>33.424998474121097</v>
      </c>
    </row>
    <row r="109" spans="2:41">
      <c r="B109" s="102">
        <f t="shared" si="48"/>
        <v>10</v>
      </c>
      <c r="C109" s="113">
        <f>PJM_01212000!A93</f>
        <v>38261</v>
      </c>
      <c r="D109" s="315">
        <f>PJM_01212000!C93</f>
        <v>27.075000381469728</v>
      </c>
      <c r="E109" s="133">
        <f t="shared" si="31"/>
        <v>0</v>
      </c>
      <c r="F109" s="133">
        <f t="shared" si="54"/>
        <v>1.1326000000000001</v>
      </c>
      <c r="G109" s="133">
        <f t="shared" si="54"/>
        <v>0</v>
      </c>
      <c r="H109" s="133">
        <f t="shared" si="54"/>
        <v>0</v>
      </c>
      <c r="I109" s="133">
        <f t="shared" si="54"/>
        <v>0</v>
      </c>
      <c r="J109" s="133">
        <f t="shared" si="54"/>
        <v>0</v>
      </c>
      <c r="K109" s="133">
        <f t="shared" si="54"/>
        <v>0</v>
      </c>
      <c r="L109" s="133">
        <f t="shared" si="54"/>
        <v>0</v>
      </c>
      <c r="M109" s="133">
        <f t="shared" si="54"/>
        <v>0</v>
      </c>
      <c r="N109" s="133">
        <f t="shared" si="54"/>
        <v>0</v>
      </c>
      <c r="O109" s="133">
        <f t="shared" si="54"/>
        <v>1.2000999999999999</v>
      </c>
      <c r="P109" s="133">
        <f t="shared" si="54"/>
        <v>1.2095</v>
      </c>
      <c r="Q109" s="133">
        <f t="shared" si="54"/>
        <v>1.1567000000000001</v>
      </c>
      <c r="R109" s="133">
        <f t="shared" si="54"/>
        <v>0</v>
      </c>
      <c r="S109" s="133">
        <f t="shared" si="54"/>
        <v>0</v>
      </c>
      <c r="T109" s="133">
        <f t="shared" si="54"/>
        <v>0</v>
      </c>
      <c r="U109" s="133">
        <f t="shared" si="49"/>
        <v>0</v>
      </c>
      <c r="W109" s="308">
        <f t="shared" si="50"/>
        <v>0</v>
      </c>
      <c r="X109" s="308">
        <f t="shared" si="33"/>
        <v>30.665145432052615</v>
      </c>
      <c r="Y109" s="308">
        <f t="shared" si="34"/>
        <v>0</v>
      </c>
      <c r="Z109" s="308">
        <f t="shared" si="35"/>
        <v>0</v>
      </c>
      <c r="AA109" s="308">
        <f t="shared" si="36"/>
        <v>0</v>
      </c>
      <c r="AB109" s="308">
        <f t="shared" si="37"/>
        <v>0</v>
      </c>
      <c r="AC109" s="308">
        <f t="shared" si="38"/>
        <v>0</v>
      </c>
      <c r="AD109" s="308">
        <f t="shared" si="39"/>
        <v>0</v>
      </c>
      <c r="AE109" s="308">
        <f t="shared" si="40"/>
        <v>0</v>
      </c>
      <c r="AF109" s="308">
        <f t="shared" si="41"/>
        <v>0</v>
      </c>
      <c r="AG109" s="308">
        <f t="shared" si="42"/>
        <v>32.492707957801819</v>
      </c>
      <c r="AH109" s="308">
        <f t="shared" si="43"/>
        <v>32.747212961387639</v>
      </c>
      <c r="AI109" s="308">
        <f t="shared" si="44"/>
        <v>31.317652941246035</v>
      </c>
      <c r="AJ109" s="308">
        <f t="shared" si="45"/>
        <v>0</v>
      </c>
      <c r="AK109" s="308">
        <f t="shared" si="46"/>
        <v>0</v>
      </c>
      <c r="AL109" s="308">
        <f t="shared" si="47"/>
        <v>0</v>
      </c>
      <c r="AN109" s="327">
        <f t="shared" si="51"/>
        <v>31.805679823122031</v>
      </c>
      <c r="AO109" s="331">
        <f t="shared" si="52"/>
        <v>27.075000381469728</v>
      </c>
    </row>
    <row r="110" spans="2:41">
      <c r="B110" s="102">
        <f t="shared" si="48"/>
        <v>11</v>
      </c>
      <c r="C110" s="113">
        <f>PJM_01212000!A94</f>
        <v>38292</v>
      </c>
      <c r="D110" s="315">
        <f>PJM_01212000!C94</f>
        <v>26.747499084472658</v>
      </c>
      <c r="E110" s="133">
        <f t="shared" si="31"/>
        <v>0</v>
      </c>
      <c r="F110" s="133">
        <f t="shared" ref="F110:T119" si="55">VLOOKUP($B110,$C$6:$Z$17,F$22+1)</f>
        <v>1.1426000000000001</v>
      </c>
      <c r="G110" s="133">
        <f t="shared" si="55"/>
        <v>0</v>
      </c>
      <c r="H110" s="133">
        <f t="shared" si="55"/>
        <v>0</v>
      </c>
      <c r="I110" s="133">
        <f t="shared" si="55"/>
        <v>0</v>
      </c>
      <c r="J110" s="133">
        <f t="shared" si="55"/>
        <v>0</v>
      </c>
      <c r="K110" s="133">
        <f t="shared" si="55"/>
        <v>0</v>
      </c>
      <c r="L110" s="133">
        <f t="shared" si="55"/>
        <v>0</v>
      </c>
      <c r="M110" s="133">
        <f t="shared" si="55"/>
        <v>0</v>
      </c>
      <c r="N110" s="133">
        <f t="shared" si="55"/>
        <v>0</v>
      </c>
      <c r="O110" s="133">
        <f t="shared" si="55"/>
        <v>1.2171000000000001</v>
      </c>
      <c r="P110" s="133">
        <f t="shared" si="55"/>
        <v>1.2269000000000001</v>
      </c>
      <c r="Q110" s="133">
        <f t="shared" si="55"/>
        <v>1.1767000000000001</v>
      </c>
      <c r="R110" s="133">
        <f t="shared" si="55"/>
        <v>0</v>
      </c>
      <c r="S110" s="133">
        <f t="shared" si="55"/>
        <v>0</v>
      </c>
      <c r="T110" s="133">
        <f t="shared" si="55"/>
        <v>0</v>
      </c>
      <c r="U110" s="133">
        <f t="shared" si="49"/>
        <v>0</v>
      </c>
      <c r="W110" s="308">
        <f t="shared" si="50"/>
        <v>0</v>
      </c>
      <c r="X110" s="308">
        <f t="shared" si="33"/>
        <v>30.561692453918461</v>
      </c>
      <c r="Y110" s="308">
        <f t="shared" si="34"/>
        <v>0</v>
      </c>
      <c r="Z110" s="308">
        <f t="shared" si="35"/>
        <v>0</v>
      </c>
      <c r="AA110" s="308">
        <f t="shared" si="36"/>
        <v>0</v>
      </c>
      <c r="AB110" s="308">
        <f t="shared" si="37"/>
        <v>0</v>
      </c>
      <c r="AC110" s="308">
        <f t="shared" si="38"/>
        <v>0</v>
      </c>
      <c r="AD110" s="308">
        <f t="shared" si="39"/>
        <v>0</v>
      </c>
      <c r="AE110" s="308">
        <f t="shared" si="40"/>
        <v>0</v>
      </c>
      <c r="AF110" s="308">
        <f t="shared" si="41"/>
        <v>0</v>
      </c>
      <c r="AG110" s="308">
        <f t="shared" si="42"/>
        <v>32.554381135711672</v>
      </c>
      <c r="AH110" s="308">
        <f t="shared" si="43"/>
        <v>32.816506626739503</v>
      </c>
      <c r="AI110" s="308">
        <f t="shared" si="44"/>
        <v>31.473782172698979</v>
      </c>
      <c r="AJ110" s="308">
        <f t="shared" si="45"/>
        <v>0</v>
      </c>
      <c r="AK110" s="308">
        <f t="shared" si="46"/>
        <v>0</v>
      </c>
      <c r="AL110" s="308">
        <f t="shared" si="47"/>
        <v>0</v>
      </c>
      <c r="AN110" s="327">
        <f t="shared" si="51"/>
        <v>31.851590597267155</v>
      </c>
      <c r="AO110" s="331">
        <f t="shared" si="52"/>
        <v>26.747499084472658</v>
      </c>
    </row>
    <row r="111" spans="2:41">
      <c r="B111" s="102">
        <f t="shared" si="48"/>
        <v>12</v>
      </c>
      <c r="C111" s="113">
        <f>PJM_01212000!A95</f>
        <v>38322</v>
      </c>
      <c r="D111" s="315">
        <f>PJM_01212000!C95</f>
        <v>28.499999618530275</v>
      </c>
      <c r="E111" s="133">
        <f t="shared" si="31"/>
        <v>0</v>
      </c>
      <c r="F111" s="133">
        <f t="shared" si="55"/>
        <v>1.1637999999999999</v>
      </c>
      <c r="G111" s="133">
        <f t="shared" si="55"/>
        <v>0</v>
      </c>
      <c r="H111" s="133">
        <f t="shared" si="55"/>
        <v>0</v>
      </c>
      <c r="I111" s="133">
        <f t="shared" si="55"/>
        <v>0</v>
      </c>
      <c r="J111" s="133">
        <f t="shared" si="55"/>
        <v>0</v>
      </c>
      <c r="K111" s="133">
        <f t="shared" si="55"/>
        <v>0</v>
      </c>
      <c r="L111" s="133">
        <f t="shared" si="55"/>
        <v>0</v>
      </c>
      <c r="M111" s="133">
        <f t="shared" si="55"/>
        <v>0</v>
      </c>
      <c r="N111" s="133">
        <f t="shared" si="55"/>
        <v>0</v>
      </c>
      <c r="O111" s="133">
        <f t="shared" si="55"/>
        <v>1.2396592528631896</v>
      </c>
      <c r="P111" s="133">
        <f t="shared" si="55"/>
        <v>1.2314000000000001</v>
      </c>
      <c r="Q111" s="133">
        <f t="shared" si="55"/>
        <v>1.1889963083145296</v>
      </c>
      <c r="R111" s="133">
        <f t="shared" si="55"/>
        <v>0</v>
      </c>
      <c r="S111" s="133">
        <f t="shared" si="55"/>
        <v>0</v>
      </c>
      <c r="T111" s="133">
        <f t="shared" si="55"/>
        <v>0</v>
      </c>
      <c r="U111" s="133">
        <f t="shared" si="49"/>
        <v>0</v>
      </c>
      <c r="W111" s="308">
        <f t="shared" si="50"/>
        <v>0</v>
      </c>
      <c r="X111" s="308">
        <f t="shared" si="33"/>
        <v>33.168299556045532</v>
      </c>
      <c r="Y111" s="308">
        <f t="shared" si="34"/>
        <v>0</v>
      </c>
      <c r="Z111" s="308">
        <f t="shared" si="35"/>
        <v>0</v>
      </c>
      <c r="AA111" s="308">
        <f t="shared" si="36"/>
        <v>0</v>
      </c>
      <c r="AB111" s="308">
        <f t="shared" si="37"/>
        <v>0</v>
      </c>
      <c r="AC111" s="308">
        <f t="shared" si="38"/>
        <v>0</v>
      </c>
      <c r="AD111" s="308">
        <f t="shared" si="39"/>
        <v>0</v>
      </c>
      <c r="AE111" s="308">
        <f t="shared" si="40"/>
        <v>0</v>
      </c>
      <c r="AF111" s="308">
        <f t="shared" si="41"/>
        <v>0</v>
      </c>
      <c r="AG111" s="308">
        <f t="shared" si="42"/>
        <v>35.33028823370843</v>
      </c>
      <c r="AH111" s="308">
        <f t="shared" si="43"/>
        <v>35.094899530258182</v>
      </c>
      <c r="AI111" s="308">
        <f t="shared" si="44"/>
        <v>33.886394333398002</v>
      </c>
      <c r="AJ111" s="308">
        <f t="shared" si="45"/>
        <v>0</v>
      </c>
      <c r="AK111" s="308">
        <f t="shared" si="46"/>
        <v>0</v>
      </c>
      <c r="AL111" s="308">
        <f t="shared" si="47"/>
        <v>0</v>
      </c>
      <c r="AN111" s="327">
        <f t="shared" si="51"/>
        <v>34.369970413352533</v>
      </c>
      <c r="AO111" s="331">
        <f t="shared" si="52"/>
        <v>28.499999618530275</v>
      </c>
    </row>
    <row r="112" spans="2:41">
      <c r="B112" s="102">
        <f t="shared" si="48"/>
        <v>1</v>
      </c>
      <c r="C112" s="113">
        <f>PJM_01212000!A96</f>
        <v>38353</v>
      </c>
      <c r="D112" s="315">
        <f>PJM_01212000!C96</f>
        <v>37.324998474121088</v>
      </c>
      <c r="E112" s="133">
        <f t="shared" si="31"/>
        <v>0</v>
      </c>
      <c r="F112" s="133">
        <f t="shared" si="55"/>
        <v>1.1998117566192825</v>
      </c>
      <c r="G112" s="133">
        <f t="shared" si="55"/>
        <v>1.1961600115620716</v>
      </c>
      <c r="H112" s="133">
        <f t="shared" si="55"/>
        <v>0</v>
      </c>
      <c r="I112" s="133">
        <f t="shared" si="55"/>
        <v>0</v>
      </c>
      <c r="J112" s="133">
        <f t="shared" si="55"/>
        <v>0</v>
      </c>
      <c r="K112" s="133">
        <f t="shared" si="55"/>
        <v>0</v>
      </c>
      <c r="L112" s="133">
        <f t="shared" si="55"/>
        <v>0</v>
      </c>
      <c r="M112" s="133">
        <f t="shared" si="55"/>
        <v>0</v>
      </c>
      <c r="N112" s="133">
        <f t="shared" si="55"/>
        <v>0</v>
      </c>
      <c r="O112" s="133">
        <f t="shared" si="55"/>
        <v>0</v>
      </c>
      <c r="P112" s="133">
        <f t="shared" si="55"/>
        <v>1.2818992289435116</v>
      </c>
      <c r="Q112" s="133">
        <f t="shared" si="55"/>
        <v>1.2270000000000001</v>
      </c>
      <c r="R112" s="133">
        <f t="shared" si="55"/>
        <v>0</v>
      </c>
      <c r="S112" s="133">
        <f t="shared" si="55"/>
        <v>0</v>
      </c>
      <c r="T112" s="133">
        <f t="shared" si="55"/>
        <v>0</v>
      </c>
      <c r="U112" s="133">
        <f t="shared" si="49"/>
        <v>0</v>
      </c>
      <c r="W112" s="308">
        <f t="shared" si="50"/>
        <v>0</v>
      </c>
      <c r="X112" s="308">
        <f t="shared" si="33"/>
        <v>44.782971985047261</v>
      </c>
      <c r="Y112" s="308">
        <f t="shared" si="34"/>
        <v>44.646670606358988</v>
      </c>
      <c r="Z112" s="308">
        <f t="shared" si="35"/>
        <v>0</v>
      </c>
      <c r="AA112" s="308">
        <f t="shared" si="36"/>
        <v>0</v>
      </c>
      <c r="AB112" s="308">
        <f t="shared" si="37"/>
        <v>0</v>
      </c>
      <c r="AC112" s="308">
        <f t="shared" si="38"/>
        <v>0</v>
      </c>
      <c r="AD112" s="308">
        <f t="shared" si="39"/>
        <v>0</v>
      </c>
      <c r="AE112" s="308">
        <f t="shared" si="40"/>
        <v>0</v>
      </c>
      <c r="AF112" s="308">
        <f t="shared" si="41"/>
        <v>0</v>
      </c>
      <c r="AG112" s="308">
        <f t="shared" si="42"/>
        <v>0</v>
      </c>
      <c r="AH112" s="308">
        <f t="shared" si="43"/>
        <v>47.846886764293572</v>
      </c>
      <c r="AI112" s="308">
        <f t="shared" si="44"/>
        <v>45.797773127746581</v>
      </c>
      <c r="AJ112" s="308">
        <f t="shared" si="45"/>
        <v>0</v>
      </c>
      <c r="AK112" s="308">
        <f t="shared" si="46"/>
        <v>0</v>
      </c>
      <c r="AL112" s="308">
        <f t="shared" si="47"/>
        <v>0</v>
      </c>
      <c r="AN112" s="327">
        <f t="shared" si="51"/>
        <v>45.768575620861604</v>
      </c>
      <c r="AO112" s="331">
        <f t="shared" si="52"/>
        <v>37.324998474121088</v>
      </c>
    </row>
    <row r="113" spans="2:41">
      <c r="B113" s="102">
        <f t="shared" si="48"/>
        <v>2</v>
      </c>
      <c r="C113" s="113">
        <f>PJM_01212000!A97</f>
        <v>38384</v>
      </c>
      <c r="D113" s="315">
        <f>PJM_01212000!C97</f>
        <v>37.324998474121088</v>
      </c>
      <c r="E113" s="133">
        <f t="shared" si="31"/>
        <v>0</v>
      </c>
      <c r="F113" s="133">
        <f t="shared" si="55"/>
        <v>1.1998117566192825</v>
      </c>
      <c r="G113" s="133">
        <f t="shared" si="55"/>
        <v>1.1961600115620716</v>
      </c>
      <c r="H113" s="133">
        <f t="shared" si="55"/>
        <v>0</v>
      </c>
      <c r="I113" s="133">
        <f t="shared" si="55"/>
        <v>0</v>
      </c>
      <c r="J113" s="133">
        <f t="shared" si="55"/>
        <v>0</v>
      </c>
      <c r="K113" s="133">
        <f t="shared" si="55"/>
        <v>0</v>
      </c>
      <c r="L113" s="133">
        <f t="shared" si="55"/>
        <v>0</v>
      </c>
      <c r="M113" s="133">
        <f t="shared" si="55"/>
        <v>0</v>
      </c>
      <c r="N113" s="133">
        <f t="shared" si="55"/>
        <v>0</v>
      </c>
      <c r="O113" s="133">
        <f t="shared" si="55"/>
        <v>0</v>
      </c>
      <c r="P113" s="133">
        <f t="shared" si="55"/>
        <v>1.2818992289435116</v>
      </c>
      <c r="Q113" s="133">
        <f t="shared" si="55"/>
        <v>1.2270000000000001</v>
      </c>
      <c r="R113" s="133">
        <f t="shared" si="55"/>
        <v>0</v>
      </c>
      <c r="S113" s="133">
        <f t="shared" si="55"/>
        <v>0</v>
      </c>
      <c r="T113" s="133">
        <f t="shared" si="55"/>
        <v>0</v>
      </c>
      <c r="U113" s="133">
        <f t="shared" si="49"/>
        <v>0</v>
      </c>
      <c r="W113" s="308">
        <f t="shared" si="50"/>
        <v>0</v>
      </c>
      <c r="X113" s="308">
        <f t="shared" si="33"/>
        <v>44.782971985047261</v>
      </c>
      <c r="Y113" s="308">
        <f t="shared" si="34"/>
        <v>44.646670606358988</v>
      </c>
      <c r="Z113" s="308">
        <f t="shared" si="35"/>
        <v>0</v>
      </c>
      <c r="AA113" s="308">
        <f t="shared" si="36"/>
        <v>0</v>
      </c>
      <c r="AB113" s="308">
        <f t="shared" si="37"/>
        <v>0</v>
      </c>
      <c r="AC113" s="308">
        <f t="shared" si="38"/>
        <v>0</v>
      </c>
      <c r="AD113" s="308">
        <f t="shared" si="39"/>
        <v>0</v>
      </c>
      <c r="AE113" s="308">
        <f t="shared" si="40"/>
        <v>0</v>
      </c>
      <c r="AF113" s="308">
        <f t="shared" si="41"/>
        <v>0</v>
      </c>
      <c r="AG113" s="308">
        <f t="shared" si="42"/>
        <v>0</v>
      </c>
      <c r="AH113" s="308">
        <f t="shared" si="43"/>
        <v>47.846886764293572</v>
      </c>
      <c r="AI113" s="308">
        <f t="shared" si="44"/>
        <v>45.797773127746581</v>
      </c>
      <c r="AJ113" s="308">
        <f t="shared" si="45"/>
        <v>0</v>
      </c>
      <c r="AK113" s="308">
        <f t="shared" si="46"/>
        <v>0</v>
      </c>
      <c r="AL113" s="308">
        <f t="shared" si="47"/>
        <v>0</v>
      </c>
      <c r="AN113" s="327">
        <f t="shared" si="51"/>
        <v>45.768575620861604</v>
      </c>
      <c r="AO113" s="331">
        <f t="shared" si="52"/>
        <v>37.324998474121088</v>
      </c>
    </row>
    <row r="114" spans="2:41">
      <c r="B114" s="102">
        <f t="shared" si="48"/>
        <v>3</v>
      </c>
      <c r="C114" s="113">
        <f>PJM_01212000!A98</f>
        <v>38412</v>
      </c>
      <c r="D114" s="315">
        <f>PJM_01212000!C98</f>
        <v>27.050000762939455</v>
      </c>
      <c r="E114" s="133">
        <f t="shared" si="31"/>
        <v>0</v>
      </c>
      <c r="F114" s="133">
        <f t="shared" si="55"/>
        <v>1.1898</v>
      </c>
      <c r="G114" s="133">
        <f t="shared" si="55"/>
        <v>1.1861999999999999</v>
      </c>
      <c r="H114" s="133">
        <f t="shared" si="55"/>
        <v>0</v>
      </c>
      <c r="I114" s="133">
        <f t="shared" si="55"/>
        <v>0</v>
      </c>
      <c r="J114" s="133">
        <f t="shared" si="55"/>
        <v>0</v>
      </c>
      <c r="K114" s="133">
        <f t="shared" si="55"/>
        <v>0</v>
      </c>
      <c r="L114" s="133">
        <f t="shared" si="55"/>
        <v>0</v>
      </c>
      <c r="M114" s="133">
        <f t="shared" si="55"/>
        <v>0</v>
      </c>
      <c r="N114" s="133">
        <f t="shared" si="55"/>
        <v>0</v>
      </c>
      <c r="O114" s="133">
        <f t="shared" si="55"/>
        <v>0</v>
      </c>
      <c r="P114" s="133">
        <f t="shared" si="55"/>
        <v>1.2719</v>
      </c>
      <c r="Q114" s="133">
        <f t="shared" si="55"/>
        <v>1.2170000000000001</v>
      </c>
      <c r="R114" s="133">
        <f t="shared" si="55"/>
        <v>0</v>
      </c>
      <c r="S114" s="133">
        <f t="shared" si="55"/>
        <v>0</v>
      </c>
      <c r="T114" s="133">
        <f t="shared" si="55"/>
        <v>0</v>
      </c>
      <c r="U114" s="133">
        <f t="shared" si="49"/>
        <v>0</v>
      </c>
      <c r="W114" s="308">
        <f t="shared" si="50"/>
        <v>0</v>
      </c>
      <c r="X114" s="308">
        <f t="shared" si="33"/>
        <v>32.184090907745365</v>
      </c>
      <c r="Y114" s="308">
        <f t="shared" si="34"/>
        <v>32.086710904998782</v>
      </c>
      <c r="Z114" s="308">
        <f t="shared" si="35"/>
        <v>0</v>
      </c>
      <c r="AA114" s="308">
        <f t="shared" si="36"/>
        <v>0</v>
      </c>
      <c r="AB114" s="308">
        <f t="shared" si="37"/>
        <v>0</v>
      </c>
      <c r="AC114" s="308">
        <f t="shared" si="38"/>
        <v>0</v>
      </c>
      <c r="AD114" s="308">
        <f t="shared" si="39"/>
        <v>0</v>
      </c>
      <c r="AE114" s="308">
        <f t="shared" si="40"/>
        <v>0</v>
      </c>
      <c r="AF114" s="308">
        <f t="shared" si="41"/>
        <v>0</v>
      </c>
      <c r="AG114" s="308">
        <f t="shared" si="42"/>
        <v>0</v>
      </c>
      <c r="AH114" s="308">
        <f t="shared" si="43"/>
        <v>34.40489597038269</v>
      </c>
      <c r="AI114" s="308">
        <f t="shared" si="44"/>
        <v>32.919850928497318</v>
      </c>
      <c r="AJ114" s="308">
        <f t="shared" si="45"/>
        <v>0</v>
      </c>
      <c r="AK114" s="308">
        <f t="shared" si="46"/>
        <v>0</v>
      </c>
      <c r="AL114" s="308">
        <f t="shared" si="47"/>
        <v>0</v>
      </c>
      <c r="AN114" s="327">
        <f t="shared" si="51"/>
        <v>32.898887177906033</v>
      </c>
      <c r="AO114" s="331">
        <f t="shared" si="52"/>
        <v>27.050000762939455</v>
      </c>
    </row>
    <row r="115" spans="2:41">
      <c r="B115" s="102">
        <f t="shared" si="48"/>
        <v>4</v>
      </c>
      <c r="C115" s="113">
        <f>PJM_01212000!A99</f>
        <v>38443</v>
      </c>
      <c r="D115" s="315">
        <f>PJM_01212000!C99</f>
        <v>26.825000762939453</v>
      </c>
      <c r="E115" s="133">
        <f t="shared" si="31"/>
        <v>1.1232726508202047</v>
      </c>
      <c r="F115" s="133">
        <f t="shared" si="55"/>
        <v>1.1413154461256174</v>
      </c>
      <c r="G115" s="133">
        <f t="shared" si="55"/>
        <v>0</v>
      </c>
      <c r="H115" s="133">
        <f t="shared" si="55"/>
        <v>0</v>
      </c>
      <c r="I115" s="133">
        <f t="shared" si="55"/>
        <v>1.1185245467924647</v>
      </c>
      <c r="J115" s="133">
        <f t="shared" si="55"/>
        <v>0</v>
      </c>
      <c r="K115" s="133">
        <f t="shared" si="55"/>
        <v>0</v>
      </c>
      <c r="L115" s="133">
        <f t="shared" si="55"/>
        <v>0</v>
      </c>
      <c r="M115" s="133">
        <f t="shared" si="55"/>
        <v>0</v>
      </c>
      <c r="N115" s="133">
        <f t="shared" si="55"/>
        <v>0</v>
      </c>
      <c r="O115" s="133">
        <f t="shared" si="55"/>
        <v>0</v>
      </c>
      <c r="P115" s="133">
        <f t="shared" si="55"/>
        <v>0</v>
      </c>
      <c r="Q115" s="133">
        <f t="shared" si="55"/>
        <v>0</v>
      </c>
      <c r="R115" s="133">
        <f t="shared" si="55"/>
        <v>1.1543365178491491</v>
      </c>
      <c r="S115" s="133">
        <f t="shared" si="55"/>
        <v>0</v>
      </c>
      <c r="T115" s="133">
        <f t="shared" si="55"/>
        <v>0</v>
      </c>
      <c r="U115" s="133">
        <f t="shared" si="49"/>
        <v>0</v>
      </c>
      <c r="W115" s="308">
        <f t="shared" si="50"/>
        <v>30.131789715241013</v>
      </c>
      <c r="X115" s="308">
        <f t="shared" si="33"/>
        <v>30.615787713074269</v>
      </c>
      <c r="Y115" s="308">
        <f t="shared" si="34"/>
        <v>0</v>
      </c>
      <c r="Z115" s="308">
        <f t="shared" si="35"/>
        <v>0</v>
      </c>
      <c r="AA115" s="308">
        <f t="shared" si="36"/>
        <v>30.004421821074374</v>
      </c>
      <c r="AB115" s="308">
        <f t="shared" si="37"/>
        <v>0</v>
      </c>
      <c r="AC115" s="308">
        <f t="shared" si="38"/>
        <v>0</v>
      </c>
      <c r="AD115" s="308">
        <f t="shared" si="39"/>
        <v>0</v>
      </c>
      <c r="AE115" s="308">
        <f t="shared" si="40"/>
        <v>0</v>
      </c>
      <c r="AF115" s="308">
        <f t="shared" si="41"/>
        <v>0</v>
      </c>
      <c r="AG115" s="308">
        <f t="shared" si="42"/>
        <v>0</v>
      </c>
      <c r="AH115" s="308">
        <f t="shared" si="43"/>
        <v>0</v>
      </c>
      <c r="AI115" s="308">
        <f t="shared" si="44"/>
        <v>0</v>
      </c>
      <c r="AJ115" s="308">
        <f t="shared" si="45"/>
        <v>30.965077971992297</v>
      </c>
      <c r="AK115" s="308">
        <f t="shared" si="46"/>
        <v>0</v>
      </c>
      <c r="AL115" s="308">
        <f t="shared" si="47"/>
        <v>0</v>
      </c>
      <c r="AN115" s="327">
        <f t="shared" si="51"/>
        <v>30.429269305345489</v>
      </c>
      <c r="AO115" s="331">
        <f t="shared" si="52"/>
        <v>26.825000762939453</v>
      </c>
    </row>
    <row r="116" spans="2:41">
      <c r="B116" s="102">
        <f t="shared" si="48"/>
        <v>5</v>
      </c>
      <c r="C116" s="113">
        <f>PJM_01212000!A100</f>
        <v>38473</v>
      </c>
      <c r="D116" s="315">
        <f>PJM_01212000!C100</f>
        <v>31.824999999999999</v>
      </c>
      <c r="E116" s="133">
        <f t="shared" si="31"/>
        <v>0</v>
      </c>
      <c r="F116" s="133">
        <f t="shared" si="55"/>
        <v>0</v>
      </c>
      <c r="G116" s="133">
        <f t="shared" si="55"/>
        <v>1.0610266218026732</v>
      </c>
      <c r="H116" s="133">
        <f t="shared" si="55"/>
        <v>1.1254998619307197</v>
      </c>
      <c r="I116" s="133">
        <f t="shared" si="55"/>
        <v>1.1169907033351396</v>
      </c>
      <c r="J116" s="133">
        <f t="shared" si="55"/>
        <v>0</v>
      </c>
      <c r="K116" s="133">
        <f t="shared" si="55"/>
        <v>0</v>
      </c>
      <c r="L116" s="133">
        <f t="shared" si="55"/>
        <v>0</v>
      </c>
      <c r="M116" s="133">
        <f t="shared" si="55"/>
        <v>0</v>
      </c>
      <c r="N116" s="133">
        <f t="shared" si="55"/>
        <v>0</v>
      </c>
      <c r="O116" s="133">
        <f t="shared" si="55"/>
        <v>0</v>
      </c>
      <c r="P116" s="133">
        <f t="shared" si="55"/>
        <v>0</v>
      </c>
      <c r="Q116" s="133">
        <f t="shared" si="55"/>
        <v>0</v>
      </c>
      <c r="R116" s="133">
        <f t="shared" si="55"/>
        <v>1.0876995612465097</v>
      </c>
      <c r="S116" s="133">
        <f t="shared" si="55"/>
        <v>0</v>
      </c>
      <c r="T116" s="133">
        <f t="shared" si="55"/>
        <v>0</v>
      </c>
      <c r="U116" s="133">
        <f t="shared" si="49"/>
        <v>0</v>
      </c>
      <c r="W116" s="308">
        <f t="shared" si="50"/>
        <v>0</v>
      </c>
      <c r="X116" s="308">
        <f t="shared" si="33"/>
        <v>0</v>
      </c>
      <c r="Y116" s="308">
        <f t="shared" si="34"/>
        <v>33.767172238870074</v>
      </c>
      <c r="Z116" s="308">
        <f t="shared" si="35"/>
        <v>35.819033105945152</v>
      </c>
      <c r="AA116" s="308">
        <f t="shared" si="36"/>
        <v>35.548229133640817</v>
      </c>
      <c r="AB116" s="308">
        <f t="shared" si="37"/>
        <v>0</v>
      </c>
      <c r="AC116" s="308">
        <f t="shared" si="38"/>
        <v>0</v>
      </c>
      <c r="AD116" s="308">
        <f t="shared" si="39"/>
        <v>0</v>
      </c>
      <c r="AE116" s="308">
        <f t="shared" si="40"/>
        <v>0</v>
      </c>
      <c r="AF116" s="308">
        <f t="shared" si="41"/>
        <v>0</v>
      </c>
      <c r="AG116" s="308">
        <f t="shared" si="42"/>
        <v>0</v>
      </c>
      <c r="AH116" s="308">
        <f t="shared" si="43"/>
        <v>0</v>
      </c>
      <c r="AI116" s="308">
        <f t="shared" si="44"/>
        <v>0</v>
      </c>
      <c r="AJ116" s="308">
        <f t="shared" si="45"/>
        <v>34.616038536670168</v>
      </c>
      <c r="AK116" s="308">
        <f t="shared" si="46"/>
        <v>0</v>
      </c>
      <c r="AL116" s="308">
        <f t="shared" si="47"/>
        <v>0</v>
      </c>
      <c r="AN116" s="327">
        <f t="shared" si="51"/>
        <v>34.937618253781551</v>
      </c>
      <c r="AO116" s="331">
        <f t="shared" si="52"/>
        <v>31.824999999999999</v>
      </c>
    </row>
    <row r="117" spans="2:41">
      <c r="B117" s="102">
        <f t="shared" si="48"/>
        <v>6</v>
      </c>
      <c r="C117" s="113">
        <f>PJM_01212000!A101</f>
        <v>38504</v>
      </c>
      <c r="D117" s="315">
        <f>PJM_01212000!C101</f>
        <v>56.349998474121094</v>
      </c>
      <c r="E117" s="133">
        <f t="shared" si="31"/>
        <v>0</v>
      </c>
      <c r="F117" s="133">
        <f t="shared" si="55"/>
        <v>0</v>
      </c>
      <c r="G117" s="133">
        <f t="shared" si="55"/>
        <v>0</v>
      </c>
      <c r="H117" s="133">
        <f t="shared" si="55"/>
        <v>0</v>
      </c>
      <c r="I117" s="133">
        <f t="shared" si="55"/>
        <v>0</v>
      </c>
      <c r="J117" s="133">
        <f t="shared" si="55"/>
        <v>0</v>
      </c>
      <c r="K117" s="133">
        <f t="shared" si="55"/>
        <v>1.2209201862181771</v>
      </c>
      <c r="L117" s="133">
        <f t="shared" si="55"/>
        <v>1.2303149771421382</v>
      </c>
      <c r="M117" s="133">
        <f t="shared" si="55"/>
        <v>1.2323281466258438</v>
      </c>
      <c r="N117" s="133">
        <f t="shared" si="55"/>
        <v>1.2523256301639896</v>
      </c>
      <c r="O117" s="133">
        <f t="shared" si="55"/>
        <v>0</v>
      </c>
      <c r="P117" s="133">
        <f t="shared" si="55"/>
        <v>0</v>
      </c>
      <c r="Q117" s="133">
        <f t="shared" si="55"/>
        <v>0</v>
      </c>
      <c r="R117" s="133">
        <f t="shared" si="55"/>
        <v>0</v>
      </c>
      <c r="S117" s="133">
        <f t="shared" si="55"/>
        <v>0</v>
      </c>
      <c r="T117" s="133">
        <f t="shared" si="55"/>
        <v>0</v>
      </c>
      <c r="U117" s="133">
        <f t="shared" si="49"/>
        <v>0</v>
      </c>
      <c r="W117" s="308">
        <f t="shared" si="50"/>
        <v>0</v>
      </c>
      <c r="X117" s="308">
        <f t="shared" si="33"/>
        <v>0</v>
      </c>
      <c r="Y117" s="308">
        <f t="shared" si="34"/>
        <v>0</v>
      </c>
      <c r="Z117" s="308">
        <f t="shared" si="35"/>
        <v>0</v>
      </c>
      <c r="AA117" s="308">
        <f t="shared" si="36"/>
        <v>0</v>
      </c>
      <c r="AB117" s="308">
        <f t="shared" si="37"/>
        <v>0</v>
      </c>
      <c r="AC117" s="308">
        <f t="shared" si="38"/>
        <v>68.798850630417917</v>
      </c>
      <c r="AD117" s="308">
        <f t="shared" si="39"/>
        <v>69.328247084647813</v>
      </c>
      <c r="AE117" s="308">
        <f t="shared" si="40"/>
        <v>69.441689181982767</v>
      </c>
      <c r="AF117" s="308">
        <f t="shared" si="41"/>
        <v>70.568547348843552</v>
      </c>
      <c r="AG117" s="308">
        <f t="shared" si="42"/>
        <v>0</v>
      </c>
      <c r="AH117" s="308">
        <f t="shared" si="43"/>
        <v>0</v>
      </c>
      <c r="AI117" s="308">
        <f t="shared" si="44"/>
        <v>0</v>
      </c>
      <c r="AJ117" s="308">
        <f t="shared" si="45"/>
        <v>0</v>
      </c>
      <c r="AK117" s="308">
        <f t="shared" si="46"/>
        <v>0</v>
      </c>
      <c r="AL117" s="308">
        <f t="shared" si="47"/>
        <v>0</v>
      </c>
      <c r="AN117" s="327">
        <f t="shared" si="51"/>
        <v>69.534333561473005</v>
      </c>
      <c r="AO117" s="331">
        <f t="shared" si="52"/>
        <v>56.349998474121094</v>
      </c>
    </row>
    <row r="118" spans="2:41">
      <c r="B118" s="102">
        <f t="shared" si="48"/>
        <v>7</v>
      </c>
      <c r="C118" s="113">
        <f>PJM_01212000!A102</f>
        <v>38534</v>
      </c>
      <c r="D118" s="315">
        <f>PJM_01212000!C102</f>
        <v>95.699996948242188</v>
      </c>
      <c r="E118" s="133">
        <f t="shared" si="31"/>
        <v>0</v>
      </c>
      <c r="F118" s="133">
        <f t="shared" si="55"/>
        <v>0</v>
      </c>
      <c r="G118" s="133">
        <f t="shared" si="55"/>
        <v>0</v>
      </c>
      <c r="H118" s="133">
        <f t="shared" si="55"/>
        <v>0</v>
      </c>
      <c r="I118" s="133">
        <f t="shared" si="55"/>
        <v>0</v>
      </c>
      <c r="J118" s="133">
        <f t="shared" si="55"/>
        <v>0</v>
      </c>
      <c r="K118" s="133">
        <f t="shared" si="55"/>
        <v>0</v>
      </c>
      <c r="L118" s="133">
        <f t="shared" si="55"/>
        <v>1.2506946851612968</v>
      </c>
      <c r="M118" s="133">
        <f t="shared" si="55"/>
        <v>1.3273401940004199</v>
      </c>
      <c r="N118" s="133">
        <f t="shared" si="55"/>
        <v>1.3538888162792144</v>
      </c>
      <c r="O118" s="133">
        <f t="shared" si="55"/>
        <v>1.3203393586734773</v>
      </c>
      <c r="P118" s="133">
        <f t="shared" si="55"/>
        <v>0</v>
      </c>
      <c r="Q118" s="133">
        <f t="shared" si="55"/>
        <v>0</v>
      </c>
      <c r="R118" s="133">
        <f t="shared" si="55"/>
        <v>0</v>
      </c>
      <c r="S118" s="133">
        <f t="shared" si="55"/>
        <v>0</v>
      </c>
      <c r="T118" s="133">
        <f t="shared" si="55"/>
        <v>0</v>
      </c>
      <c r="U118" s="133">
        <f t="shared" si="49"/>
        <v>0</v>
      </c>
      <c r="W118" s="308">
        <f t="shared" si="50"/>
        <v>0</v>
      </c>
      <c r="X118" s="308">
        <f t="shared" si="33"/>
        <v>0</v>
      </c>
      <c r="Y118" s="308">
        <f t="shared" si="34"/>
        <v>0</v>
      </c>
      <c r="Z118" s="308">
        <f t="shared" si="35"/>
        <v>0</v>
      </c>
      <c r="AA118" s="308">
        <f t="shared" si="36"/>
        <v>0</v>
      </c>
      <c r="AB118" s="308">
        <f t="shared" si="37"/>
        <v>0</v>
      </c>
      <c r="AC118" s="308">
        <f t="shared" si="38"/>
        <v>0</v>
      </c>
      <c r="AD118" s="308">
        <f t="shared" si="39"/>
        <v>119.69147755311883</v>
      </c>
      <c r="AE118" s="308">
        <f t="shared" si="40"/>
        <v>127.02645251511937</v>
      </c>
      <c r="AF118" s="308">
        <f t="shared" si="41"/>
        <v>129.56715558618004</v>
      </c>
      <c r="AG118" s="308">
        <f t="shared" si="42"/>
        <v>126.35647259569582</v>
      </c>
      <c r="AH118" s="308">
        <f t="shared" si="43"/>
        <v>0</v>
      </c>
      <c r="AI118" s="308">
        <f t="shared" si="44"/>
        <v>0</v>
      </c>
      <c r="AJ118" s="308">
        <f t="shared" si="45"/>
        <v>0</v>
      </c>
      <c r="AK118" s="308">
        <f t="shared" si="46"/>
        <v>0</v>
      </c>
      <c r="AL118" s="308">
        <f t="shared" si="47"/>
        <v>0</v>
      </c>
      <c r="AN118" s="327">
        <f t="shared" si="51"/>
        <v>125.66038956252852</v>
      </c>
      <c r="AO118" s="331">
        <f t="shared" si="52"/>
        <v>95.699996948242188</v>
      </c>
    </row>
    <row r="119" spans="2:41">
      <c r="B119" s="102">
        <f t="shared" si="48"/>
        <v>8</v>
      </c>
      <c r="C119" s="113">
        <f>PJM_01212000!A103</f>
        <v>38565</v>
      </c>
      <c r="D119" s="315">
        <f>PJM_01212000!C103</f>
        <v>82.699996948242188</v>
      </c>
      <c r="E119" s="133">
        <f t="shared" si="31"/>
        <v>0</v>
      </c>
      <c r="F119" s="133">
        <f t="shared" si="55"/>
        <v>0</v>
      </c>
      <c r="G119" s="133">
        <f t="shared" si="55"/>
        <v>0</v>
      </c>
      <c r="H119" s="133">
        <f t="shared" si="55"/>
        <v>0</v>
      </c>
      <c r="I119" s="133">
        <f t="shared" si="55"/>
        <v>0</v>
      </c>
      <c r="J119" s="133">
        <f t="shared" si="55"/>
        <v>0</v>
      </c>
      <c r="K119" s="133">
        <f t="shared" si="55"/>
        <v>1.1907290919069531</v>
      </c>
      <c r="L119" s="133">
        <f t="shared" si="55"/>
        <v>1.26057331025457</v>
      </c>
      <c r="M119" s="133">
        <f t="shared" si="55"/>
        <v>1.2430109342677418</v>
      </c>
      <c r="N119" s="133">
        <f t="shared" si="55"/>
        <v>1.2150462278887151</v>
      </c>
      <c r="O119" s="133">
        <f t="shared" si="55"/>
        <v>0</v>
      </c>
      <c r="P119" s="133">
        <f t="shared" si="55"/>
        <v>0</v>
      </c>
      <c r="Q119" s="133">
        <f t="shared" si="55"/>
        <v>0</v>
      </c>
      <c r="R119" s="133">
        <f t="shared" si="55"/>
        <v>0</v>
      </c>
      <c r="S119" s="133">
        <f t="shared" si="55"/>
        <v>0</v>
      </c>
      <c r="T119" s="133">
        <f t="shared" si="55"/>
        <v>0</v>
      </c>
      <c r="U119" s="133">
        <f t="shared" si="49"/>
        <v>0</v>
      </c>
      <c r="W119" s="308">
        <f t="shared" si="50"/>
        <v>0</v>
      </c>
      <c r="X119" s="308">
        <f t="shared" si="33"/>
        <v>0</v>
      </c>
      <c r="Y119" s="308">
        <f t="shared" si="34"/>
        <v>0</v>
      </c>
      <c r="Z119" s="308">
        <f t="shared" si="35"/>
        <v>0</v>
      </c>
      <c r="AA119" s="308">
        <f t="shared" si="36"/>
        <v>0</v>
      </c>
      <c r="AB119" s="308">
        <f t="shared" si="37"/>
        <v>0</v>
      </c>
      <c r="AC119" s="308">
        <f t="shared" si="38"/>
        <v>98.473292266888208</v>
      </c>
      <c r="AD119" s="308">
        <f t="shared" si="39"/>
        <v>104.24940891108849</v>
      </c>
      <c r="AE119" s="308">
        <f t="shared" si="40"/>
        <v>102.79700047057392</v>
      </c>
      <c r="AF119" s="308">
        <f t="shared" si="41"/>
        <v>100.48431933836991</v>
      </c>
      <c r="AG119" s="308">
        <f t="shared" si="42"/>
        <v>0</v>
      </c>
      <c r="AH119" s="308">
        <f t="shared" si="43"/>
        <v>0</v>
      </c>
      <c r="AI119" s="308">
        <f t="shared" si="44"/>
        <v>0</v>
      </c>
      <c r="AJ119" s="308">
        <f t="shared" si="45"/>
        <v>0</v>
      </c>
      <c r="AK119" s="308">
        <f t="shared" si="46"/>
        <v>0</v>
      </c>
      <c r="AL119" s="308">
        <f t="shared" si="47"/>
        <v>0</v>
      </c>
      <c r="AN119" s="327">
        <f t="shared" si="51"/>
        <v>101.50100524673013</v>
      </c>
      <c r="AO119" s="331">
        <f t="shared" si="52"/>
        <v>82.699996948242188</v>
      </c>
    </row>
    <row r="120" spans="2:41">
      <c r="B120" s="102">
        <f t="shared" si="48"/>
        <v>9</v>
      </c>
      <c r="C120" s="113">
        <f>PJM_01212000!A104</f>
        <v>38596</v>
      </c>
      <c r="D120" s="315">
        <f>PJM_01212000!C104</f>
        <v>33.924998474121097</v>
      </c>
      <c r="E120" s="133">
        <f t="shared" si="31"/>
        <v>0</v>
      </c>
      <c r="F120" s="133">
        <f t="shared" ref="F120:T129" si="56">VLOOKUP($B120,$C$6:$Z$17,F$22+1)</f>
        <v>0</v>
      </c>
      <c r="G120" s="133">
        <f t="shared" si="56"/>
        <v>0</v>
      </c>
      <c r="H120" s="133">
        <f t="shared" si="56"/>
        <v>0</v>
      </c>
      <c r="I120" s="133">
        <f t="shared" si="56"/>
        <v>0</v>
      </c>
      <c r="J120" s="133">
        <f t="shared" si="56"/>
        <v>0</v>
      </c>
      <c r="K120" s="133">
        <f t="shared" si="56"/>
        <v>0</v>
      </c>
      <c r="L120" s="133">
        <f t="shared" si="56"/>
        <v>0</v>
      </c>
      <c r="M120" s="133">
        <f t="shared" si="56"/>
        <v>0</v>
      </c>
      <c r="N120" s="133">
        <f t="shared" si="56"/>
        <v>1.1345284089868721</v>
      </c>
      <c r="O120" s="133">
        <f t="shared" si="56"/>
        <v>1.1066962078625975</v>
      </c>
      <c r="P120" s="133">
        <f t="shared" si="56"/>
        <v>0</v>
      </c>
      <c r="Q120" s="133">
        <f t="shared" si="56"/>
        <v>1.184626371010566</v>
      </c>
      <c r="R120" s="133">
        <f t="shared" si="56"/>
        <v>1.1944408840385996</v>
      </c>
      <c r="S120" s="133">
        <f t="shared" si="56"/>
        <v>0</v>
      </c>
      <c r="T120" s="133">
        <f t="shared" si="56"/>
        <v>0</v>
      </c>
      <c r="U120" s="133">
        <f t="shared" si="49"/>
        <v>0</v>
      </c>
      <c r="W120" s="308">
        <f t="shared" si="50"/>
        <v>0</v>
      </c>
      <c r="X120" s="308">
        <f t="shared" si="33"/>
        <v>0</v>
      </c>
      <c r="Y120" s="308">
        <f t="shared" si="34"/>
        <v>0</v>
      </c>
      <c r="Z120" s="308">
        <f t="shared" si="35"/>
        <v>0</v>
      </c>
      <c r="AA120" s="308">
        <f t="shared" si="36"/>
        <v>0</v>
      </c>
      <c r="AB120" s="308">
        <f t="shared" si="37"/>
        <v>0</v>
      </c>
      <c r="AC120" s="308">
        <f t="shared" si="38"/>
        <v>0</v>
      </c>
      <c r="AD120" s="308">
        <f t="shared" si="39"/>
        <v>0</v>
      </c>
      <c r="AE120" s="308">
        <f t="shared" si="40"/>
        <v>0</v>
      </c>
      <c r="AF120" s="308">
        <f t="shared" si="41"/>
        <v>38.488874543726673</v>
      </c>
      <c r="AG120" s="308">
        <f t="shared" si="42"/>
        <v>37.544667163054221</v>
      </c>
      <c r="AH120" s="308">
        <f t="shared" si="43"/>
        <v>0</v>
      </c>
      <c r="AI120" s="308">
        <f t="shared" si="44"/>
        <v>40.188447828937065</v>
      </c>
      <c r="AJ120" s="308">
        <f t="shared" si="45"/>
        <v>40.521405168437347</v>
      </c>
      <c r="AK120" s="308">
        <f t="shared" si="46"/>
        <v>0</v>
      </c>
      <c r="AL120" s="308">
        <f t="shared" si="47"/>
        <v>0</v>
      </c>
      <c r="AN120" s="327">
        <f t="shared" si="51"/>
        <v>39.18584867603883</v>
      </c>
      <c r="AO120" s="331">
        <f t="shared" si="52"/>
        <v>33.924998474121097</v>
      </c>
    </row>
    <row r="121" spans="2:41">
      <c r="B121" s="102">
        <f t="shared" si="48"/>
        <v>10</v>
      </c>
      <c r="C121" s="113">
        <f>PJM_01212000!A105</f>
        <v>38626</v>
      </c>
      <c r="D121" s="315">
        <f>PJM_01212000!C105</f>
        <v>27.575000381469728</v>
      </c>
      <c r="E121" s="133">
        <f t="shared" si="31"/>
        <v>0</v>
      </c>
      <c r="F121" s="133">
        <f t="shared" si="56"/>
        <v>1.1326000000000001</v>
      </c>
      <c r="G121" s="133">
        <f t="shared" si="56"/>
        <v>0</v>
      </c>
      <c r="H121" s="133">
        <f t="shared" si="56"/>
        <v>0</v>
      </c>
      <c r="I121" s="133">
        <f t="shared" si="56"/>
        <v>0</v>
      </c>
      <c r="J121" s="133">
        <f t="shared" si="56"/>
        <v>0</v>
      </c>
      <c r="K121" s="133">
        <f t="shared" si="56"/>
        <v>0</v>
      </c>
      <c r="L121" s="133">
        <f t="shared" si="56"/>
        <v>0</v>
      </c>
      <c r="M121" s="133">
        <f t="shared" si="56"/>
        <v>0</v>
      </c>
      <c r="N121" s="133">
        <f t="shared" si="56"/>
        <v>0</v>
      </c>
      <c r="O121" s="133">
        <f t="shared" si="56"/>
        <v>1.2000999999999999</v>
      </c>
      <c r="P121" s="133">
        <f t="shared" si="56"/>
        <v>1.2095</v>
      </c>
      <c r="Q121" s="133">
        <f t="shared" si="56"/>
        <v>1.1567000000000001</v>
      </c>
      <c r="R121" s="133">
        <f t="shared" si="56"/>
        <v>0</v>
      </c>
      <c r="S121" s="133">
        <f t="shared" si="56"/>
        <v>0</v>
      </c>
      <c r="T121" s="133">
        <f t="shared" si="56"/>
        <v>0</v>
      </c>
      <c r="U121" s="133">
        <f t="shared" si="49"/>
        <v>0</v>
      </c>
      <c r="W121" s="308">
        <f t="shared" si="50"/>
        <v>0</v>
      </c>
      <c r="X121" s="308">
        <f t="shared" si="33"/>
        <v>31.231445432052617</v>
      </c>
      <c r="Y121" s="308">
        <f t="shared" si="34"/>
        <v>0</v>
      </c>
      <c r="Z121" s="308">
        <f t="shared" si="35"/>
        <v>0</v>
      </c>
      <c r="AA121" s="308">
        <f t="shared" si="36"/>
        <v>0</v>
      </c>
      <c r="AB121" s="308">
        <f t="shared" si="37"/>
        <v>0</v>
      </c>
      <c r="AC121" s="308">
        <f t="shared" si="38"/>
        <v>0</v>
      </c>
      <c r="AD121" s="308">
        <f t="shared" si="39"/>
        <v>0</v>
      </c>
      <c r="AE121" s="308">
        <f t="shared" si="40"/>
        <v>0</v>
      </c>
      <c r="AF121" s="308">
        <f t="shared" si="41"/>
        <v>0</v>
      </c>
      <c r="AG121" s="308">
        <f t="shared" si="42"/>
        <v>33.092757957801822</v>
      </c>
      <c r="AH121" s="308">
        <f t="shared" si="43"/>
        <v>33.351962961387635</v>
      </c>
      <c r="AI121" s="308">
        <f t="shared" si="44"/>
        <v>31.896002941246035</v>
      </c>
      <c r="AJ121" s="308">
        <f t="shared" si="45"/>
        <v>0</v>
      </c>
      <c r="AK121" s="308">
        <f t="shared" si="46"/>
        <v>0</v>
      </c>
      <c r="AL121" s="308">
        <f t="shared" si="47"/>
        <v>0</v>
      </c>
      <c r="AN121" s="327">
        <f t="shared" si="51"/>
        <v>32.393042323122025</v>
      </c>
      <c r="AO121" s="331">
        <f t="shared" si="52"/>
        <v>27.575000381469728</v>
      </c>
    </row>
    <row r="122" spans="2:41">
      <c r="B122" s="102">
        <f t="shared" si="48"/>
        <v>11</v>
      </c>
      <c r="C122" s="113">
        <f>PJM_01212000!A106</f>
        <v>38657</v>
      </c>
      <c r="D122" s="315">
        <f>PJM_01212000!C106</f>
        <v>27.247499084472658</v>
      </c>
      <c r="E122" s="133">
        <f t="shared" si="31"/>
        <v>0</v>
      </c>
      <c r="F122" s="133">
        <f t="shared" si="56"/>
        <v>1.1426000000000001</v>
      </c>
      <c r="G122" s="133">
        <f t="shared" si="56"/>
        <v>0</v>
      </c>
      <c r="H122" s="133">
        <f t="shared" si="56"/>
        <v>0</v>
      </c>
      <c r="I122" s="133">
        <f t="shared" si="56"/>
        <v>0</v>
      </c>
      <c r="J122" s="133">
        <f t="shared" si="56"/>
        <v>0</v>
      </c>
      <c r="K122" s="133">
        <f t="shared" si="56"/>
        <v>0</v>
      </c>
      <c r="L122" s="133">
        <f t="shared" si="56"/>
        <v>0</v>
      </c>
      <c r="M122" s="133">
        <f t="shared" si="56"/>
        <v>0</v>
      </c>
      <c r="N122" s="133">
        <f t="shared" si="56"/>
        <v>0</v>
      </c>
      <c r="O122" s="133">
        <f t="shared" si="56"/>
        <v>1.2171000000000001</v>
      </c>
      <c r="P122" s="133">
        <f t="shared" si="56"/>
        <v>1.2269000000000001</v>
      </c>
      <c r="Q122" s="133">
        <f t="shared" si="56"/>
        <v>1.1767000000000001</v>
      </c>
      <c r="R122" s="133">
        <f t="shared" si="56"/>
        <v>0</v>
      </c>
      <c r="S122" s="133">
        <f t="shared" si="56"/>
        <v>0</v>
      </c>
      <c r="T122" s="133">
        <f t="shared" si="56"/>
        <v>0</v>
      </c>
      <c r="U122" s="133">
        <f t="shared" si="49"/>
        <v>0</v>
      </c>
      <c r="W122" s="308">
        <f t="shared" si="50"/>
        <v>0</v>
      </c>
      <c r="X122" s="308">
        <f t="shared" si="33"/>
        <v>31.132992453918462</v>
      </c>
      <c r="Y122" s="308">
        <f t="shared" si="34"/>
        <v>0</v>
      </c>
      <c r="Z122" s="308">
        <f t="shared" si="35"/>
        <v>0</v>
      </c>
      <c r="AA122" s="308">
        <f t="shared" si="36"/>
        <v>0</v>
      </c>
      <c r="AB122" s="308">
        <f t="shared" si="37"/>
        <v>0</v>
      </c>
      <c r="AC122" s="308">
        <f t="shared" si="38"/>
        <v>0</v>
      </c>
      <c r="AD122" s="308">
        <f t="shared" si="39"/>
        <v>0</v>
      </c>
      <c r="AE122" s="308">
        <f t="shared" si="40"/>
        <v>0</v>
      </c>
      <c r="AF122" s="308">
        <f t="shared" si="41"/>
        <v>0</v>
      </c>
      <c r="AG122" s="308">
        <f t="shared" si="42"/>
        <v>33.162931135711673</v>
      </c>
      <c r="AH122" s="308">
        <f t="shared" si="43"/>
        <v>33.429956626739504</v>
      </c>
      <c r="AI122" s="308">
        <f t="shared" si="44"/>
        <v>32.062132172698981</v>
      </c>
      <c r="AJ122" s="308">
        <f t="shared" si="45"/>
        <v>0</v>
      </c>
      <c r="AK122" s="308">
        <f t="shared" si="46"/>
        <v>0</v>
      </c>
      <c r="AL122" s="308">
        <f t="shared" si="47"/>
        <v>0</v>
      </c>
      <c r="AN122" s="327">
        <f t="shared" si="51"/>
        <v>32.447003097267157</v>
      </c>
      <c r="AO122" s="331">
        <f t="shared" si="52"/>
        <v>27.247499084472658</v>
      </c>
    </row>
    <row r="123" spans="2:41">
      <c r="B123" s="102">
        <f t="shared" si="48"/>
        <v>12</v>
      </c>
      <c r="C123" s="113">
        <f>PJM_01212000!A107</f>
        <v>38687</v>
      </c>
      <c r="D123" s="315">
        <f>PJM_01212000!C107</f>
        <v>28.999999618530275</v>
      </c>
      <c r="E123" s="133">
        <f t="shared" si="31"/>
        <v>0</v>
      </c>
      <c r="F123" s="133">
        <f t="shared" si="56"/>
        <v>1.1637999999999999</v>
      </c>
      <c r="G123" s="133">
        <f t="shared" si="56"/>
        <v>0</v>
      </c>
      <c r="H123" s="133">
        <f t="shared" si="56"/>
        <v>0</v>
      </c>
      <c r="I123" s="133">
        <f t="shared" si="56"/>
        <v>0</v>
      </c>
      <c r="J123" s="133">
        <f t="shared" si="56"/>
        <v>0</v>
      </c>
      <c r="K123" s="133">
        <f t="shared" si="56"/>
        <v>0</v>
      </c>
      <c r="L123" s="133">
        <f t="shared" si="56"/>
        <v>0</v>
      </c>
      <c r="M123" s="133">
        <f t="shared" si="56"/>
        <v>0</v>
      </c>
      <c r="N123" s="133">
        <f t="shared" si="56"/>
        <v>0</v>
      </c>
      <c r="O123" s="133">
        <f t="shared" si="56"/>
        <v>1.2396592528631896</v>
      </c>
      <c r="P123" s="133">
        <f t="shared" si="56"/>
        <v>1.2314000000000001</v>
      </c>
      <c r="Q123" s="133">
        <f t="shared" si="56"/>
        <v>1.1889963083145296</v>
      </c>
      <c r="R123" s="133">
        <f t="shared" si="56"/>
        <v>0</v>
      </c>
      <c r="S123" s="133">
        <f t="shared" si="56"/>
        <v>0</v>
      </c>
      <c r="T123" s="133">
        <f t="shared" si="56"/>
        <v>0</v>
      </c>
      <c r="U123" s="133">
        <f t="shared" si="49"/>
        <v>0</v>
      </c>
      <c r="W123" s="308">
        <f t="shared" si="50"/>
        <v>0</v>
      </c>
      <c r="X123" s="308">
        <f t="shared" si="33"/>
        <v>33.75019955604553</v>
      </c>
      <c r="Y123" s="308">
        <f t="shared" si="34"/>
        <v>0</v>
      </c>
      <c r="Z123" s="308">
        <f t="shared" si="35"/>
        <v>0</v>
      </c>
      <c r="AA123" s="308">
        <f t="shared" si="36"/>
        <v>0</v>
      </c>
      <c r="AB123" s="308">
        <f t="shared" si="37"/>
        <v>0</v>
      </c>
      <c r="AC123" s="308">
        <f t="shared" si="38"/>
        <v>0</v>
      </c>
      <c r="AD123" s="308">
        <f t="shared" si="39"/>
        <v>0</v>
      </c>
      <c r="AE123" s="308">
        <f t="shared" si="40"/>
        <v>0</v>
      </c>
      <c r="AF123" s="308">
        <f t="shared" si="41"/>
        <v>0</v>
      </c>
      <c r="AG123" s="308">
        <f t="shared" si="42"/>
        <v>35.950117860140026</v>
      </c>
      <c r="AH123" s="308">
        <f t="shared" si="43"/>
        <v>35.710599530258179</v>
      </c>
      <c r="AI123" s="308">
        <f t="shared" si="44"/>
        <v>34.480892487555266</v>
      </c>
      <c r="AJ123" s="308">
        <f t="shared" si="45"/>
        <v>0</v>
      </c>
      <c r="AK123" s="308">
        <f t="shared" si="46"/>
        <v>0</v>
      </c>
      <c r="AL123" s="308">
        <f t="shared" si="47"/>
        <v>0</v>
      </c>
      <c r="AN123" s="327">
        <f t="shared" si="51"/>
        <v>34.972952358499754</v>
      </c>
      <c r="AO123" s="331">
        <f t="shared" si="52"/>
        <v>28.999999618530275</v>
      </c>
    </row>
    <row r="124" spans="2:41">
      <c r="B124" s="102">
        <f t="shared" si="48"/>
        <v>1</v>
      </c>
      <c r="C124" s="113">
        <f>PJM_01212000!A108</f>
        <v>38718</v>
      </c>
      <c r="D124" s="315">
        <f>PJM_01212000!C108</f>
        <v>37.824998474121088</v>
      </c>
      <c r="E124" s="133">
        <f t="shared" si="31"/>
        <v>0</v>
      </c>
      <c r="F124" s="133">
        <f t="shared" si="56"/>
        <v>1.1998117566192825</v>
      </c>
      <c r="G124" s="133">
        <f t="shared" si="56"/>
        <v>1.1961600115620716</v>
      </c>
      <c r="H124" s="133">
        <f t="shared" si="56"/>
        <v>0</v>
      </c>
      <c r="I124" s="133">
        <f t="shared" si="56"/>
        <v>0</v>
      </c>
      <c r="J124" s="133">
        <f t="shared" si="56"/>
        <v>0</v>
      </c>
      <c r="K124" s="133">
        <f t="shared" si="56"/>
        <v>0</v>
      </c>
      <c r="L124" s="133">
        <f t="shared" si="56"/>
        <v>0</v>
      </c>
      <c r="M124" s="133">
        <f t="shared" si="56"/>
        <v>0</v>
      </c>
      <c r="N124" s="133">
        <f t="shared" si="56"/>
        <v>0</v>
      </c>
      <c r="O124" s="133">
        <f t="shared" si="56"/>
        <v>0</v>
      </c>
      <c r="P124" s="133">
        <f t="shared" si="56"/>
        <v>1.2818992289435116</v>
      </c>
      <c r="Q124" s="133">
        <f t="shared" si="56"/>
        <v>1.2270000000000001</v>
      </c>
      <c r="R124" s="133">
        <f t="shared" si="56"/>
        <v>0</v>
      </c>
      <c r="S124" s="133">
        <f t="shared" si="56"/>
        <v>0</v>
      </c>
      <c r="T124" s="133">
        <f t="shared" si="56"/>
        <v>0</v>
      </c>
      <c r="U124" s="133">
        <f t="shared" si="49"/>
        <v>0</v>
      </c>
      <c r="W124" s="308">
        <f t="shared" si="50"/>
        <v>0</v>
      </c>
      <c r="X124" s="308">
        <f t="shared" si="33"/>
        <v>45.382877863356903</v>
      </c>
      <c r="Y124" s="308">
        <f t="shared" si="34"/>
        <v>45.244750612140024</v>
      </c>
      <c r="Z124" s="308">
        <f t="shared" si="35"/>
        <v>0</v>
      </c>
      <c r="AA124" s="308">
        <f t="shared" si="36"/>
        <v>0</v>
      </c>
      <c r="AB124" s="308">
        <f t="shared" si="37"/>
        <v>0</v>
      </c>
      <c r="AC124" s="308">
        <f t="shared" si="38"/>
        <v>0</v>
      </c>
      <c r="AD124" s="308">
        <f t="shared" si="39"/>
        <v>0</v>
      </c>
      <c r="AE124" s="308">
        <f t="shared" si="40"/>
        <v>0</v>
      </c>
      <c r="AF124" s="308">
        <f t="shared" si="41"/>
        <v>0</v>
      </c>
      <c r="AG124" s="308">
        <f t="shared" si="42"/>
        <v>0</v>
      </c>
      <c r="AH124" s="308">
        <f t="shared" si="43"/>
        <v>48.487836378765323</v>
      </c>
      <c r="AI124" s="308">
        <f t="shared" si="44"/>
        <v>46.411273127746576</v>
      </c>
      <c r="AJ124" s="308">
        <f t="shared" si="45"/>
        <v>0</v>
      </c>
      <c r="AK124" s="308">
        <f t="shared" si="46"/>
        <v>0</v>
      </c>
      <c r="AL124" s="308">
        <f t="shared" si="47"/>
        <v>0</v>
      </c>
      <c r="AN124" s="327">
        <f t="shared" si="51"/>
        <v>46.381684495502206</v>
      </c>
      <c r="AO124" s="331">
        <f t="shared" si="52"/>
        <v>37.824998474121088</v>
      </c>
    </row>
    <row r="125" spans="2:41">
      <c r="B125" s="102">
        <f t="shared" si="48"/>
        <v>2</v>
      </c>
      <c r="C125" s="113">
        <f>PJM_01212000!A109</f>
        <v>38749</v>
      </c>
      <c r="D125" s="315">
        <f>PJM_01212000!C109</f>
        <v>37.824998474121088</v>
      </c>
      <c r="E125" s="133">
        <f t="shared" si="31"/>
        <v>0</v>
      </c>
      <c r="F125" s="133">
        <f t="shared" si="56"/>
        <v>1.1998117566192825</v>
      </c>
      <c r="G125" s="133">
        <f t="shared" si="56"/>
        <v>1.1961600115620716</v>
      </c>
      <c r="H125" s="133">
        <f t="shared" si="56"/>
        <v>0</v>
      </c>
      <c r="I125" s="133">
        <f t="shared" si="56"/>
        <v>0</v>
      </c>
      <c r="J125" s="133">
        <f t="shared" si="56"/>
        <v>0</v>
      </c>
      <c r="K125" s="133">
        <f t="shared" si="56"/>
        <v>0</v>
      </c>
      <c r="L125" s="133">
        <f t="shared" si="56"/>
        <v>0</v>
      </c>
      <c r="M125" s="133">
        <f t="shared" si="56"/>
        <v>0</v>
      </c>
      <c r="N125" s="133">
        <f t="shared" si="56"/>
        <v>0</v>
      </c>
      <c r="O125" s="133">
        <f t="shared" si="56"/>
        <v>0</v>
      </c>
      <c r="P125" s="133">
        <f t="shared" si="56"/>
        <v>1.2818992289435116</v>
      </c>
      <c r="Q125" s="133">
        <f t="shared" si="56"/>
        <v>1.2270000000000001</v>
      </c>
      <c r="R125" s="133">
        <f t="shared" si="56"/>
        <v>0</v>
      </c>
      <c r="S125" s="133">
        <f t="shared" si="56"/>
        <v>0</v>
      </c>
      <c r="T125" s="133">
        <f t="shared" si="56"/>
        <v>0</v>
      </c>
      <c r="U125" s="133">
        <f t="shared" si="49"/>
        <v>0</v>
      </c>
      <c r="W125" s="308">
        <f t="shared" si="50"/>
        <v>0</v>
      </c>
      <c r="X125" s="308">
        <f t="shared" si="33"/>
        <v>45.382877863356903</v>
      </c>
      <c r="Y125" s="308">
        <f t="shared" si="34"/>
        <v>45.244750612140024</v>
      </c>
      <c r="Z125" s="308">
        <f t="shared" si="35"/>
        <v>0</v>
      </c>
      <c r="AA125" s="308">
        <f t="shared" si="36"/>
        <v>0</v>
      </c>
      <c r="AB125" s="308">
        <f t="shared" si="37"/>
        <v>0</v>
      </c>
      <c r="AC125" s="308">
        <f t="shared" si="38"/>
        <v>0</v>
      </c>
      <c r="AD125" s="308">
        <f t="shared" si="39"/>
        <v>0</v>
      </c>
      <c r="AE125" s="308">
        <f t="shared" si="40"/>
        <v>0</v>
      </c>
      <c r="AF125" s="308">
        <f t="shared" si="41"/>
        <v>0</v>
      </c>
      <c r="AG125" s="308">
        <f t="shared" si="42"/>
        <v>0</v>
      </c>
      <c r="AH125" s="308">
        <f t="shared" si="43"/>
        <v>48.487836378765323</v>
      </c>
      <c r="AI125" s="308">
        <f t="shared" si="44"/>
        <v>46.411273127746576</v>
      </c>
      <c r="AJ125" s="308">
        <f t="shared" si="45"/>
        <v>0</v>
      </c>
      <c r="AK125" s="308">
        <f t="shared" si="46"/>
        <v>0</v>
      </c>
      <c r="AL125" s="308">
        <f t="shared" si="47"/>
        <v>0</v>
      </c>
      <c r="AN125" s="327">
        <f t="shared" si="51"/>
        <v>46.381684495502206</v>
      </c>
      <c r="AO125" s="331">
        <f t="shared" si="52"/>
        <v>37.824998474121088</v>
      </c>
    </row>
    <row r="126" spans="2:41">
      <c r="B126" s="102">
        <f t="shared" si="48"/>
        <v>3</v>
      </c>
      <c r="C126" s="113">
        <f>PJM_01212000!A110</f>
        <v>38777</v>
      </c>
      <c r="D126" s="315">
        <f>PJM_01212000!C110</f>
        <v>27.550000762939455</v>
      </c>
      <c r="E126" s="133">
        <f t="shared" si="31"/>
        <v>0</v>
      </c>
      <c r="F126" s="133">
        <f t="shared" si="56"/>
        <v>1.1898</v>
      </c>
      <c r="G126" s="133">
        <f t="shared" si="56"/>
        <v>1.1861999999999999</v>
      </c>
      <c r="H126" s="133">
        <f t="shared" si="56"/>
        <v>0</v>
      </c>
      <c r="I126" s="133">
        <f t="shared" si="56"/>
        <v>0</v>
      </c>
      <c r="J126" s="133">
        <f t="shared" si="56"/>
        <v>0</v>
      </c>
      <c r="K126" s="133">
        <f t="shared" si="56"/>
        <v>0</v>
      </c>
      <c r="L126" s="133">
        <f t="shared" si="56"/>
        <v>0</v>
      </c>
      <c r="M126" s="133">
        <f t="shared" si="56"/>
        <v>0</v>
      </c>
      <c r="N126" s="133">
        <f t="shared" si="56"/>
        <v>0</v>
      </c>
      <c r="O126" s="133">
        <f t="shared" si="56"/>
        <v>0</v>
      </c>
      <c r="P126" s="133">
        <f t="shared" si="56"/>
        <v>1.2719</v>
      </c>
      <c r="Q126" s="133">
        <f t="shared" si="56"/>
        <v>1.2170000000000001</v>
      </c>
      <c r="R126" s="133">
        <f t="shared" si="56"/>
        <v>0</v>
      </c>
      <c r="S126" s="133">
        <f t="shared" si="56"/>
        <v>0</v>
      </c>
      <c r="T126" s="133">
        <f t="shared" si="56"/>
        <v>0</v>
      </c>
      <c r="U126" s="133">
        <f t="shared" si="49"/>
        <v>0</v>
      </c>
      <c r="W126" s="308">
        <f t="shared" si="50"/>
        <v>0</v>
      </c>
      <c r="X126" s="308">
        <f t="shared" si="33"/>
        <v>32.77899090774536</v>
      </c>
      <c r="Y126" s="308">
        <f t="shared" si="34"/>
        <v>32.679810904998781</v>
      </c>
      <c r="Z126" s="308">
        <f t="shared" si="35"/>
        <v>0</v>
      </c>
      <c r="AA126" s="308">
        <f t="shared" si="36"/>
        <v>0</v>
      </c>
      <c r="AB126" s="308">
        <f t="shared" si="37"/>
        <v>0</v>
      </c>
      <c r="AC126" s="308">
        <f t="shared" si="38"/>
        <v>0</v>
      </c>
      <c r="AD126" s="308">
        <f t="shared" si="39"/>
        <v>0</v>
      </c>
      <c r="AE126" s="308">
        <f t="shared" si="40"/>
        <v>0</v>
      </c>
      <c r="AF126" s="308">
        <f t="shared" si="41"/>
        <v>0</v>
      </c>
      <c r="AG126" s="308">
        <f t="shared" si="42"/>
        <v>0</v>
      </c>
      <c r="AH126" s="308">
        <f t="shared" si="43"/>
        <v>35.040845970382691</v>
      </c>
      <c r="AI126" s="308">
        <f t="shared" si="44"/>
        <v>33.528350928497318</v>
      </c>
      <c r="AJ126" s="308">
        <f t="shared" si="45"/>
        <v>0</v>
      </c>
      <c r="AK126" s="308">
        <f t="shared" si="46"/>
        <v>0</v>
      </c>
      <c r="AL126" s="308">
        <f t="shared" si="47"/>
        <v>0</v>
      </c>
      <c r="AN126" s="327">
        <f t="shared" si="51"/>
        <v>33.506999677906038</v>
      </c>
      <c r="AO126" s="331">
        <f t="shared" si="52"/>
        <v>27.550000762939455</v>
      </c>
    </row>
    <row r="127" spans="2:41">
      <c r="B127" s="102">
        <f t="shared" si="48"/>
        <v>4</v>
      </c>
      <c r="C127" s="113">
        <f>PJM_01212000!A111</f>
        <v>38808</v>
      </c>
      <c r="D127" s="315">
        <f>PJM_01212000!C111</f>
        <v>27.325000762939453</v>
      </c>
      <c r="E127" s="133">
        <f t="shared" si="31"/>
        <v>1.1232726508202047</v>
      </c>
      <c r="F127" s="133">
        <f t="shared" si="56"/>
        <v>1.1413154461256174</v>
      </c>
      <c r="G127" s="133">
        <f t="shared" si="56"/>
        <v>0</v>
      </c>
      <c r="H127" s="133">
        <f t="shared" si="56"/>
        <v>0</v>
      </c>
      <c r="I127" s="133">
        <f t="shared" si="56"/>
        <v>1.1185245467924647</v>
      </c>
      <c r="J127" s="133">
        <f t="shared" si="56"/>
        <v>0</v>
      </c>
      <c r="K127" s="133">
        <f t="shared" si="56"/>
        <v>0</v>
      </c>
      <c r="L127" s="133">
        <f t="shared" si="56"/>
        <v>0</v>
      </c>
      <c r="M127" s="133">
        <f t="shared" si="56"/>
        <v>0</v>
      </c>
      <c r="N127" s="133">
        <f t="shared" si="56"/>
        <v>0</v>
      </c>
      <c r="O127" s="133">
        <f t="shared" si="56"/>
        <v>0</v>
      </c>
      <c r="P127" s="133">
        <f t="shared" si="56"/>
        <v>0</v>
      </c>
      <c r="Q127" s="133">
        <f t="shared" si="56"/>
        <v>0</v>
      </c>
      <c r="R127" s="133">
        <f t="shared" si="56"/>
        <v>1.1543365178491491</v>
      </c>
      <c r="S127" s="133">
        <f t="shared" si="56"/>
        <v>0</v>
      </c>
      <c r="T127" s="133">
        <f t="shared" si="56"/>
        <v>0</v>
      </c>
      <c r="U127" s="133">
        <f t="shared" si="49"/>
        <v>0</v>
      </c>
      <c r="W127" s="308">
        <f t="shared" si="50"/>
        <v>30.693426040651115</v>
      </c>
      <c r="X127" s="308">
        <f t="shared" si="33"/>
        <v>31.186445436137078</v>
      </c>
      <c r="Y127" s="308">
        <f t="shared" si="34"/>
        <v>0</v>
      </c>
      <c r="Z127" s="308">
        <f t="shared" si="35"/>
        <v>0</v>
      </c>
      <c r="AA127" s="308">
        <f t="shared" si="36"/>
        <v>30.563684094470606</v>
      </c>
      <c r="AB127" s="308">
        <f t="shared" si="37"/>
        <v>0</v>
      </c>
      <c r="AC127" s="308">
        <f t="shared" si="38"/>
        <v>0</v>
      </c>
      <c r="AD127" s="308">
        <f t="shared" si="39"/>
        <v>0</v>
      </c>
      <c r="AE127" s="308">
        <f t="shared" si="40"/>
        <v>0</v>
      </c>
      <c r="AF127" s="308">
        <f t="shared" si="41"/>
        <v>0</v>
      </c>
      <c r="AG127" s="308">
        <f t="shared" si="42"/>
        <v>0</v>
      </c>
      <c r="AH127" s="308">
        <f t="shared" si="43"/>
        <v>0</v>
      </c>
      <c r="AI127" s="308">
        <f t="shared" si="44"/>
        <v>0</v>
      </c>
      <c r="AJ127" s="308">
        <f t="shared" si="45"/>
        <v>31.542246230916874</v>
      </c>
      <c r="AK127" s="308">
        <f t="shared" si="46"/>
        <v>0</v>
      </c>
      <c r="AL127" s="308">
        <f t="shared" si="47"/>
        <v>0</v>
      </c>
      <c r="AN127" s="327">
        <f t="shared" si="51"/>
        <v>30.996450450543918</v>
      </c>
      <c r="AO127" s="331">
        <f t="shared" si="52"/>
        <v>27.325000762939453</v>
      </c>
    </row>
    <row r="128" spans="2:41">
      <c r="B128" s="102">
        <f t="shared" si="48"/>
        <v>5</v>
      </c>
      <c r="C128" s="113">
        <f>PJM_01212000!A112</f>
        <v>38838</v>
      </c>
      <c r="D128" s="315">
        <f>PJM_01212000!C112</f>
        <v>32.575000000000003</v>
      </c>
      <c r="E128" s="133">
        <f t="shared" si="31"/>
        <v>0</v>
      </c>
      <c r="F128" s="133">
        <f t="shared" si="56"/>
        <v>0</v>
      </c>
      <c r="G128" s="133">
        <f t="shared" si="56"/>
        <v>1.0610266218026732</v>
      </c>
      <c r="H128" s="133">
        <f t="shared" si="56"/>
        <v>1.1254998619307197</v>
      </c>
      <c r="I128" s="133">
        <f t="shared" si="56"/>
        <v>1.1169907033351396</v>
      </c>
      <c r="J128" s="133">
        <f t="shared" si="56"/>
        <v>0</v>
      </c>
      <c r="K128" s="133">
        <f t="shared" si="56"/>
        <v>0</v>
      </c>
      <c r="L128" s="133">
        <f t="shared" si="56"/>
        <v>0</v>
      </c>
      <c r="M128" s="133">
        <f t="shared" si="56"/>
        <v>0</v>
      </c>
      <c r="N128" s="133">
        <f t="shared" si="56"/>
        <v>0</v>
      </c>
      <c r="O128" s="133">
        <f t="shared" si="56"/>
        <v>0</v>
      </c>
      <c r="P128" s="133">
        <f t="shared" si="56"/>
        <v>0</v>
      </c>
      <c r="Q128" s="133">
        <f t="shared" si="56"/>
        <v>0</v>
      </c>
      <c r="R128" s="133">
        <f t="shared" si="56"/>
        <v>1.0876995612465097</v>
      </c>
      <c r="S128" s="133">
        <f t="shared" si="56"/>
        <v>0</v>
      </c>
      <c r="T128" s="133">
        <f t="shared" si="56"/>
        <v>0</v>
      </c>
      <c r="U128" s="133">
        <f t="shared" si="49"/>
        <v>0</v>
      </c>
      <c r="W128" s="308">
        <f t="shared" si="50"/>
        <v>0</v>
      </c>
      <c r="X128" s="308">
        <f t="shared" si="33"/>
        <v>0</v>
      </c>
      <c r="Y128" s="308">
        <f t="shared" si="34"/>
        <v>34.562942205222079</v>
      </c>
      <c r="Z128" s="308">
        <f t="shared" si="35"/>
        <v>36.663158002393196</v>
      </c>
      <c r="AA128" s="308">
        <f t="shared" si="36"/>
        <v>36.385972161142178</v>
      </c>
      <c r="AB128" s="308">
        <f t="shared" si="37"/>
        <v>0</v>
      </c>
      <c r="AC128" s="308">
        <f t="shared" si="38"/>
        <v>0</v>
      </c>
      <c r="AD128" s="308">
        <f t="shared" si="39"/>
        <v>0</v>
      </c>
      <c r="AE128" s="308">
        <f t="shared" si="40"/>
        <v>0</v>
      </c>
      <c r="AF128" s="308">
        <f t="shared" si="41"/>
        <v>0</v>
      </c>
      <c r="AG128" s="308">
        <f t="shared" si="42"/>
        <v>0</v>
      </c>
      <c r="AH128" s="308">
        <f t="shared" si="43"/>
        <v>0</v>
      </c>
      <c r="AI128" s="308">
        <f t="shared" si="44"/>
        <v>0</v>
      </c>
      <c r="AJ128" s="308">
        <f t="shared" si="45"/>
        <v>35.431813207605053</v>
      </c>
      <c r="AK128" s="308">
        <f t="shared" si="46"/>
        <v>0</v>
      </c>
      <c r="AL128" s="308">
        <f t="shared" si="47"/>
        <v>0</v>
      </c>
      <c r="AN128" s="327">
        <f t="shared" si="51"/>
        <v>35.760971394090625</v>
      </c>
      <c r="AO128" s="331">
        <f t="shared" si="52"/>
        <v>32.575000000000003</v>
      </c>
    </row>
    <row r="129" spans="2:41">
      <c r="B129" s="102">
        <f t="shared" si="48"/>
        <v>6</v>
      </c>
      <c r="C129" s="113">
        <f>PJM_01212000!A113</f>
        <v>38869</v>
      </c>
      <c r="D129" s="315">
        <f>PJM_01212000!C113</f>
        <v>57.349998474121094</v>
      </c>
      <c r="E129" s="133">
        <f t="shared" si="31"/>
        <v>0</v>
      </c>
      <c r="F129" s="133">
        <f t="shared" si="56"/>
        <v>0</v>
      </c>
      <c r="G129" s="133">
        <f t="shared" si="56"/>
        <v>0</v>
      </c>
      <c r="H129" s="133">
        <f t="shared" si="56"/>
        <v>0</v>
      </c>
      <c r="I129" s="133">
        <f t="shared" si="56"/>
        <v>0</v>
      </c>
      <c r="J129" s="133">
        <f t="shared" si="56"/>
        <v>0</v>
      </c>
      <c r="K129" s="133">
        <f t="shared" si="56"/>
        <v>1.2209201862181771</v>
      </c>
      <c r="L129" s="133">
        <f t="shared" si="56"/>
        <v>1.2303149771421382</v>
      </c>
      <c r="M129" s="133">
        <f t="shared" si="56"/>
        <v>1.2323281466258438</v>
      </c>
      <c r="N129" s="133">
        <f t="shared" si="56"/>
        <v>1.2523256301639896</v>
      </c>
      <c r="O129" s="133">
        <f t="shared" si="56"/>
        <v>0</v>
      </c>
      <c r="P129" s="133">
        <f t="shared" si="56"/>
        <v>0</v>
      </c>
      <c r="Q129" s="133">
        <f t="shared" si="56"/>
        <v>0</v>
      </c>
      <c r="R129" s="133">
        <f t="shared" si="56"/>
        <v>0</v>
      </c>
      <c r="S129" s="133">
        <f t="shared" si="56"/>
        <v>0</v>
      </c>
      <c r="T129" s="133">
        <f t="shared" si="56"/>
        <v>0</v>
      </c>
      <c r="U129" s="133">
        <f t="shared" si="49"/>
        <v>0</v>
      </c>
      <c r="W129" s="308">
        <f t="shared" si="50"/>
        <v>0</v>
      </c>
      <c r="X129" s="308">
        <f t="shared" si="33"/>
        <v>0</v>
      </c>
      <c r="Y129" s="308">
        <f t="shared" si="34"/>
        <v>0</v>
      </c>
      <c r="Z129" s="308">
        <f t="shared" si="35"/>
        <v>0</v>
      </c>
      <c r="AA129" s="308">
        <f t="shared" si="36"/>
        <v>0</v>
      </c>
      <c r="AB129" s="308">
        <f t="shared" si="37"/>
        <v>0</v>
      </c>
      <c r="AC129" s="308">
        <f t="shared" si="38"/>
        <v>70.019770816636097</v>
      </c>
      <c r="AD129" s="308">
        <f t="shared" si="39"/>
        <v>70.558562061789956</v>
      </c>
      <c r="AE129" s="308">
        <f t="shared" si="40"/>
        <v>70.674017328608613</v>
      </c>
      <c r="AF129" s="308">
        <f t="shared" si="41"/>
        <v>71.820872979007532</v>
      </c>
      <c r="AG129" s="308">
        <f t="shared" si="42"/>
        <v>0</v>
      </c>
      <c r="AH129" s="308">
        <f t="shared" si="43"/>
        <v>0</v>
      </c>
      <c r="AI129" s="308">
        <f t="shared" si="44"/>
        <v>0</v>
      </c>
      <c r="AJ129" s="308">
        <f t="shared" si="45"/>
        <v>0</v>
      </c>
      <c r="AK129" s="308">
        <f t="shared" si="46"/>
        <v>0</v>
      </c>
      <c r="AL129" s="308">
        <f t="shared" si="47"/>
        <v>0</v>
      </c>
      <c r="AN129" s="327">
        <f t="shared" si="51"/>
        <v>70.76830579651056</v>
      </c>
      <c r="AO129" s="331">
        <f t="shared" si="52"/>
        <v>57.349998474121094</v>
      </c>
    </row>
    <row r="130" spans="2:41">
      <c r="B130" s="102">
        <f t="shared" si="48"/>
        <v>7</v>
      </c>
      <c r="C130" s="113">
        <f>PJM_01212000!A114</f>
        <v>38899</v>
      </c>
      <c r="D130" s="315">
        <f>PJM_01212000!C114</f>
        <v>97.949996948242188</v>
      </c>
      <c r="E130" s="133">
        <f t="shared" si="31"/>
        <v>0</v>
      </c>
      <c r="F130" s="133">
        <f t="shared" ref="F130:T139" si="57">VLOOKUP($B130,$C$6:$Z$17,F$22+1)</f>
        <v>0</v>
      </c>
      <c r="G130" s="133">
        <f t="shared" si="57"/>
        <v>0</v>
      </c>
      <c r="H130" s="133">
        <f t="shared" si="57"/>
        <v>0</v>
      </c>
      <c r="I130" s="133">
        <f t="shared" si="57"/>
        <v>0</v>
      </c>
      <c r="J130" s="133">
        <f t="shared" si="57"/>
        <v>0</v>
      </c>
      <c r="K130" s="133">
        <f t="shared" si="57"/>
        <v>0</v>
      </c>
      <c r="L130" s="133">
        <f t="shared" si="57"/>
        <v>1.2506946851612968</v>
      </c>
      <c r="M130" s="133">
        <f t="shared" si="57"/>
        <v>1.3273401940004199</v>
      </c>
      <c r="N130" s="133">
        <f t="shared" si="57"/>
        <v>1.3538888162792144</v>
      </c>
      <c r="O130" s="133">
        <f t="shared" si="57"/>
        <v>1.3203393586734773</v>
      </c>
      <c r="P130" s="133">
        <f t="shared" si="57"/>
        <v>0</v>
      </c>
      <c r="Q130" s="133">
        <f t="shared" si="57"/>
        <v>0</v>
      </c>
      <c r="R130" s="133">
        <f t="shared" si="57"/>
        <v>0</v>
      </c>
      <c r="S130" s="133">
        <f t="shared" si="57"/>
        <v>0</v>
      </c>
      <c r="T130" s="133">
        <f t="shared" si="57"/>
        <v>0</v>
      </c>
      <c r="U130" s="133">
        <f t="shared" si="49"/>
        <v>0</v>
      </c>
      <c r="W130" s="308">
        <f t="shared" si="50"/>
        <v>0</v>
      </c>
      <c r="X130" s="308">
        <f t="shared" si="33"/>
        <v>0</v>
      </c>
      <c r="Y130" s="308">
        <f t="shared" si="34"/>
        <v>0</v>
      </c>
      <c r="Z130" s="308">
        <f t="shared" si="35"/>
        <v>0</v>
      </c>
      <c r="AA130" s="308">
        <f t="shared" si="36"/>
        <v>0</v>
      </c>
      <c r="AB130" s="308">
        <f t="shared" si="37"/>
        <v>0</v>
      </c>
      <c r="AC130" s="308">
        <f t="shared" si="38"/>
        <v>0</v>
      </c>
      <c r="AD130" s="308">
        <f t="shared" si="39"/>
        <v>122.50554059473174</v>
      </c>
      <c r="AE130" s="308">
        <f t="shared" si="40"/>
        <v>130.01296795162031</v>
      </c>
      <c r="AF130" s="308">
        <f t="shared" si="41"/>
        <v>132.61340542280828</v>
      </c>
      <c r="AG130" s="308">
        <f t="shared" si="42"/>
        <v>129.32723615271115</v>
      </c>
      <c r="AH130" s="308">
        <f t="shared" si="43"/>
        <v>0</v>
      </c>
      <c r="AI130" s="308">
        <f t="shared" si="44"/>
        <v>0</v>
      </c>
      <c r="AJ130" s="308">
        <f t="shared" si="45"/>
        <v>0</v>
      </c>
      <c r="AK130" s="308">
        <f t="shared" si="46"/>
        <v>0</v>
      </c>
      <c r="AL130" s="308">
        <f t="shared" si="47"/>
        <v>0</v>
      </c>
      <c r="AN130" s="327">
        <f t="shared" si="51"/>
        <v>128.61478753046788</v>
      </c>
      <c r="AO130" s="331">
        <f t="shared" si="52"/>
        <v>97.949996948242188</v>
      </c>
    </row>
    <row r="131" spans="2:41">
      <c r="B131" s="102">
        <f t="shared" si="48"/>
        <v>8</v>
      </c>
      <c r="C131" s="113">
        <f>PJM_01212000!A115</f>
        <v>38930</v>
      </c>
      <c r="D131" s="315">
        <f>PJM_01212000!C115</f>
        <v>84.949996948242188</v>
      </c>
      <c r="E131" s="133">
        <f t="shared" si="31"/>
        <v>0</v>
      </c>
      <c r="F131" s="133">
        <f t="shared" si="57"/>
        <v>0</v>
      </c>
      <c r="G131" s="133">
        <f t="shared" si="57"/>
        <v>0</v>
      </c>
      <c r="H131" s="133">
        <f t="shared" si="57"/>
        <v>0</v>
      </c>
      <c r="I131" s="133">
        <f t="shared" si="57"/>
        <v>0</v>
      </c>
      <c r="J131" s="133">
        <f t="shared" si="57"/>
        <v>0</v>
      </c>
      <c r="K131" s="133">
        <f t="shared" si="57"/>
        <v>1.1907290919069531</v>
      </c>
      <c r="L131" s="133">
        <f t="shared" si="57"/>
        <v>1.26057331025457</v>
      </c>
      <c r="M131" s="133">
        <f t="shared" si="57"/>
        <v>1.2430109342677418</v>
      </c>
      <c r="N131" s="133">
        <f t="shared" si="57"/>
        <v>1.2150462278887151</v>
      </c>
      <c r="O131" s="133">
        <f t="shared" si="57"/>
        <v>0</v>
      </c>
      <c r="P131" s="133">
        <f t="shared" si="57"/>
        <v>0</v>
      </c>
      <c r="Q131" s="133">
        <f t="shared" si="57"/>
        <v>0</v>
      </c>
      <c r="R131" s="133">
        <f t="shared" si="57"/>
        <v>0</v>
      </c>
      <c r="S131" s="133">
        <f t="shared" si="57"/>
        <v>0</v>
      </c>
      <c r="T131" s="133">
        <f t="shared" si="57"/>
        <v>0</v>
      </c>
      <c r="U131" s="133">
        <f t="shared" si="49"/>
        <v>0</v>
      </c>
      <c r="W131" s="308">
        <f t="shared" si="50"/>
        <v>0</v>
      </c>
      <c r="X131" s="308">
        <f t="shared" si="33"/>
        <v>0</v>
      </c>
      <c r="Y131" s="308">
        <f t="shared" si="34"/>
        <v>0</v>
      </c>
      <c r="Z131" s="308">
        <f t="shared" si="35"/>
        <v>0</v>
      </c>
      <c r="AA131" s="308">
        <f t="shared" si="36"/>
        <v>0</v>
      </c>
      <c r="AB131" s="308">
        <f t="shared" si="37"/>
        <v>0</v>
      </c>
      <c r="AC131" s="308">
        <f t="shared" si="38"/>
        <v>101.15243272367886</v>
      </c>
      <c r="AD131" s="308">
        <f t="shared" si="39"/>
        <v>107.08569885916127</v>
      </c>
      <c r="AE131" s="308">
        <f t="shared" si="40"/>
        <v>105.59377507267634</v>
      </c>
      <c r="AF131" s="308">
        <f t="shared" si="41"/>
        <v>103.21817335111953</v>
      </c>
      <c r="AG131" s="308">
        <f t="shared" si="42"/>
        <v>0</v>
      </c>
      <c r="AH131" s="308">
        <f t="shared" si="43"/>
        <v>0</v>
      </c>
      <c r="AI131" s="308">
        <f t="shared" si="44"/>
        <v>0</v>
      </c>
      <c r="AJ131" s="308">
        <f t="shared" si="45"/>
        <v>0</v>
      </c>
      <c r="AK131" s="308">
        <f t="shared" si="46"/>
        <v>0</v>
      </c>
      <c r="AL131" s="308">
        <f t="shared" si="47"/>
        <v>0</v>
      </c>
      <c r="AN131" s="327">
        <f t="shared" si="51"/>
        <v>104.262520001659</v>
      </c>
      <c r="AO131" s="331">
        <f t="shared" si="52"/>
        <v>84.949996948242188</v>
      </c>
    </row>
    <row r="132" spans="2:41">
      <c r="B132" s="102">
        <f t="shared" si="48"/>
        <v>9</v>
      </c>
      <c r="C132" s="113">
        <f>PJM_01212000!A116</f>
        <v>38961</v>
      </c>
      <c r="D132" s="315">
        <f>PJM_01212000!C116</f>
        <v>34.424998474121097</v>
      </c>
      <c r="E132" s="133">
        <f t="shared" si="31"/>
        <v>0</v>
      </c>
      <c r="F132" s="133">
        <f t="shared" si="57"/>
        <v>0</v>
      </c>
      <c r="G132" s="133">
        <f t="shared" si="57"/>
        <v>0</v>
      </c>
      <c r="H132" s="133">
        <f t="shared" si="57"/>
        <v>0</v>
      </c>
      <c r="I132" s="133">
        <f t="shared" si="57"/>
        <v>0</v>
      </c>
      <c r="J132" s="133">
        <f t="shared" si="57"/>
        <v>0</v>
      </c>
      <c r="K132" s="133">
        <f t="shared" si="57"/>
        <v>0</v>
      </c>
      <c r="L132" s="133">
        <f t="shared" si="57"/>
        <v>0</v>
      </c>
      <c r="M132" s="133">
        <f t="shared" si="57"/>
        <v>0</v>
      </c>
      <c r="N132" s="133">
        <f t="shared" si="57"/>
        <v>1.1345284089868721</v>
      </c>
      <c r="O132" s="133">
        <f t="shared" si="57"/>
        <v>1.1066962078625975</v>
      </c>
      <c r="P132" s="133">
        <f t="shared" si="57"/>
        <v>0</v>
      </c>
      <c r="Q132" s="133">
        <f t="shared" si="57"/>
        <v>1.184626371010566</v>
      </c>
      <c r="R132" s="133">
        <f t="shared" si="57"/>
        <v>1.1944408840385996</v>
      </c>
      <c r="S132" s="133">
        <f t="shared" si="57"/>
        <v>0</v>
      </c>
      <c r="T132" s="133">
        <f t="shared" si="57"/>
        <v>0</v>
      </c>
      <c r="U132" s="133">
        <f t="shared" si="49"/>
        <v>0</v>
      </c>
      <c r="W132" s="308">
        <f t="shared" si="50"/>
        <v>0</v>
      </c>
      <c r="X132" s="308">
        <f t="shared" si="33"/>
        <v>0</v>
      </c>
      <c r="Y132" s="308">
        <f t="shared" si="34"/>
        <v>0</v>
      </c>
      <c r="Z132" s="308">
        <f t="shared" si="35"/>
        <v>0</v>
      </c>
      <c r="AA132" s="308">
        <f t="shared" si="36"/>
        <v>0</v>
      </c>
      <c r="AB132" s="308">
        <f t="shared" si="37"/>
        <v>0</v>
      </c>
      <c r="AC132" s="308">
        <f t="shared" si="38"/>
        <v>0</v>
      </c>
      <c r="AD132" s="308">
        <f t="shared" si="39"/>
        <v>0</v>
      </c>
      <c r="AE132" s="308">
        <f t="shared" si="40"/>
        <v>0</v>
      </c>
      <c r="AF132" s="308">
        <f t="shared" si="41"/>
        <v>39.056138748220107</v>
      </c>
      <c r="AG132" s="308">
        <f t="shared" si="42"/>
        <v>38.09801526698552</v>
      </c>
      <c r="AH132" s="308">
        <f t="shared" si="43"/>
        <v>0</v>
      </c>
      <c r="AI132" s="308">
        <f t="shared" si="44"/>
        <v>40.780761014442348</v>
      </c>
      <c r="AJ132" s="308">
        <f t="shared" si="45"/>
        <v>41.118625610456647</v>
      </c>
      <c r="AK132" s="308">
        <f t="shared" si="46"/>
        <v>0</v>
      </c>
      <c r="AL132" s="308">
        <f t="shared" si="47"/>
        <v>0</v>
      </c>
      <c r="AN132" s="327">
        <f t="shared" si="51"/>
        <v>39.763385160026154</v>
      </c>
      <c r="AO132" s="331">
        <f t="shared" si="52"/>
        <v>34.424998474121097</v>
      </c>
    </row>
    <row r="133" spans="2:41">
      <c r="B133" s="102">
        <f t="shared" si="48"/>
        <v>10</v>
      </c>
      <c r="C133" s="113">
        <f>PJM_01212000!A117</f>
        <v>38991</v>
      </c>
      <c r="D133" s="315">
        <f>PJM_01212000!C117</f>
        <v>28.075000381469728</v>
      </c>
      <c r="E133" s="133">
        <f t="shared" si="31"/>
        <v>0</v>
      </c>
      <c r="F133" s="133">
        <f t="shared" si="57"/>
        <v>1.1326000000000001</v>
      </c>
      <c r="G133" s="133">
        <f t="shared" si="57"/>
        <v>0</v>
      </c>
      <c r="H133" s="133">
        <f t="shared" si="57"/>
        <v>0</v>
      </c>
      <c r="I133" s="133">
        <f t="shared" si="57"/>
        <v>0</v>
      </c>
      <c r="J133" s="133">
        <f t="shared" si="57"/>
        <v>0</v>
      </c>
      <c r="K133" s="133">
        <f t="shared" si="57"/>
        <v>0</v>
      </c>
      <c r="L133" s="133">
        <f t="shared" si="57"/>
        <v>0</v>
      </c>
      <c r="M133" s="133">
        <f t="shared" si="57"/>
        <v>0</v>
      </c>
      <c r="N133" s="133">
        <f t="shared" si="57"/>
        <v>0</v>
      </c>
      <c r="O133" s="133">
        <f t="shared" si="57"/>
        <v>1.2000999999999999</v>
      </c>
      <c r="P133" s="133">
        <f t="shared" si="57"/>
        <v>1.2095</v>
      </c>
      <c r="Q133" s="133">
        <f t="shared" si="57"/>
        <v>1.1567000000000001</v>
      </c>
      <c r="R133" s="133">
        <f t="shared" si="57"/>
        <v>0</v>
      </c>
      <c r="S133" s="133">
        <f t="shared" si="57"/>
        <v>0</v>
      </c>
      <c r="T133" s="133">
        <f t="shared" si="57"/>
        <v>0</v>
      </c>
      <c r="U133" s="133">
        <f t="shared" si="49"/>
        <v>0</v>
      </c>
      <c r="W133" s="308">
        <f t="shared" si="50"/>
        <v>0</v>
      </c>
      <c r="X133" s="308">
        <f t="shared" si="33"/>
        <v>31.797745432052615</v>
      </c>
      <c r="Y133" s="308">
        <f t="shared" si="34"/>
        <v>0</v>
      </c>
      <c r="Z133" s="308">
        <f t="shared" si="35"/>
        <v>0</v>
      </c>
      <c r="AA133" s="308">
        <f t="shared" si="36"/>
        <v>0</v>
      </c>
      <c r="AB133" s="308">
        <f t="shared" si="37"/>
        <v>0</v>
      </c>
      <c r="AC133" s="308">
        <f t="shared" si="38"/>
        <v>0</v>
      </c>
      <c r="AD133" s="308">
        <f t="shared" si="39"/>
        <v>0</v>
      </c>
      <c r="AE133" s="308">
        <f t="shared" si="40"/>
        <v>0</v>
      </c>
      <c r="AF133" s="308">
        <f t="shared" si="41"/>
        <v>0</v>
      </c>
      <c r="AG133" s="308">
        <f t="shared" si="42"/>
        <v>33.692807957801818</v>
      </c>
      <c r="AH133" s="308">
        <f t="shared" si="43"/>
        <v>33.956712961387638</v>
      </c>
      <c r="AI133" s="308">
        <f t="shared" si="44"/>
        <v>32.474352941246039</v>
      </c>
      <c r="AJ133" s="308">
        <f t="shared" si="45"/>
        <v>0</v>
      </c>
      <c r="AK133" s="308">
        <f t="shared" si="46"/>
        <v>0</v>
      </c>
      <c r="AL133" s="308">
        <f t="shared" si="47"/>
        <v>0</v>
      </c>
      <c r="AN133" s="327">
        <f t="shared" si="51"/>
        <v>32.980404823122029</v>
      </c>
      <c r="AO133" s="331">
        <f t="shared" si="52"/>
        <v>28.075000381469728</v>
      </c>
    </row>
    <row r="134" spans="2:41">
      <c r="B134" s="102">
        <f t="shared" si="48"/>
        <v>11</v>
      </c>
      <c r="C134" s="113">
        <f>PJM_01212000!A118</f>
        <v>39022</v>
      </c>
      <c r="D134" s="315">
        <f>PJM_01212000!C118</f>
        <v>27.747499084472658</v>
      </c>
      <c r="E134" s="133">
        <f t="shared" si="31"/>
        <v>0</v>
      </c>
      <c r="F134" s="133">
        <f t="shared" si="57"/>
        <v>1.1426000000000001</v>
      </c>
      <c r="G134" s="133">
        <f t="shared" si="57"/>
        <v>0</v>
      </c>
      <c r="H134" s="133">
        <f t="shared" si="57"/>
        <v>0</v>
      </c>
      <c r="I134" s="133">
        <f t="shared" si="57"/>
        <v>0</v>
      </c>
      <c r="J134" s="133">
        <f t="shared" si="57"/>
        <v>0</v>
      </c>
      <c r="K134" s="133">
        <f t="shared" si="57"/>
        <v>0</v>
      </c>
      <c r="L134" s="133">
        <f t="shared" si="57"/>
        <v>0</v>
      </c>
      <c r="M134" s="133">
        <f t="shared" si="57"/>
        <v>0</v>
      </c>
      <c r="N134" s="133">
        <f t="shared" si="57"/>
        <v>0</v>
      </c>
      <c r="O134" s="133">
        <f t="shared" si="57"/>
        <v>1.2171000000000001</v>
      </c>
      <c r="P134" s="133">
        <f t="shared" si="57"/>
        <v>1.2269000000000001</v>
      </c>
      <c r="Q134" s="133">
        <f t="shared" si="57"/>
        <v>1.1767000000000001</v>
      </c>
      <c r="R134" s="133">
        <f t="shared" si="57"/>
        <v>0</v>
      </c>
      <c r="S134" s="133">
        <f t="shared" si="57"/>
        <v>0</v>
      </c>
      <c r="T134" s="133">
        <f t="shared" si="57"/>
        <v>0</v>
      </c>
      <c r="U134" s="133">
        <f t="shared" si="49"/>
        <v>0</v>
      </c>
      <c r="W134" s="308">
        <f t="shared" si="50"/>
        <v>0</v>
      </c>
      <c r="X134" s="308">
        <f t="shared" si="33"/>
        <v>31.704292453918459</v>
      </c>
      <c r="Y134" s="308">
        <f t="shared" si="34"/>
        <v>0</v>
      </c>
      <c r="Z134" s="308">
        <f t="shared" si="35"/>
        <v>0</v>
      </c>
      <c r="AA134" s="308">
        <f t="shared" si="36"/>
        <v>0</v>
      </c>
      <c r="AB134" s="308">
        <f t="shared" si="37"/>
        <v>0</v>
      </c>
      <c r="AC134" s="308">
        <f t="shared" si="38"/>
        <v>0</v>
      </c>
      <c r="AD134" s="308">
        <f t="shared" si="39"/>
        <v>0</v>
      </c>
      <c r="AE134" s="308">
        <f t="shared" si="40"/>
        <v>0</v>
      </c>
      <c r="AF134" s="308">
        <f t="shared" si="41"/>
        <v>0</v>
      </c>
      <c r="AG134" s="308">
        <f t="shared" si="42"/>
        <v>33.771481135711674</v>
      </c>
      <c r="AH134" s="308">
        <f t="shared" si="43"/>
        <v>34.043406626739504</v>
      </c>
      <c r="AI134" s="308">
        <f t="shared" si="44"/>
        <v>32.650482172698979</v>
      </c>
      <c r="AJ134" s="308">
        <f t="shared" si="45"/>
        <v>0</v>
      </c>
      <c r="AK134" s="308">
        <f t="shared" si="46"/>
        <v>0</v>
      </c>
      <c r="AL134" s="308">
        <f t="shared" si="47"/>
        <v>0</v>
      </c>
      <c r="AN134" s="327">
        <f t="shared" si="51"/>
        <v>33.042415597267158</v>
      </c>
      <c r="AO134" s="331">
        <f t="shared" si="52"/>
        <v>27.747499084472658</v>
      </c>
    </row>
    <row r="135" spans="2:41">
      <c r="B135" s="102">
        <f t="shared" si="48"/>
        <v>12</v>
      </c>
      <c r="C135" s="113">
        <f>PJM_01212000!A119</f>
        <v>39052</v>
      </c>
      <c r="D135" s="315">
        <f>PJM_01212000!C119</f>
        <v>29.499999618530275</v>
      </c>
      <c r="E135" s="133">
        <f t="shared" ref="E135:E198" si="58">VLOOKUP($B135,$C$6:$Z$17,E$22+1)</f>
        <v>0</v>
      </c>
      <c r="F135" s="133">
        <f t="shared" si="57"/>
        <v>1.1637999999999999</v>
      </c>
      <c r="G135" s="133">
        <f t="shared" si="57"/>
        <v>0</v>
      </c>
      <c r="H135" s="133">
        <f t="shared" si="57"/>
        <v>0</v>
      </c>
      <c r="I135" s="133">
        <f t="shared" si="57"/>
        <v>0</v>
      </c>
      <c r="J135" s="133">
        <f t="shared" si="57"/>
        <v>0</v>
      </c>
      <c r="K135" s="133">
        <f t="shared" si="57"/>
        <v>0</v>
      </c>
      <c r="L135" s="133">
        <f t="shared" si="57"/>
        <v>0</v>
      </c>
      <c r="M135" s="133">
        <f t="shared" si="57"/>
        <v>0</v>
      </c>
      <c r="N135" s="133">
        <f t="shared" si="57"/>
        <v>0</v>
      </c>
      <c r="O135" s="133">
        <f t="shared" si="57"/>
        <v>1.2396592528631896</v>
      </c>
      <c r="P135" s="133">
        <f t="shared" si="57"/>
        <v>1.2314000000000001</v>
      </c>
      <c r="Q135" s="133">
        <f t="shared" si="57"/>
        <v>1.1889963083145296</v>
      </c>
      <c r="R135" s="133">
        <f t="shared" si="57"/>
        <v>0</v>
      </c>
      <c r="S135" s="133">
        <f t="shared" si="57"/>
        <v>0</v>
      </c>
      <c r="T135" s="133">
        <f t="shared" si="57"/>
        <v>0</v>
      </c>
      <c r="U135" s="133">
        <f t="shared" si="49"/>
        <v>0</v>
      </c>
      <c r="W135" s="308">
        <f t="shared" si="50"/>
        <v>0</v>
      </c>
      <c r="X135" s="308">
        <f t="shared" si="33"/>
        <v>34.332099556045534</v>
      </c>
      <c r="Y135" s="308">
        <f t="shared" si="34"/>
        <v>0</v>
      </c>
      <c r="Z135" s="308">
        <f t="shared" si="35"/>
        <v>0</v>
      </c>
      <c r="AA135" s="308">
        <f t="shared" si="36"/>
        <v>0</v>
      </c>
      <c r="AB135" s="308">
        <f t="shared" si="37"/>
        <v>0</v>
      </c>
      <c r="AC135" s="308">
        <f t="shared" si="38"/>
        <v>0</v>
      </c>
      <c r="AD135" s="308">
        <f t="shared" si="39"/>
        <v>0</v>
      </c>
      <c r="AE135" s="308">
        <f t="shared" si="40"/>
        <v>0</v>
      </c>
      <c r="AF135" s="308">
        <f t="shared" si="41"/>
        <v>0</v>
      </c>
      <c r="AG135" s="308">
        <f t="shared" si="42"/>
        <v>36.569947486571621</v>
      </c>
      <c r="AH135" s="308">
        <f t="shared" si="43"/>
        <v>36.326299530258183</v>
      </c>
      <c r="AI135" s="308">
        <f t="shared" si="44"/>
        <v>35.075390641712531</v>
      </c>
      <c r="AJ135" s="308">
        <f t="shared" si="45"/>
        <v>0</v>
      </c>
      <c r="AK135" s="308">
        <f t="shared" si="46"/>
        <v>0</v>
      </c>
      <c r="AL135" s="308">
        <f t="shared" si="47"/>
        <v>0</v>
      </c>
      <c r="AN135" s="327">
        <f t="shared" si="51"/>
        <v>35.575934303646967</v>
      </c>
      <c r="AO135" s="331">
        <f t="shared" si="52"/>
        <v>29.499999618530275</v>
      </c>
    </row>
    <row r="136" spans="2:41">
      <c r="B136" s="102">
        <f t="shared" si="48"/>
        <v>1</v>
      </c>
      <c r="C136" s="113">
        <f>PJM_01212000!A120</f>
        <v>39083</v>
      </c>
      <c r="D136" s="315">
        <f>PJM_01212000!C120</f>
        <v>38.324998474121088</v>
      </c>
      <c r="E136" s="133">
        <f t="shared" si="58"/>
        <v>0</v>
      </c>
      <c r="F136" s="133">
        <f t="shared" si="57"/>
        <v>1.1998117566192825</v>
      </c>
      <c r="G136" s="133">
        <f t="shared" si="57"/>
        <v>1.1961600115620716</v>
      </c>
      <c r="H136" s="133">
        <f t="shared" si="57"/>
        <v>0</v>
      </c>
      <c r="I136" s="133">
        <f t="shared" si="57"/>
        <v>0</v>
      </c>
      <c r="J136" s="133">
        <f t="shared" si="57"/>
        <v>0</v>
      </c>
      <c r="K136" s="133">
        <f t="shared" si="57"/>
        <v>0</v>
      </c>
      <c r="L136" s="133">
        <f t="shared" si="57"/>
        <v>0</v>
      </c>
      <c r="M136" s="133">
        <f t="shared" si="57"/>
        <v>0</v>
      </c>
      <c r="N136" s="133">
        <f t="shared" si="57"/>
        <v>0</v>
      </c>
      <c r="O136" s="133">
        <f t="shared" si="57"/>
        <v>0</v>
      </c>
      <c r="P136" s="133">
        <f t="shared" si="57"/>
        <v>1.2818992289435116</v>
      </c>
      <c r="Q136" s="133">
        <f t="shared" si="57"/>
        <v>1.2270000000000001</v>
      </c>
      <c r="R136" s="133">
        <f t="shared" si="57"/>
        <v>0</v>
      </c>
      <c r="S136" s="133">
        <f t="shared" si="57"/>
        <v>0</v>
      </c>
      <c r="T136" s="133">
        <f t="shared" si="57"/>
        <v>0</v>
      </c>
      <c r="U136" s="133">
        <f t="shared" si="49"/>
        <v>0</v>
      </c>
      <c r="W136" s="308">
        <f t="shared" si="50"/>
        <v>0</v>
      </c>
      <c r="X136" s="308">
        <f t="shared" si="33"/>
        <v>45.982783741666545</v>
      </c>
      <c r="Y136" s="308">
        <f t="shared" si="34"/>
        <v>45.842830617921059</v>
      </c>
      <c r="Z136" s="308">
        <f t="shared" si="35"/>
        <v>0</v>
      </c>
      <c r="AA136" s="308">
        <f t="shared" si="36"/>
        <v>0</v>
      </c>
      <c r="AB136" s="308">
        <f t="shared" si="37"/>
        <v>0</v>
      </c>
      <c r="AC136" s="308">
        <f t="shared" si="38"/>
        <v>0</v>
      </c>
      <c r="AD136" s="308">
        <f t="shared" si="39"/>
        <v>0</v>
      </c>
      <c r="AE136" s="308">
        <f t="shared" si="40"/>
        <v>0</v>
      </c>
      <c r="AF136" s="308">
        <f t="shared" si="41"/>
        <v>0</v>
      </c>
      <c r="AG136" s="308">
        <f t="shared" si="42"/>
        <v>0</v>
      </c>
      <c r="AH136" s="308">
        <f t="shared" si="43"/>
        <v>49.128785993237081</v>
      </c>
      <c r="AI136" s="308">
        <f t="shared" si="44"/>
        <v>47.024773127746577</v>
      </c>
      <c r="AJ136" s="308">
        <f t="shared" si="45"/>
        <v>0</v>
      </c>
      <c r="AK136" s="308">
        <f t="shared" si="46"/>
        <v>0</v>
      </c>
      <c r="AL136" s="308">
        <f t="shared" si="47"/>
        <v>0</v>
      </c>
      <c r="AN136" s="327">
        <f t="shared" si="51"/>
        <v>46.994793370142816</v>
      </c>
      <c r="AO136" s="331">
        <f t="shared" si="52"/>
        <v>38.324998474121088</v>
      </c>
    </row>
    <row r="137" spans="2:41">
      <c r="B137" s="102">
        <f t="shared" si="48"/>
        <v>2</v>
      </c>
      <c r="C137" s="113">
        <f>PJM_01212000!A121</f>
        <v>39114</v>
      </c>
      <c r="D137" s="315">
        <f>PJM_01212000!C121</f>
        <v>38.324998474121088</v>
      </c>
      <c r="E137" s="133">
        <f t="shared" si="58"/>
        <v>0</v>
      </c>
      <c r="F137" s="133">
        <f t="shared" si="57"/>
        <v>1.1998117566192825</v>
      </c>
      <c r="G137" s="133">
        <f t="shared" si="57"/>
        <v>1.1961600115620716</v>
      </c>
      <c r="H137" s="133">
        <f t="shared" si="57"/>
        <v>0</v>
      </c>
      <c r="I137" s="133">
        <f t="shared" si="57"/>
        <v>0</v>
      </c>
      <c r="J137" s="133">
        <f t="shared" si="57"/>
        <v>0</v>
      </c>
      <c r="K137" s="133">
        <f t="shared" si="57"/>
        <v>0</v>
      </c>
      <c r="L137" s="133">
        <f t="shared" si="57"/>
        <v>0</v>
      </c>
      <c r="M137" s="133">
        <f t="shared" si="57"/>
        <v>0</v>
      </c>
      <c r="N137" s="133">
        <f t="shared" si="57"/>
        <v>0</v>
      </c>
      <c r="O137" s="133">
        <f t="shared" si="57"/>
        <v>0</v>
      </c>
      <c r="P137" s="133">
        <f t="shared" si="57"/>
        <v>1.2818992289435116</v>
      </c>
      <c r="Q137" s="133">
        <f t="shared" si="57"/>
        <v>1.2270000000000001</v>
      </c>
      <c r="R137" s="133">
        <f t="shared" si="57"/>
        <v>0</v>
      </c>
      <c r="S137" s="133">
        <f t="shared" si="57"/>
        <v>0</v>
      </c>
      <c r="T137" s="133">
        <f t="shared" si="57"/>
        <v>0</v>
      </c>
      <c r="U137" s="133">
        <f t="shared" si="49"/>
        <v>0</v>
      </c>
      <c r="W137" s="308">
        <f t="shared" si="50"/>
        <v>0</v>
      </c>
      <c r="X137" s="308">
        <f t="shared" si="33"/>
        <v>45.982783741666545</v>
      </c>
      <c r="Y137" s="308">
        <f t="shared" si="34"/>
        <v>45.842830617921059</v>
      </c>
      <c r="Z137" s="308">
        <f t="shared" si="35"/>
        <v>0</v>
      </c>
      <c r="AA137" s="308">
        <f t="shared" si="36"/>
        <v>0</v>
      </c>
      <c r="AB137" s="308">
        <f t="shared" si="37"/>
        <v>0</v>
      </c>
      <c r="AC137" s="308">
        <f t="shared" si="38"/>
        <v>0</v>
      </c>
      <c r="AD137" s="308">
        <f t="shared" si="39"/>
        <v>0</v>
      </c>
      <c r="AE137" s="308">
        <f t="shared" si="40"/>
        <v>0</v>
      </c>
      <c r="AF137" s="308">
        <f t="shared" si="41"/>
        <v>0</v>
      </c>
      <c r="AG137" s="308">
        <f t="shared" si="42"/>
        <v>0</v>
      </c>
      <c r="AH137" s="308">
        <f t="shared" si="43"/>
        <v>49.128785993237081</v>
      </c>
      <c r="AI137" s="308">
        <f t="shared" si="44"/>
        <v>47.024773127746577</v>
      </c>
      <c r="AJ137" s="308">
        <f t="shared" si="45"/>
        <v>0</v>
      </c>
      <c r="AK137" s="308">
        <f t="shared" si="46"/>
        <v>0</v>
      </c>
      <c r="AL137" s="308">
        <f t="shared" si="47"/>
        <v>0</v>
      </c>
      <c r="AN137" s="327">
        <f t="shared" si="51"/>
        <v>46.994793370142816</v>
      </c>
      <c r="AO137" s="331">
        <f t="shared" si="52"/>
        <v>38.324998474121088</v>
      </c>
    </row>
    <row r="138" spans="2:41">
      <c r="B138" s="102">
        <f t="shared" si="48"/>
        <v>3</v>
      </c>
      <c r="C138" s="113">
        <f>PJM_01212000!A122</f>
        <v>39142</v>
      </c>
      <c r="D138" s="315">
        <f>PJM_01212000!C122</f>
        <v>28.050000762939455</v>
      </c>
      <c r="E138" s="133">
        <f t="shared" si="58"/>
        <v>0</v>
      </c>
      <c r="F138" s="133">
        <f t="shared" si="57"/>
        <v>1.1898</v>
      </c>
      <c r="G138" s="133">
        <f t="shared" si="57"/>
        <v>1.1861999999999999</v>
      </c>
      <c r="H138" s="133">
        <f t="shared" si="57"/>
        <v>0</v>
      </c>
      <c r="I138" s="133">
        <f t="shared" si="57"/>
        <v>0</v>
      </c>
      <c r="J138" s="133">
        <f t="shared" si="57"/>
        <v>0</v>
      </c>
      <c r="K138" s="133">
        <f t="shared" si="57"/>
        <v>0</v>
      </c>
      <c r="L138" s="133">
        <f t="shared" si="57"/>
        <v>0</v>
      </c>
      <c r="M138" s="133">
        <f t="shared" si="57"/>
        <v>0</v>
      </c>
      <c r="N138" s="133">
        <f t="shared" si="57"/>
        <v>0</v>
      </c>
      <c r="O138" s="133">
        <f t="shared" si="57"/>
        <v>0</v>
      </c>
      <c r="P138" s="133">
        <f t="shared" si="57"/>
        <v>1.2719</v>
      </c>
      <c r="Q138" s="133">
        <f t="shared" si="57"/>
        <v>1.2170000000000001</v>
      </c>
      <c r="R138" s="133">
        <f t="shared" si="57"/>
        <v>0</v>
      </c>
      <c r="S138" s="133">
        <f t="shared" si="57"/>
        <v>0</v>
      </c>
      <c r="T138" s="133">
        <f t="shared" si="57"/>
        <v>0</v>
      </c>
      <c r="U138" s="133">
        <f t="shared" si="49"/>
        <v>0</v>
      </c>
      <c r="W138" s="308">
        <f t="shared" si="50"/>
        <v>0</v>
      </c>
      <c r="X138" s="308">
        <f t="shared" si="33"/>
        <v>33.373890907745363</v>
      </c>
      <c r="Y138" s="308">
        <f t="shared" si="34"/>
        <v>33.272910904998781</v>
      </c>
      <c r="Z138" s="308">
        <f t="shared" si="35"/>
        <v>0</v>
      </c>
      <c r="AA138" s="308">
        <f t="shared" si="36"/>
        <v>0</v>
      </c>
      <c r="AB138" s="308">
        <f t="shared" si="37"/>
        <v>0</v>
      </c>
      <c r="AC138" s="308">
        <f t="shared" si="38"/>
        <v>0</v>
      </c>
      <c r="AD138" s="308">
        <f t="shared" si="39"/>
        <v>0</v>
      </c>
      <c r="AE138" s="308">
        <f t="shared" si="40"/>
        <v>0</v>
      </c>
      <c r="AF138" s="308">
        <f t="shared" si="41"/>
        <v>0</v>
      </c>
      <c r="AG138" s="308">
        <f t="shared" si="42"/>
        <v>0</v>
      </c>
      <c r="AH138" s="308">
        <f t="shared" si="43"/>
        <v>35.676795970382692</v>
      </c>
      <c r="AI138" s="308">
        <f t="shared" si="44"/>
        <v>34.136850928497317</v>
      </c>
      <c r="AJ138" s="308">
        <f t="shared" si="45"/>
        <v>0</v>
      </c>
      <c r="AK138" s="308">
        <f t="shared" si="46"/>
        <v>0</v>
      </c>
      <c r="AL138" s="308">
        <f t="shared" si="47"/>
        <v>0</v>
      </c>
      <c r="AN138" s="327">
        <f t="shared" si="51"/>
        <v>34.115112177906042</v>
      </c>
      <c r="AO138" s="331">
        <f t="shared" si="52"/>
        <v>28.050000762939455</v>
      </c>
    </row>
    <row r="139" spans="2:41">
      <c r="B139" s="102">
        <f t="shared" si="48"/>
        <v>4</v>
      </c>
      <c r="C139" s="113">
        <f>PJM_01212000!A123</f>
        <v>39173</v>
      </c>
      <c r="D139" s="315">
        <f>PJM_01212000!C123</f>
        <v>27.825000762939453</v>
      </c>
      <c r="E139" s="133">
        <f t="shared" si="58"/>
        <v>1.1232726508202047</v>
      </c>
      <c r="F139" s="133">
        <f t="shared" si="57"/>
        <v>1.1413154461256174</v>
      </c>
      <c r="G139" s="133">
        <f t="shared" si="57"/>
        <v>0</v>
      </c>
      <c r="H139" s="133">
        <f t="shared" si="57"/>
        <v>0</v>
      </c>
      <c r="I139" s="133">
        <f t="shared" si="57"/>
        <v>1.1185245467924647</v>
      </c>
      <c r="J139" s="133">
        <f t="shared" si="57"/>
        <v>0</v>
      </c>
      <c r="K139" s="133">
        <f t="shared" si="57"/>
        <v>0</v>
      </c>
      <c r="L139" s="133">
        <f t="shared" si="57"/>
        <v>0</v>
      </c>
      <c r="M139" s="133">
        <f t="shared" si="57"/>
        <v>0</v>
      </c>
      <c r="N139" s="133">
        <f t="shared" si="57"/>
        <v>0</v>
      </c>
      <c r="O139" s="133">
        <f t="shared" si="57"/>
        <v>0</v>
      </c>
      <c r="P139" s="133">
        <f t="shared" si="57"/>
        <v>0</v>
      </c>
      <c r="Q139" s="133">
        <f t="shared" si="57"/>
        <v>0</v>
      </c>
      <c r="R139" s="133">
        <f t="shared" si="57"/>
        <v>1.1543365178491491</v>
      </c>
      <c r="S139" s="133">
        <f t="shared" si="57"/>
        <v>0</v>
      </c>
      <c r="T139" s="133">
        <f t="shared" si="57"/>
        <v>0</v>
      </c>
      <c r="U139" s="133">
        <f t="shared" si="49"/>
        <v>0</v>
      </c>
      <c r="W139" s="308">
        <f t="shared" si="50"/>
        <v>31.255062366061217</v>
      </c>
      <c r="X139" s="308">
        <f t="shared" si="33"/>
        <v>31.757103159199886</v>
      </c>
      <c r="Y139" s="308">
        <f t="shared" si="34"/>
        <v>0</v>
      </c>
      <c r="Z139" s="308">
        <f t="shared" si="35"/>
        <v>0</v>
      </c>
      <c r="AA139" s="308">
        <f t="shared" si="36"/>
        <v>31.122946367866838</v>
      </c>
      <c r="AB139" s="308">
        <f t="shared" si="37"/>
        <v>0</v>
      </c>
      <c r="AC139" s="308">
        <f t="shared" si="38"/>
        <v>0</v>
      </c>
      <c r="AD139" s="308">
        <f t="shared" si="39"/>
        <v>0</v>
      </c>
      <c r="AE139" s="308">
        <f t="shared" si="40"/>
        <v>0</v>
      </c>
      <c r="AF139" s="308">
        <f t="shared" si="41"/>
        <v>0</v>
      </c>
      <c r="AG139" s="308">
        <f t="shared" si="42"/>
        <v>0</v>
      </c>
      <c r="AH139" s="308">
        <f t="shared" si="43"/>
        <v>0</v>
      </c>
      <c r="AI139" s="308">
        <f t="shared" si="44"/>
        <v>0</v>
      </c>
      <c r="AJ139" s="308">
        <f t="shared" si="45"/>
        <v>32.119414489841446</v>
      </c>
      <c r="AK139" s="308">
        <f t="shared" si="46"/>
        <v>0</v>
      </c>
      <c r="AL139" s="308">
        <f t="shared" si="47"/>
        <v>0</v>
      </c>
      <c r="AN139" s="327">
        <f t="shared" si="51"/>
        <v>31.563631595742347</v>
      </c>
      <c r="AO139" s="331">
        <f t="shared" si="52"/>
        <v>27.825000762939453</v>
      </c>
    </row>
    <row r="140" spans="2:41">
      <c r="B140" s="102">
        <f t="shared" si="48"/>
        <v>5</v>
      </c>
      <c r="C140" s="113">
        <f>PJM_01212000!A124</f>
        <v>39203</v>
      </c>
      <c r="D140" s="315">
        <f>PJM_01212000!C124</f>
        <v>33.575000000000003</v>
      </c>
      <c r="E140" s="133">
        <f t="shared" si="58"/>
        <v>0</v>
      </c>
      <c r="F140" s="133">
        <f t="shared" ref="F140:T149" si="59">VLOOKUP($B140,$C$6:$Z$17,F$22+1)</f>
        <v>0</v>
      </c>
      <c r="G140" s="133">
        <f t="shared" si="59"/>
        <v>1.0610266218026732</v>
      </c>
      <c r="H140" s="133">
        <f t="shared" si="59"/>
        <v>1.1254998619307197</v>
      </c>
      <c r="I140" s="133">
        <f t="shared" si="59"/>
        <v>1.1169907033351396</v>
      </c>
      <c r="J140" s="133">
        <f t="shared" si="59"/>
        <v>0</v>
      </c>
      <c r="K140" s="133">
        <f t="shared" si="59"/>
        <v>0</v>
      </c>
      <c r="L140" s="133">
        <f t="shared" si="59"/>
        <v>0</v>
      </c>
      <c r="M140" s="133">
        <f t="shared" si="59"/>
        <v>0</v>
      </c>
      <c r="N140" s="133">
        <f t="shared" si="59"/>
        <v>0</v>
      </c>
      <c r="O140" s="133">
        <f t="shared" si="59"/>
        <v>0</v>
      </c>
      <c r="P140" s="133">
        <f t="shared" si="59"/>
        <v>0</v>
      </c>
      <c r="Q140" s="133">
        <f t="shared" si="59"/>
        <v>0</v>
      </c>
      <c r="R140" s="133">
        <f t="shared" si="59"/>
        <v>1.0876995612465097</v>
      </c>
      <c r="S140" s="133">
        <f t="shared" si="59"/>
        <v>0</v>
      </c>
      <c r="T140" s="133">
        <f t="shared" si="59"/>
        <v>0</v>
      </c>
      <c r="U140" s="133">
        <f t="shared" si="49"/>
        <v>0</v>
      </c>
      <c r="W140" s="308">
        <f t="shared" si="50"/>
        <v>0</v>
      </c>
      <c r="X140" s="308">
        <f t="shared" si="33"/>
        <v>0</v>
      </c>
      <c r="Y140" s="308">
        <f t="shared" si="34"/>
        <v>35.623968827024754</v>
      </c>
      <c r="Z140" s="308">
        <f t="shared" si="35"/>
        <v>37.788657864323916</v>
      </c>
      <c r="AA140" s="308">
        <f t="shared" si="36"/>
        <v>37.502962864477318</v>
      </c>
      <c r="AB140" s="308">
        <f t="shared" si="37"/>
        <v>0</v>
      </c>
      <c r="AC140" s="308">
        <f t="shared" si="38"/>
        <v>0</v>
      </c>
      <c r="AD140" s="308">
        <f t="shared" si="39"/>
        <v>0</v>
      </c>
      <c r="AE140" s="308">
        <f t="shared" si="40"/>
        <v>0</v>
      </c>
      <c r="AF140" s="308">
        <f t="shared" si="41"/>
        <v>0</v>
      </c>
      <c r="AG140" s="308">
        <f t="shared" si="42"/>
        <v>0</v>
      </c>
      <c r="AH140" s="308">
        <f t="shared" si="43"/>
        <v>0</v>
      </c>
      <c r="AI140" s="308">
        <f t="shared" si="44"/>
        <v>0</v>
      </c>
      <c r="AJ140" s="308">
        <f t="shared" si="45"/>
        <v>36.519512768851563</v>
      </c>
      <c r="AK140" s="308">
        <f t="shared" si="46"/>
        <v>0</v>
      </c>
      <c r="AL140" s="308">
        <f t="shared" si="47"/>
        <v>0</v>
      </c>
      <c r="AN140" s="327">
        <f t="shared" si="51"/>
        <v>36.85877558116939</v>
      </c>
      <c r="AO140" s="331">
        <f t="shared" si="52"/>
        <v>33.575000000000003</v>
      </c>
    </row>
    <row r="141" spans="2:41">
      <c r="B141" s="102">
        <f t="shared" si="48"/>
        <v>6</v>
      </c>
      <c r="C141" s="113">
        <f>PJM_01212000!A125</f>
        <v>39234</v>
      </c>
      <c r="D141" s="315">
        <f>PJM_01212000!C125</f>
        <v>58.599998474121094</v>
      </c>
      <c r="E141" s="133">
        <f t="shared" si="58"/>
        <v>0</v>
      </c>
      <c r="F141" s="133">
        <f t="shared" si="59"/>
        <v>0</v>
      </c>
      <c r="G141" s="133">
        <f t="shared" si="59"/>
        <v>0</v>
      </c>
      <c r="H141" s="133">
        <f t="shared" si="59"/>
        <v>0</v>
      </c>
      <c r="I141" s="133">
        <f t="shared" si="59"/>
        <v>0</v>
      </c>
      <c r="J141" s="133">
        <f t="shared" si="59"/>
        <v>0</v>
      </c>
      <c r="K141" s="133">
        <f t="shared" si="59"/>
        <v>1.2209201862181771</v>
      </c>
      <c r="L141" s="133">
        <f t="shared" si="59"/>
        <v>1.2303149771421382</v>
      </c>
      <c r="M141" s="133">
        <f t="shared" si="59"/>
        <v>1.2323281466258438</v>
      </c>
      <c r="N141" s="133">
        <f t="shared" si="59"/>
        <v>1.2523256301639896</v>
      </c>
      <c r="O141" s="133">
        <f t="shared" si="59"/>
        <v>0</v>
      </c>
      <c r="P141" s="133">
        <f t="shared" si="59"/>
        <v>0</v>
      </c>
      <c r="Q141" s="133">
        <f t="shared" si="59"/>
        <v>0</v>
      </c>
      <c r="R141" s="133">
        <f t="shared" si="59"/>
        <v>0</v>
      </c>
      <c r="S141" s="133">
        <f t="shared" si="59"/>
        <v>0</v>
      </c>
      <c r="T141" s="133">
        <f t="shared" si="59"/>
        <v>0</v>
      </c>
      <c r="U141" s="133">
        <f t="shared" si="49"/>
        <v>0</v>
      </c>
      <c r="W141" s="308">
        <f t="shared" si="50"/>
        <v>0</v>
      </c>
      <c r="X141" s="308">
        <f t="shared" si="33"/>
        <v>0</v>
      </c>
      <c r="Y141" s="308">
        <f t="shared" si="34"/>
        <v>0</v>
      </c>
      <c r="Z141" s="308">
        <f t="shared" si="35"/>
        <v>0</v>
      </c>
      <c r="AA141" s="308">
        <f t="shared" si="36"/>
        <v>0</v>
      </c>
      <c r="AB141" s="308">
        <f t="shared" si="37"/>
        <v>0</v>
      </c>
      <c r="AC141" s="308">
        <f t="shared" si="38"/>
        <v>71.545921049408818</v>
      </c>
      <c r="AD141" s="308">
        <f t="shared" si="39"/>
        <v>72.096455783217621</v>
      </c>
      <c r="AE141" s="308">
        <f t="shared" si="40"/>
        <v>72.214427511890918</v>
      </c>
      <c r="AF141" s="308">
        <f t="shared" si="41"/>
        <v>73.386280016712533</v>
      </c>
      <c r="AG141" s="308">
        <f t="shared" si="42"/>
        <v>0</v>
      </c>
      <c r="AH141" s="308">
        <f t="shared" si="43"/>
        <v>0</v>
      </c>
      <c r="AI141" s="308">
        <f t="shared" si="44"/>
        <v>0</v>
      </c>
      <c r="AJ141" s="308">
        <f t="shared" si="45"/>
        <v>0</v>
      </c>
      <c r="AK141" s="308">
        <f t="shared" si="46"/>
        <v>0</v>
      </c>
      <c r="AL141" s="308">
        <f t="shared" si="47"/>
        <v>0</v>
      </c>
      <c r="AN141" s="327">
        <f t="shared" si="51"/>
        <v>72.310771090307469</v>
      </c>
      <c r="AO141" s="331">
        <f t="shared" si="52"/>
        <v>58.599998474121094</v>
      </c>
    </row>
    <row r="142" spans="2:41">
      <c r="B142" s="102">
        <f t="shared" si="48"/>
        <v>7</v>
      </c>
      <c r="C142" s="113">
        <f>PJM_01212000!A126</f>
        <v>39264</v>
      </c>
      <c r="D142" s="315">
        <f>PJM_01212000!C126</f>
        <v>100.19999694824219</v>
      </c>
      <c r="E142" s="133">
        <f t="shared" si="58"/>
        <v>0</v>
      </c>
      <c r="F142" s="133">
        <f t="shared" si="59"/>
        <v>0</v>
      </c>
      <c r="G142" s="133">
        <f t="shared" si="59"/>
        <v>0</v>
      </c>
      <c r="H142" s="133">
        <f t="shared" si="59"/>
        <v>0</v>
      </c>
      <c r="I142" s="133">
        <f t="shared" si="59"/>
        <v>0</v>
      </c>
      <c r="J142" s="133">
        <f t="shared" si="59"/>
        <v>0</v>
      </c>
      <c r="K142" s="133">
        <f t="shared" si="59"/>
        <v>0</v>
      </c>
      <c r="L142" s="133">
        <f t="shared" si="59"/>
        <v>1.2506946851612968</v>
      </c>
      <c r="M142" s="133">
        <f t="shared" si="59"/>
        <v>1.3273401940004199</v>
      </c>
      <c r="N142" s="133">
        <f t="shared" si="59"/>
        <v>1.3538888162792144</v>
      </c>
      <c r="O142" s="133">
        <f t="shared" si="59"/>
        <v>1.3203393586734773</v>
      </c>
      <c r="P142" s="133">
        <f t="shared" si="59"/>
        <v>0</v>
      </c>
      <c r="Q142" s="133">
        <f t="shared" si="59"/>
        <v>0</v>
      </c>
      <c r="R142" s="133">
        <f t="shared" si="59"/>
        <v>0</v>
      </c>
      <c r="S142" s="133">
        <f t="shared" si="59"/>
        <v>0</v>
      </c>
      <c r="T142" s="133">
        <f t="shared" si="59"/>
        <v>0</v>
      </c>
      <c r="U142" s="133">
        <f t="shared" si="49"/>
        <v>0</v>
      </c>
      <c r="W142" s="308">
        <f t="shared" si="50"/>
        <v>0</v>
      </c>
      <c r="X142" s="308">
        <f t="shared" si="33"/>
        <v>0</v>
      </c>
      <c r="Y142" s="308">
        <f t="shared" si="34"/>
        <v>0</v>
      </c>
      <c r="Z142" s="308">
        <f t="shared" si="35"/>
        <v>0</v>
      </c>
      <c r="AA142" s="308">
        <f t="shared" si="36"/>
        <v>0</v>
      </c>
      <c r="AB142" s="308">
        <f t="shared" si="37"/>
        <v>0</v>
      </c>
      <c r="AC142" s="308">
        <f t="shared" si="38"/>
        <v>0</v>
      </c>
      <c r="AD142" s="308">
        <f t="shared" si="39"/>
        <v>125.31960363634467</v>
      </c>
      <c r="AE142" s="308">
        <f t="shared" si="40"/>
        <v>132.99948338812126</v>
      </c>
      <c r="AF142" s="308">
        <f t="shared" si="41"/>
        <v>135.65965525943651</v>
      </c>
      <c r="AG142" s="308">
        <f t="shared" si="42"/>
        <v>132.29799970972647</v>
      </c>
      <c r="AH142" s="308">
        <f t="shared" si="43"/>
        <v>0</v>
      </c>
      <c r="AI142" s="308">
        <f t="shared" si="44"/>
        <v>0</v>
      </c>
      <c r="AJ142" s="308">
        <f t="shared" si="45"/>
        <v>0</v>
      </c>
      <c r="AK142" s="308">
        <f t="shared" si="46"/>
        <v>0</v>
      </c>
      <c r="AL142" s="308">
        <f t="shared" si="47"/>
        <v>0</v>
      </c>
      <c r="AN142" s="327">
        <f t="shared" si="51"/>
        <v>131.56918549840722</v>
      </c>
      <c r="AO142" s="331">
        <f t="shared" si="52"/>
        <v>100.19999694824219</v>
      </c>
    </row>
    <row r="143" spans="2:41">
      <c r="B143" s="102">
        <f t="shared" si="48"/>
        <v>8</v>
      </c>
      <c r="C143" s="113">
        <f>PJM_01212000!A127</f>
        <v>39295</v>
      </c>
      <c r="D143" s="315">
        <f>PJM_01212000!C127</f>
        <v>87.199996948242188</v>
      </c>
      <c r="E143" s="133">
        <f t="shared" si="58"/>
        <v>0</v>
      </c>
      <c r="F143" s="133">
        <f t="shared" si="59"/>
        <v>0</v>
      </c>
      <c r="G143" s="133">
        <f t="shared" si="59"/>
        <v>0</v>
      </c>
      <c r="H143" s="133">
        <f t="shared" si="59"/>
        <v>0</v>
      </c>
      <c r="I143" s="133">
        <f t="shared" si="59"/>
        <v>0</v>
      </c>
      <c r="J143" s="133">
        <f t="shared" si="59"/>
        <v>0</v>
      </c>
      <c r="K143" s="133">
        <f t="shared" si="59"/>
        <v>1.1907290919069531</v>
      </c>
      <c r="L143" s="133">
        <f t="shared" si="59"/>
        <v>1.26057331025457</v>
      </c>
      <c r="M143" s="133">
        <f t="shared" si="59"/>
        <v>1.2430109342677418</v>
      </c>
      <c r="N143" s="133">
        <f t="shared" si="59"/>
        <v>1.2150462278887151</v>
      </c>
      <c r="O143" s="133">
        <f t="shared" si="59"/>
        <v>0</v>
      </c>
      <c r="P143" s="133">
        <f t="shared" si="59"/>
        <v>0</v>
      </c>
      <c r="Q143" s="133">
        <f t="shared" si="59"/>
        <v>0</v>
      </c>
      <c r="R143" s="133">
        <f t="shared" si="59"/>
        <v>0</v>
      </c>
      <c r="S143" s="133">
        <f t="shared" si="59"/>
        <v>0</v>
      </c>
      <c r="T143" s="133">
        <f t="shared" si="59"/>
        <v>0</v>
      </c>
      <c r="U143" s="133">
        <f t="shared" si="49"/>
        <v>0</v>
      </c>
      <c r="W143" s="308">
        <f t="shared" si="50"/>
        <v>0</v>
      </c>
      <c r="X143" s="308">
        <f t="shared" si="33"/>
        <v>0</v>
      </c>
      <c r="Y143" s="308">
        <f t="shared" si="34"/>
        <v>0</v>
      </c>
      <c r="Z143" s="308">
        <f t="shared" si="35"/>
        <v>0</v>
      </c>
      <c r="AA143" s="308">
        <f t="shared" si="36"/>
        <v>0</v>
      </c>
      <c r="AB143" s="308">
        <f t="shared" si="37"/>
        <v>0</v>
      </c>
      <c r="AC143" s="308">
        <f t="shared" si="38"/>
        <v>103.8315731804695</v>
      </c>
      <c r="AD143" s="308">
        <f t="shared" si="39"/>
        <v>109.92198880723406</v>
      </c>
      <c r="AE143" s="308">
        <f t="shared" si="40"/>
        <v>108.39054967477875</v>
      </c>
      <c r="AF143" s="308">
        <f t="shared" si="41"/>
        <v>105.95202736386914</v>
      </c>
      <c r="AG143" s="308">
        <f t="shared" si="42"/>
        <v>0</v>
      </c>
      <c r="AH143" s="308">
        <f t="shared" si="43"/>
        <v>0</v>
      </c>
      <c r="AI143" s="308">
        <f t="shared" si="44"/>
        <v>0</v>
      </c>
      <c r="AJ143" s="308">
        <f t="shared" si="45"/>
        <v>0</v>
      </c>
      <c r="AK143" s="308">
        <f t="shared" si="46"/>
        <v>0</v>
      </c>
      <c r="AL143" s="308">
        <f t="shared" si="47"/>
        <v>0</v>
      </c>
      <c r="AN143" s="327">
        <f t="shared" si="51"/>
        <v>107.02403475658787</v>
      </c>
      <c r="AO143" s="331">
        <f t="shared" si="52"/>
        <v>87.199996948242188</v>
      </c>
    </row>
    <row r="144" spans="2:41">
      <c r="B144" s="102">
        <f t="shared" si="48"/>
        <v>9</v>
      </c>
      <c r="C144" s="113">
        <f>PJM_01212000!A128</f>
        <v>39326</v>
      </c>
      <c r="D144" s="315">
        <f>PJM_01212000!C128</f>
        <v>34.924998474121097</v>
      </c>
      <c r="E144" s="133">
        <f t="shared" si="58"/>
        <v>0</v>
      </c>
      <c r="F144" s="133">
        <f t="shared" si="59"/>
        <v>0</v>
      </c>
      <c r="G144" s="133">
        <f t="shared" si="59"/>
        <v>0</v>
      </c>
      <c r="H144" s="133">
        <f t="shared" si="59"/>
        <v>0</v>
      </c>
      <c r="I144" s="133">
        <f t="shared" si="59"/>
        <v>0</v>
      </c>
      <c r="J144" s="133">
        <f t="shared" si="59"/>
        <v>0</v>
      </c>
      <c r="K144" s="133">
        <f t="shared" si="59"/>
        <v>0</v>
      </c>
      <c r="L144" s="133">
        <f t="shared" si="59"/>
        <v>0</v>
      </c>
      <c r="M144" s="133">
        <f t="shared" si="59"/>
        <v>0</v>
      </c>
      <c r="N144" s="133">
        <f t="shared" si="59"/>
        <v>1.1345284089868721</v>
      </c>
      <c r="O144" s="133">
        <f t="shared" si="59"/>
        <v>1.1066962078625975</v>
      </c>
      <c r="P144" s="133">
        <f t="shared" si="59"/>
        <v>0</v>
      </c>
      <c r="Q144" s="133">
        <f t="shared" si="59"/>
        <v>1.184626371010566</v>
      </c>
      <c r="R144" s="133">
        <f t="shared" si="59"/>
        <v>1.1944408840385996</v>
      </c>
      <c r="S144" s="133">
        <f t="shared" si="59"/>
        <v>0</v>
      </c>
      <c r="T144" s="133">
        <f t="shared" si="59"/>
        <v>0</v>
      </c>
      <c r="U144" s="133">
        <f t="shared" si="49"/>
        <v>0</v>
      </c>
      <c r="W144" s="308">
        <f t="shared" si="50"/>
        <v>0</v>
      </c>
      <c r="X144" s="308">
        <f t="shared" si="33"/>
        <v>0</v>
      </c>
      <c r="Y144" s="308">
        <f t="shared" si="34"/>
        <v>0</v>
      </c>
      <c r="Z144" s="308">
        <f t="shared" si="35"/>
        <v>0</v>
      </c>
      <c r="AA144" s="308">
        <f t="shared" si="36"/>
        <v>0</v>
      </c>
      <c r="AB144" s="308">
        <f t="shared" si="37"/>
        <v>0</v>
      </c>
      <c r="AC144" s="308">
        <f t="shared" si="38"/>
        <v>0</v>
      </c>
      <c r="AD144" s="308">
        <f t="shared" si="39"/>
        <v>0</v>
      </c>
      <c r="AE144" s="308">
        <f t="shared" si="40"/>
        <v>0</v>
      </c>
      <c r="AF144" s="308">
        <f t="shared" si="41"/>
        <v>39.623402952713548</v>
      </c>
      <c r="AG144" s="308">
        <f t="shared" si="42"/>
        <v>38.651363370916819</v>
      </c>
      <c r="AH144" s="308">
        <f t="shared" si="43"/>
        <v>0</v>
      </c>
      <c r="AI144" s="308">
        <f t="shared" si="44"/>
        <v>41.373074199947631</v>
      </c>
      <c r="AJ144" s="308">
        <f t="shared" si="45"/>
        <v>41.715846052475946</v>
      </c>
      <c r="AK144" s="308">
        <f t="shared" si="46"/>
        <v>0</v>
      </c>
      <c r="AL144" s="308">
        <f t="shared" si="47"/>
        <v>0</v>
      </c>
      <c r="AN144" s="327">
        <f t="shared" si="51"/>
        <v>40.340921644013484</v>
      </c>
      <c r="AO144" s="331">
        <f t="shared" si="52"/>
        <v>34.924998474121097</v>
      </c>
    </row>
    <row r="145" spans="2:41">
      <c r="B145" s="102">
        <f t="shared" si="48"/>
        <v>10</v>
      </c>
      <c r="C145" s="113">
        <f>PJM_01212000!A129</f>
        <v>39356</v>
      </c>
      <c r="D145" s="315">
        <f>PJM_01212000!C129</f>
        <v>28.575000381469728</v>
      </c>
      <c r="E145" s="133">
        <f t="shared" si="58"/>
        <v>0</v>
      </c>
      <c r="F145" s="133">
        <f t="shared" si="59"/>
        <v>1.1326000000000001</v>
      </c>
      <c r="G145" s="133">
        <f t="shared" si="59"/>
        <v>0</v>
      </c>
      <c r="H145" s="133">
        <f t="shared" si="59"/>
        <v>0</v>
      </c>
      <c r="I145" s="133">
        <f t="shared" si="59"/>
        <v>0</v>
      </c>
      <c r="J145" s="133">
        <f t="shared" si="59"/>
        <v>0</v>
      </c>
      <c r="K145" s="133">
        <f t="shared" si="59"/>
        <v>0</v>
      </c>
      <c r="L145" s="133">
        <f t="shared" si="59"/>
        <v>0</v>
      </c>
      <c r="M145" s="133">
        <f t="shared" si="59"/>
        <v>0</v>
      </c>
      <c r="N145" s="133">
        <f t="shared" si="59"/>
        <v>0</v>
      </c>
      <c r="O145" s="133">
        <f t="shared" si="59"/>
        <v>1.2000999999999999</v>
      </c>
      <c r="P145" s="133">
        <f t="shared" si="59"/>
        <v>1.2095</v>
      </c>
      <c r="Q145" s="133">
        <f t="shared" si="59"/>
        <v>1.1567000000000001</v>
      </c>
      <c r="R145" s="133">
        <f t="shared" si="59"/>
        <v>0</v>
      </c>
      <c r="S145" s="133">
        <f t="shared" si="59"/>
        <v>0</v>
      </c>
      <c r="T145" s="133">
        <f t="shared" si="59"/>
        <v>0</v>
      </c>
      <c r="U145" s="133">
        <f t="shared" si="49"/>
        <v>0</v>
      </c>
      <c r="W145" s="308">
        <f t="shared" si="50"/>
        <v>0</v>
      </c>
      <c r="X145" s="308">
        <f t="shared" si="33"/>
        <v>32.364045432052613</v>
      </c>
      <c r="Y145" s="308">
        <f t="shared" si="34"/>
        <v>0</v>
      </c>
      <c r="Z145" s="308">
        <f t="shared" si="35"/>
        <v>0</v>
      </c>
      <c r="AA145" s="308">
        <f t="shared" si="36"/>
        <v>0</v>
      </c>
      <c r="AB145" s="308">
        <f t="shared" si="37"/>
        <v>0</v>
      </c>
      <c r="AC145" s="308">
        <f t="shared" si="38"/>
        <v>0</v>
      </c>
      <c r="AD145" s="308">
        <f t="shared" si="39"/>
        <v>0</v>
      </c>
      <c r="AE145" s="308">
        <f t="shared" si="40"/>
        <v>0</v>
      </c>
      <c r="AF145" s="308">
        <f t="shared" si="41"/>
        <v>0</v>
      </c>
      <c r="AG145" s="308">
        <f t="shared" si="42"/>
        <v>34.292857957801822</v>
      </c>
      <c r="AH145" s="308">
        <f t="shared" si="43"/>
        <v>34.561462961387633</v>
      </c>
      <c r="AI145" s="308">
        <f t="shared" si="44"/>
        <v>33.052702941246039</v>
      </c>
      <c r="AJ145" s="308">
        <f t="shared" si="45"/>
        <v>0</v>
      </c>
      <c r="AK145" s="308">
        <f t="shared" si="46"/>
        <v>0</v>
      </c>
      <c r="AL145" s="308">
        <f t="shared" si="47"/>
        <v>0</v>
      </c>
      <c r="AN145" s="327">
        <f t="shared" si="51"/>
        <v>33.567767323122027</v>
      </c>
      <c r="AO145" s="331">
        <f t="shared" si="52"/>
        <v>28.575000381469728</v>
      </c>
    </row>
    <row r="146" spans="2:41">
      <c r="B146" s="102">
        <f t="shared" si="48"/>
        <v>11</v>
      </c>
      <c r="C146" s="113">
        <f>PJM_01212000!A130</f>
        <v>39387</v>
      </c>
      <c r="D146" s="315">
        <f>PJM_01212000!C130</f>
        <v>28.247499084472658</v>
      </c>
      <c r="E146" s="133">
        <f t="shared" si="58"/>
        <v>0</v>
      </c>
      <c r="F146" s="133">
        <f t="shared" si="59"/>
        <v>1.1426000000000001</v>
      </c>
      <c r="G146" s="133">
        <f t="shared" si="59"/>
        <v>0</v>
      </c>
      <c r="H146" s="133">
        <f t="shared" si="59"/>
        <v>0</v>
      </c>
      <c r="I146" s="133">
        <f t="shared" si="59"/>
        <v>0</v>
      </c>
      <c r="J146" s="133">
        <f t="shared" si="59"/>
        <v>0</v>
      </c>
      <c r="K146" s="133">
        <f t="shared" si="59"/>
        <v>0</v>
      </c>
      <c r="L146" s="133">
        <f t="shared" si="59"/>
        <v>0</v>
      </c>
      <c r="M146" s="133">
        <f t="shared" si="59"/>
        <v>0</v>
      </c>
      <c r="N146" s="133">
        <f t="shared" si="59"/>
        <v>0</v>
      </c>
      <c r="O146" s="133">
        <f t="shared" si="59"/>
        <v>1.2171000000000001</v>
      </c>
      <c r="P146" s="133">
        <f t="shared" si="59"/>
        <v>1.2269000000000001</v>
      </c>
      <c r="Q146" s="133">
        <f t="shared" si="59"/>
        <v>1.1767000000000001</v>
      </c>
      <c r="R146" s="133">
        <f t="shared" si="59"/>
        <v>0</v>
      </c>
      <c r="S146" s="133">
        <f t="shared" si="59"/>
        <v>0</v>
      </c>
      <c r="T146" s="133">
        <f t="shared" si="59"/>
        <v>0</v>
      </c>
      <c r="U146" s="133">
        <f t="shared" si="49"/>
        <v>0</v>
      </c>
      <c r="W146" s="308">
        <f t="shared" si="50"/>
        <v>0</v>
      </c>
      <c r="X146" s="308">
        <f t="shared" si="33"/>
        <v>32.275592453918463</v>
      </c>
      <c r="Y146" s="308">
        <f t="shared" si="34"/>
        <v>0</v>
      </c>
      <c r="Z146" s="308">
        <f t="shared" si="35"/>
        <v>0</v>
      </c>
      <c r="AA146" s="308">
        <f t="shared" si="36"/>
        <v>0</v>
      </c>
      <c r="AB146" s="308">
        <f t="shared" si="37"/>
        <v>0</v>
      </c>
      <c r="AC146" s="308">
        <f t="shared" si="38"/>
        <v>0</v>
      </c>
      <c r="AD146" s="308">
        <f t="shared" si="39"/>
        <v>0</v>
      </c>
      <c r="AE146" s="308">
        <f t="shared" si="40"/>
        <v>0</v>
      </c>
      <c r="AF146" s="308">
        <f t="shared" si="41"/>
        <v>0</v>
      </c>
      <c r="AG146" s="308">
        <f t="shared" si="42"/>
        <v>34.380031135711675</v>
      </c>
      <c r="AH146" s="308">
        <f t="shared" si="43"/>
        <v>34.656856626739504</v>
      </c>
      <c r="AI146" s="308">
        <f t="shared" si="44"/>
        <v>33.238832172698977</v>
      </c>
      <c r="AJ146" s="308">
        <f t="shared" si="45"/>
        <v>0</v>
      </c>
      <c r="AK146" s="308">
        <f t="shared" si="46"/>
        <v>0</v>
      </c>
      <c r="AL146" s="308">
        <f t="shared" si="47"/>
        <v>0</v>
      </c>
      <c r="AN146" s="327">
        <f t="shared" si="51"/>
        <v>33.637828097267153</v>
      </c>
      <c r="AO146" s="331">
        <f t="shared" si="52"/>
        <v>28.247499084472658</v>
      </c>
    </row>
    <row r="147" spans="2:41">
      <c r="B147" s="102">
        <f t="shared" si="48"/>
        <v>12</v>
      </c>
      <c r="C147" s="113">
        <f>PJM_01212000!A131</f>
        <v>39417</v>
      </c>
      <c r="D147" s="315">
        <f>PJM_01212000!C131</f>
        <v>29.999999618530275</v>
      </c>
      <c r="E147" s="133">
        <f t="shared" si="58"/>
        <v>0</v>
      </c>
      <c r="F147" s="133">
        <f t="shared" si="59"/>
        <v>1.1637999999999999</v>
      </c>
      <c r="G147" s="133">
        <f t="shared" si="59"/>
        <v>0</v>
      </c>
      <c r="H147" s="133">
        <f t="shared" si="59"/>
        <v>0</v>
      </c>
      <c r="I147" s="133">
        <f t="shared" si="59"/>
        <v>0</v>
      </c>
      <c r="J147" s="133">
        <f t="shared" si="59"/>
        <v>0</v>
      </c>
      <c r="K147" s="133">
        <f t="shared" si="59"/>
        <v>0</v>
      </c>
      <c r="L147" s="133">
        <f t="shared" si="59"/>
        <v>0</v>
      </c>
      <c r="M147" s="133">
        <f t="shared" si="59"/>
        <v>0</v>
      </c>
      <c r="N147" s="133">
        <f t="shared" si="59"/>
        <v>0</v>
      </c>
      <c r="O147" s="133">
        <f t="shared" si="59"/>
        <v>1.2396592528631896</v>
      </c>
      <c r="P147" s="133">
        <f t="shared" si="59"/>
        <v>1.2314000000000001</v>
      </c>
      <c r="Q147" s="133">
        <f t="shared" si="59"/>
        <v>1.1889963083145296</v>
      </c>
      <c r="R147" s="133">
        <f t="shared" si="59"/>
        <v>0</v>
      </c>
      <c r="S147" s="133">
        <f t="shared" si="59"/>
        <v>0</v>
      </c>
      <c r="T147" s="133">
        <f t="shared" si="59"/>
        <v>0</v>
      </c>
      <c r="U147" s="133">
        <f t="shared" si="49"/>
        <v>0</v>
      </c>
      <c r="W147" s="308">
        <f t="shared" si="50"/>
        <v>0</v>
      </c>
      <c r="X147" s="308">
        <f t="shared" si="33"/>
        <v>34.913999556045532</v>
      </c>
      <c r="Y147" s="308">
        <f t="shared" si="34"/>
        <v>0</v>
      </c>
      <c r="Z147" s="308">
        <f t="shared" si="35"/>
        <v>0</v>
      </c>
      <c r="AA147" s="308">
        <f t="shared" si="36"/>
        <v>0</v>
      </c>
      <c r="AB147" s="308">
        <f t="shared" si="37"/>
        <v>0</v>
      </c>
      <c r="AC147" s="308">
        <f t="shared" si="38"/>
        <v>0</v>
      </c>
      <c r="AD147" s="308">
        <f t="shared" si="39"/>
        <v>0</v>
      </c>
      <c r="AE147" s="308">
        <f t="shared" si="40"/>
        <v>0</v>
      </c>
      <c r="AF147" s="308">
        <f t="shared" si="41"/>
        <v>0</v>
      </c>
      <c r="AG147" s="308">
        <f t="shared" si="42"/>
        <v>37.18977711300321</v>
      </c>
      <c r="AH147" s="308">
        <f t="shared" si="43"/>
        <v>36.94199953025818</v>
      </c>
      <c r="AI147" s="308">
        <f t="shared" si="44"/>
        <v>35.669888795869795</v>
      </c>
      <c r="AJ147" s="308">
        <f t="shared" si="45"/>
        <v>0</v>
      </c>
      <c r="AK147" s="308">
        <f t="shared" si="46"/>
        <v>0</v>
      </c>
      <c r="AL147" s="308">
        <f t="shared" si="47"/>
        <v>0</v>
      </c>
      <c r="AN147" s="327">
        <f t="shared" si="51"/>
        <v>36.178916248794181</v>
      </c>
      <c r="AO147" s="331">
        <f t="shared" si="52"/>
        <v>29.999999618530275</v>
      </c>
    </row>
    <row r="148" spans="2:41">
      <c r="B148" s="102">
        <f t="shared" si="48"/>
        <v>1</v>
      </c>
      <c r="C148" s="113">
        <f>PJM_01212000!A132</f>
        <v>39448</v>
      </c>
      <c r="D148" s="315">
        <f>PJM_01212000!C132</f>
        <v>38.824998474121088</v>
      </c>
      <c r="E148" s="133">
        <f t="shared" si="58"/>
        <v>0</v>
      </c>
      <c r="F148" s="133">
        <f t="shared" si="59"/>
        <v>1.1998117566192825</v>
      </c>
      <c r="G148" s="133">
        <f t="shared" si="59"/>
        <v>1.1961600115620716</v>
      </c>
      <c r="H148" s="133">
        <f t="shared" si="59"/>
        <v>0</v>
      </c>
      <c r="I148" s="133">
        <f t="shared" si="59"/>
        <v>0</v>
      </c>
      <c r="J148" s="133">
        <f t="shared" si="59"/>
        <v>0</v>
      </c>
      <c r="K148" s="133">
        <f t="shared" si="59"/>
        <v>0</v>
      </c>
      <c r="L148" s="133">
        <f t="shared" si="59"/>
        <v>0</v>
      </c>
      <c r="M148" s="133">
        <f t="shared" si="59"/>
        <v>0</v>
      </c>
      <c r="N148" s="133">
        <f t="shared" si="59"/>
        <v>0</v>
      </c>
      <c r="O148" s="133">
        <f t="shared" si="59"/>
        <v>0</v>
      </c>
      <c r="P148" s="133">
        <f t="shared" si="59"/>
        <v>1.2818992289435116</v>
      </c>
      <c r="Q148" s="133">
        <f t="shared" si="59"/>
        <v>1.2270000000000001</v>
      </c>
      <c r="R148" s="133">
        <f t="shared" si="59"/>
        <v>0</v>
      </c>
      <c r="S148" s="133">
        <f t="shared" si="59"/>
        <v>0</v>
      </c>
      <c r="T148" s="133">
        <f t="shared" si="59"/>
        <v>0</v>
      </c>
      <c r="U148" s="133">
        <f t="shared" si="49"/>
        <v>0</v>
      </c>
      <c r="W148" s="308">
        <f t="shared" si="50"/>
        <v>0</v>
      </c>
      <c r="X148" s="308">
        <f t="shared" si="33"/>
        <v>46.582689619976186</v>
      </c>
      <c r="Y148" s="308">
        <f t="shared" si="34"/>
        <v>46.440910623702095</v>
      </c>
      <c r="Z148" s="308">
        <f t="shared" si="35"/>
        <v>0</v>
      </c>
      <c r="AA148" s="308">
        <f t="shared" si="36"/>
        <v>0</v>
      </c>
      <c r="AB148" s="308">
        <f t="shared" si="37"/>
        <v>0</v>
      </c>
      <c r="AC148" s="308">
        <f t="shared" si="38"/>
        <v>0</v>
      </c>
      <c r="AD148" s="308">
        <f t="shared" si="39"/>
        <v>0</v>
      </c>
      <c r="AE148" s="308">
        <f t="shared" si="40"/>
        <v>0</v>
      </c>
      <c r="AF148" s="308">
        <f t="shared" si="41"/>
        <v>0</v>
      </c>
      <c r="AG148" s="308">
        <f t="shared" si="42"/>
        <v>0</v>
      </c>
      <c r="AH148" s="308">
        <f t="shared" si="43"/>
        <v>49.769735607708839</v>
      </c>
      <c r="AI148" s="308">
        <f t="shared" si="44"/>
        <v>47.638273127746579</v>
      </c>
      <c r="AJ148" s="308">
        <f t="shared" si="45"/>
        <v>0</v>
      </c>
      <c r="AK148" s="308">
        <f t="shared" si="46"/>
        <v>0</v>
      </c>
      <c r="AL148" s="308">
        <f t="shared" si="47"/>
        <v>0</v>
      </c>
      <c r="AN148" s="327">
        <f t="shared" si="51"/>
        <v>47.607902244783425</v>
      </c>
      <c r="AO148" s="331">
        <f t="shared" si="52"/>
        <v>38.824998474121088</v>
      </c>
    </row>
    <row r="149" spans="2:41">
      <c r="B149" s="102">
        <f t="shared" si="48"/>
        <v>2</v>
      </c>
      <c r="C149" s="113">
        <f>PJM_01212000!A133</f>
        <v>39479</v>
      </c>
      <c r="D149" s="315">
        <f>PJM_01212000!C133</f>
        <v>38.824998474121088</v>
      </c>
      <c r="E149" s="133">
        <f t="shared" si="58"/>
        <v>0</v>
      </c>
      <c r="F149" s="133">
        <f t="shared" si="59"/>
        <v>1.1998117566192825</v>
      </c>
      <c r="G149" s="133">
        <f t="shared" si="59"/>
        <v>1.1961600115620716</v>
      </c>
      <c r="H149" s="133">
        <f t="shared" si="59"/>
        <v>0</v>
      </c>
      <c r="I149" s="133">
        <f t="shared" si="59"/>
        <v>0</v>
      </c>
      <c r="J149" s="133">
        <f t="shared" si="59"/>
        <v>0</v>
      </c>
      <c r="K149" s="133">
        <f t="shared" si="59"/>
        <v>0</v>
      </c>
      <c r="L149" s="133">
        <f t="shared" si="59"/>
        <v>0</v>
      </c>
      <c r="M149" s="133">
        <f t="shared" si="59"/>
        <v>0</v>
      </c>
      <c r="N149" s="133">
        <f t="shared" si="59"/>
        <v>0</v>
      </c>
      <c r="O149" s="133">
        <f t="shared" si="59"/>
        <v>0</v>
      </c>
      <c r="P149" s="133">
        <f t="shared" si="59"/>
        <v>1.2818992289435116</v>
      </c>
      <c r="Q149" s="133">
        <f t="shared" si="59"/>
        <v>1.2270000000000001</v>
      </c>
      <c r="R149" s="133">
        <f t="shared" si="59"/>
        <v>0</v>
      </c>
      <c r="S149" s="133">
        <f t="shared" si="59"/>
        <v>0</v>
      </c>
      <c r="T149" s="133">
        <f t="shared" si="59"/>
        <v>0</v>
      </c>
      <c r="U149" s="133">
        <f t="shared" si="49"/>
        <v>0</v>
      </c>
      <c r="W149" s="308">
        <f t="shared" si="50"/>
        <v>0</v>
      </c>
      <c r="X149" s="308">
        <f t="shared" si="33"/>
        <v>46.582689619976186</v>
      </c>
      <c r="Y149" s="308">
        <f t="shared" si="34"/>
        <v>46.440910623702095</v>
      </c>
      <c r="Z149" s="308">
        <f t="shared" si="35"/>
        <v>0</v>
      </c>
      <c r="AA149" s="308">
        <f t="shared" si="36"/>
        <v>0</v>
      </c>
      <c r="AB149" s="308">
        <f t="shared" si="37"/>
        <v>0</v>
      </c>
      <c r="AC149" s="308">
        <f t="shared" si="38"/>
        <v>0</v>
      </c>
      <c r="AD149" s="308">
        <f t="shared" si="39"/>
        <v>0</v>
      </c>
      <c r="AE149" s="308">
        <f t="shared" si="40"/>
        <v>0</v>
      </c>
      <c r="AF149" s="308">
        <f t="shared" si="41"/>
        <v>0</v>
      </c>
      <c r="AG149" s="308">
        <f t="shared" si="42"/>
        <v>0</v>
      </c>
      <c r="AH149" s="308">
        <f t="shared" si="43"/>
        <v>49.769735607708839</v>
      </c>
      <c r="AI149" s="308">
        <f t="shared" si="44"/>
        <v>47.638273127746579</v>
      </c>
      <c r="AJ149" s="308">
        <f t="shared" si="45"/>
        <v>0</v>
      </c>
      <c r="AK149" s="308">
        <f t="shared" si="46"/>
        <v>0</v>
      </c>
      <c r="AL149" s="308">
        <f t="shared" si="47"/>
        <v>0</v>
      </c>
      <c r="AN149" s="327">
        <f t="shared" si="51"/>
        <v>47.607902244783425</v>
      </c>
      <c r="AO149" s="331">
        <f t="shared" si="52"/>
        <v>38.824998474121088</v>
      </c>
    </row>
    <row r="150" spans="2:41">
      <c r="B150" s="102">
        <f t="shared" si="48"/>
        <v>3</v>
      </c>
      <c r="C150" s="113">
        <f>PJM_01212000!A134</f>
        <v>39508</v>
      </c>
      <c r="D150" s="315">
        <f>PJM_01212000!C134</f>
        <v>28.550000762939455</v>
      </c>
      <c r="E150" s="133">
        <f t="shared" si="58"/>
        <v>0</v>
      </c>
      <c r="F150" s="133">
        <f t="shared" ref="F150:T159" si="60">VLOOKUP($B150,$C$6:$Z$17,F$22+1)</f>
        <v>1.1898</v>
      </c>
      <c r="G150" s="133">
        <f t="shared" si="60"/>
        <v>1.1861999999999999</v>
      </c>
      <c r="H150" s="133">
        <f t="shared" si="60"/>
        <v>0</v>
      </c>
      <c r="I150" s="133">
        <f t="shared" si="60"/>
        <v>0</v>
      </c>
      <c r="J150" s="133">
        <f t="shared" si="60"/>
        <v>0</v>
      </c>
      <c r="K150" s="133">
        <f t="shared" si="60"/>
        <v>0</v>
      </c>
      <c r="L150" s="133">
        <f t="shared" si="60"/>
        <v>0</v>
      </c>
      <c r="M150" s="133">
        <f t="shared" si="60"/>
        <v>0</v>
      </c>
      <c r="N150" s="133">
        <f t="shared" si="60"/>
        <v>0</v>
      </c>
      <c r="O150" s="133">
        <f t="shared" si="60"/>
        <v>0</v>
      </c>
      <c r="P150" s="133">
        <f t="shared" si="60"/>
        <v>1.2719</v>
      </c>
      <c r="Q150" s="133">
        <f t="shared" si="60"/>
        <v>1.2170000000000001</v>
      </c>
      <c r="R150" s="133">
        <f t="shared" si="60"/>
        <v>0</v>
      </c>
      <c r="S150" s="133">
        <f t="shared" si="60"/>
        <v>0</v>
      </c>
      <c r="T150" s="133">
        <f t="shared" si="60"/>
        <v>0</v>
      </c>
      <c r="U150" s="133">
        <f t="shared" si="49"/>
        <v>0</v>
      </c>
      <c r="W150" s="308">
        <f t="shared" si="50"/>
        <v>0</v>
      </c>
      <c r="X150" s="308">
        <f t="shared" si="33"/>
        <v>33.968790907745365</v>
      </c>
      <c r="Y150" s="308">
        <f t="shared" si="34"/>
        <v>33.866010904998781</v>
      </c>
      <c r="Z150" s="308">
        <f t="shared" si="35"/>
        <v>0</v>
      </c>
      <c r="AA150" s="308">
        <f t="shared" si="36"/>
        <v>0</v>
      </c>
      <c r="AB150" s="308">
        <f t="shared" si="37"/>
        <v>0</v>
      </c>
      <c r="AC150" s="308">
        <f t="shared" si="38"/>
        <v>0</v>
      </c>
      <c r="AD150" s="308">
        <f t="shared" si="39"/>
        <v>0</v>
      </c>
      <c r="AE150" s="308">
        <f t="shared" si="40"/>
        <v>0</v>
      </c>
      <c r="AF150" s="308">
        <f t="shared" si="41"/>
        <v>0</v>
      </c>
      <c r="AG150" s="308">
        <f t="shared" si="42"/>
        <v>0</v>
      </c>
      <c r="AH150" s="308">
        <f t="shared" si="43"/>
        <v>36.312745970382693</v>
      </c>
      <c r="AI150" s="308">
        <f t="shared" si="44"/>
        <v>34.745350928497317</v>
      </c>
      <c r="AJ150" s="308">
        <f t="shared" si="45"/>
        <v>0</v>
      </c>
      <c r="AK150" s="308">
        <f t="shared" si="46"/>
        <v>0</v>
      </c>
      <c r="AL150" s="308">
        <f t="shared" si="47"/>
        <v>0</v>
      </c>
      <c r="AN150" s="327">
        <f t="shared" si="51"/>
        <v>34.723224677906039</v>
      </c>
      <c r="AO150" s="331">
        <f t="shared" si="52"/>
        <v>28.550000762939455</v>
      </c>
    </row>
    <row r="151" spans="2:41">
      <c r="B151" s="102">
        <f t="shared" si="48"/>
        <v>4</v>
      </c>
      <c r="C151" s="113">
        <f>PJM_01212000!A135</f>
        <v>39539</v>
      </c>
      <c r="D151" s="315">
        <f>PJM_01212000!C135</f>
        <v>28.325000762939453</v>
      </c>
      <c r="E151" s="133">
        <f t="shared" si="58"/>
        <v>1.1232726508202047</v>
      </c>
      <c r="F151" s="133">
        <f t="shared" si="60"/>
        <v>1.1413154461256174</v>
      </c>
      <c r="G151" s="133">
        <f t="shared" si="60"/>
        <v>0</v>
      </c>
      <c r="H151" s="133">
        <f t="shared" si="60"/>
        <v>0</v>
      </c>
      <c r="I151" s="133">
        <f t="shared" si="60"/>
        <v>1.1185245467924647</v>
      </c>
      <c r="J151" s="133">
        <f t="shared" si="60"/>
        <v>0</v>
      </c>
      <c r="K151" s="133">
        <f t="shared" si="60"/>
        <v>0</v>
      </c>
      <c r="L151" s="133">
        <f t="shared" si="60"/>
        <v>0</v>
      </c>
      <c r="M151" s="133">
        <f t="shared" si="60"/>
        <v>0</v>
      </c>
      <c r="N151" s="133">
        <f t="shared" si="60"/>
        <v>0</v>
      </c>
      <c r="O151" s="133">
        <f t="shared" si="60"/>
        <v>0</v>
      </c>
      <c r="P151" s="133">
        <f t="shared" si="60"/>
        <v>0</v>
      </c>
      <c r="Q151" s="133">
        <f t="shared" si="60"/>
        <v>0</v>
      </c>
      <c r="R151" s="133">
        <f t="shared" si="60"/>
        <v>1.1543365178491491</v>
      </c>
      <c r="S151" s="133">
        <f t="shared" si="60"/>
        <v>0</v>
      </c>
      <c r="T151" s="133">
        <f t="shared" si="60"/>
        <v>0</v>
      </c>
      <c r="U151" s="133">
        <f t="shared" si="49"/>
        <v>0</v>
      </c>
      <c r="W151" s="308">
        <f t="shared" si="50"/>
        <v>31.81669869147132</v>
      </c>
      <c r="X151" s="308">
        <f t="shared" ref="X151:X214" si="61">$D151*F151</f>
        <v>32.327760882262695</v>
      </c>
      <c r="Y151" s="308">
        <f t="shared" ref="Y151:Y214" si="62">$D151*G151</f>
        <v>0</v>
      </c>
      <c r="Z151" s="308">
        <f t="shared" ref="Z151:Z214" si="63">$D151*H151</f>
        <v>0</v>
      </c>
      <c r="AA151" s="308">
        <f t="shared" ref="AA151:AA214" si="64">$D151*I151</f>
        <v>31.68220864126307</v>
      </c>
      <c r="AB151" s="308">
        <f t="shared" ref="AB151:AB214" si="65">$D151*J151</f>
        <v>0</v>
      </c>
      <c r="AC151" s="308">
        <f t="shared" ref="AC151:AC214" si="66">$D151*K151</f>
        <v>0</v>
      </c>
      <c r="AD151" s="308">
        <f t="shared" ref="AD151:AD214" si="67">$D151*L151</f>
        <v>0</v>
      </c>
      <c r="AE151" s="308">
        <f t="shared" ref="AE151:AE214" si="68">$D151*M151</f>
        <v>0</v>
      </c>
      <c r="AF151" s="308">
        <f t="shared" ref="AF151:AF214" si="69">$D151*N151</f>
        <v>0</v>
      </c>
      <c r="AG151" s="308">
        <f t="shared" ref="AG151:AG214" si="70">$D151*O151</f>
        <v>0</v>
      </c>
      <c r="AH151" s="308">
        <f t="shared" ref="AH151:AH214" si="71">$D151*P151</f>
        <v>0</v>
      </c>
      <c r="AI151" s="308">
        <f t="shared" ref="AI151:AI214" si="72">$D151*Q151</f>
        <v>0</v>
      </c>
      <c r="AJ151" s="308">
        <f t="shared" ref="AJ151:AJ214" si="73">$D151*R151</f>
        <v>32.696582748766019</v>
      </c>
      <c r="AK151" s="308">
        <f t="shared" ref="AK151:AK214" si="74">$D151*S151</f>
        <v>0</v>
      </c>
      <c r="AL151" s="308">
        <f t="shared" ref="AL151:AL214" si="75">$D151*T151</f>
        <v>0</v>
      </c>
      <c r="AN151" s="327">
        <f t="shared" si="51"/>
        <v>32.130812740940776</v>
      </c>
      <c r="AO151" s="331">
        <f t="shared" si="52"/>
        <v>28.325000762939453</v>
      </c>
    </row>
    <row r="152" spans="2:41">
      <c r="B152" s="102">
        <f t="shared" ref="B152:B215" si="76">MONTH(C152)</f>
        <v>5</v>
      </c>
      <c r="C152" s="113">
        <f>PJM_01212000!A136</f>
        <v>39569</v>
      </c>
      <c r="D152" s="315">
        <f>PJM_01212000!C136</f>
        <v>34.825000000000003</v>
      </c>
      <c r="E152" s="133">
        <f t="shared" si="58"/>
        <v>0</v>
      </c>
      <c r="F152" s="133">
        <f t="shared" si="60"/>
        <v>0</v>
      </c>
      <c r="G152" s="133">
        <f t="shared" si="60"/>
        <v>1.0610266218026732</v>
      </c>
      <c r="H152" s="133">
        <f t="shared" si="60"/>
        <v>1.1254998619307197</v>
      </c>
      <c r="I152" s="133">
        <f t="shared" si="60"/>
        <v>1.1169907033351396</v>
      </c>
      <c r="J152" s="133">
        <f t="shared" si="60"/>
        <v>0</v>
      </c>
      <c r="K152" s="133">
        <f t="shared" si="60"/>
        <v>0</v>
      </c>
      <c r="L152" s="133">
        <f t="shared" si="60"/>
        <v>0</v>
      </c>
      <c r="M152" s="133">
        <f t="shared" si="60"/>
        <v>0</v>
      </c>
      <c r="N152" s="133">
        <f t="shared" si="60"/>
        <v>0</v>
      </c>
      <c r="O152" s="133">
        <f t="shared" si="60"/>
        <v>0</v>
      </c>
      <c r="P152" s="133">
        <f t="shared" si="60"/>
        <v>0</v>
      </c>
      <c r="Q152" s="133">
        <f t="shared" si="60"/>
        <v>0</v>
      </c>
      <c r="R152" s="133">
        <f t="shared" si="60"/>
        <v>1.0876995612465097</v>
      </c>
      <c r="S152" s="133">
        <f t="shared" si="60"/>
        <v>0</v>
      </c>
      <c r="T152" s="133">
        <f t="shared" si="60"/>
        <v>0</v>
      </c>
      <c r="U152" s="133">
        <f t="shared" ref="U152:U215" si="77">VLOOKUP($B152,$C$6:$AB$17,T$22+3)-SUM(E152:T152)</f>
        <v>0</v>
      </c>
      <c r="W152" s="308">
        <f t="shared" ref="W152:W215" si="78">$D152*E152</f>
        <v>0</v>
      </c>
      <c r="X152" s="308">
        <f t="shared" si="61"/>
        <v>0</v>
      </c>
      <c r="Y152" s="308">
        <f t="shared" si="62"/>
        <v>36.950252104278093</v>
      </c>
      <c r="Z152" s="308">
        <f t="shared" si="63"/>
        <v>39.19553269173732</v>
      </c>
      <c r="AA152" s="308">
        <f t="shared" si="64"/>
        <v>38.899201243646239</v>
      </c>
      <c r="AB152" s="308">
        <f t="shared" si="65"/>
        <v>0</v>
      </c>
      <c r="AC152" s="308">
        <f t="shared" si="66"/>
        <v>0</v>
      </c>
      <c r="AD152" s="308">
        <f t="shared" si="67"/>
        <v>0</v>
      </c>
      <c r="AE152" s="308">
        <f t="shared" si="68"/>
        <v>0</v>
      </c>
      <c r="AF152" s="308">
        <f t="shared" si="69"/>
        <v>0</v>
      </c>
      <c r="AG152" s="308">
        <f t="shared" si="70"/>
        <v>0</v>
      </c>
      <c r="AH152" s="308">
        <f t="shared" si="71"/>
        <v>0</v>
      </c>
      <c r="AI152" s="308">
        <f t="shared" si="72"/>
        <v>0</v>
      </c>
      <c r="AJ152" s="308">
        <f t="shared" si="73"/>
        <v>37.879137220409703</v>
      </c>
      <c r="AK152" s="308">
        <f t="shared" si="74"/>
        <v>0</v>
      </c>
      <c r="AL152" s="308">
        <f t="shared" si="75"/>
        <v>0</v>
      </c>
      <c r="AN152" s="327">
        <f t="shared" ref="AN152:AN215" si="79">SUM(W152:AL152)/4</f>
        <v>38.231030815017846</v>
      </c>
      <c r="AO152" s="331">
        <f t="shared" ref="AO152:AO215" si="80">D152</f>
        <v>34.825000000000003</v>
      </c>
    </row>
    <row r="153" spans="2:41">
      <c r="B153" s="102">
        <f t="shared" si="76"/>
        <v>6</v>
      </c>
      <c r="C153" s="113">
        <f>PJM_01212000!A137</f>
        <v>39600</v>
      </c>
      <c r="D153" s="315">
        <f>PJM_01212000!C137</f>
        <v>59.849998474121094</v>
      </c>
      <c r="E153" s="133">
        <f t="shared" si="58"/>
        <v>0</v>
      </c>
      <c r="F153" s="133">
        <f t="shared" si="60"/>
        <v>0</v>
      </c>
      <c r="G153" s="133">
        <f t="shared" si="60"/>
        <v>0</v>
      </c>
      <c r="H153" s="133">
        <f t="shared" si="60"/>
        <v>0</v>
      </c>
      <c r="I153" s="133">
        <f t="shared" si="60"/>
        <v>0</v>
      </c>
      <c r="J153" s="133">
        <f t="shared" si="60"/>
        <v>0</v>
      </c>
      <c r="K153" s="133">
        <f t="shared" si="60"/>
        <v>1.2209201862181771</v>
      </c>
      <c r="L153" s="133">
        <f t="shared" si="60"/>
        <v>1.2303149771421382</v>
      </c>
      <c r="M153" s="133">
        <f t="shared" si="60"/>
        <v>1.2323281466258438</v>
      </c>
      <c r="N153" s="133">
        <f t="shared" si="60"/>
        <v>1.2523256301639896</v>
      </c>
      <c r="O153" s="133">
        <f t="shared" si="60"/>
        <v>0</v>
      </c>
      <c r="P153" s="133">
        <f t="shared" si="60"/>
        <v>0</v>
      </c>
      <c r="Q153" s="133">
        <f t="shared" si="60"/>
        <v>0</v>
      </c>
      <c r="R153" s="133">
        <f t="shared" si="60"/>
        <v>0</v>
      </c>
      <c r="S153" s="133">
        <f t="shared" si="60"/>
        <v>0</v>
      </c>
      <c r="T153" s="133">
        <f t="shared" si="60"/>
        <v>0</v>
      </c>
      <c r="U153" s="133">
        <f t="shared" si="77"/>
        <v>0</v>
      </c>
      <c r="W153" s="308">
        <f t="shared" si="78"/>
        <v>0</v>
      </c>
      <c r="X153" s="308">
        <f t="shared" si="61"/>
        <v>0</v>
      </c>
      <c r="Y153" s="308">
        <f t="shared" si="62"/>
        <v>0</v>
      </c>
      <c r="Z153" s="308">
        <f t="shared" si="63"/>
        <v>0</v>
      </c>
      <c r="AA153" s="308">
        <f t="shared" si="64"/>
        <v>0</v>
      </c>
      <c r="AB153" s="308">
        <f t="shared" si="65"/>
        <v>0</v>
      </c>
      <c r="AC153" s="308">
        <f t="shared" si="66"/>
        <v>73.07207128218154</v>
      </c>
      <c r="AD153" s="308">
        <f t="shared" si="67"/>
        <v>73.6343495046453</v>
      </c>
      <c r="AE153" s="308">
        <f t="shared" si="68"/>
        <v>73.754837695173222</v>
      </c>
      <c r="AF153" s="308">
        <f t="shared" si="69"/>
        <v>74.951687054417519</v>
      </c>
      <c r="AG153" s="308">
        <f t="shared" si="70"/>
        <v>0</v>
      </c>
      <c r="AH153" s="308">
        <f t="shared" si="71"/>
        <v>0</v>
      </c>
      <c r="AI153" s="308">
        <f t="shared" si="72"/>
        <v>0</v>
      </c>
      <c r="AJ153" s="308">
        <f t="shared" si="73"/>
        <v>0</v>
      </c>
      <c r="AK153" s="308">
        <f t="shared" si="74"/>
        <v>0</v>
      </c>
      <c r="AL153" s="308">
        <f t="shared" si="75"/>
        <v>0</v>
      </c>
      <c r="AN153" s="327">
        <f t="shared" si="79"/>
        <v>73.853236384104392</v>
      </c>
      <c r="AO153" s="331">
        <f t="shared" si="80"/>
        <v>59.849998474121094</v>
      </c>
    </row>
    <row r="154" spans="2:41">
      <c r="B154" s="102">
        <f t="shared" si="76"/>
        <v>7</v>
      </c>
      <c r="C154" s="113">
        <f>PJM_01212000!A138</f>
        <v>39630</v>
      </c>
      <c r="D154" s="315">
        <f>PJM_01212000!C138</f>
        <v>102.44999694824219</v>
      </c>
      <c r="E154" s="133">
        <f t="shared" si="58"/>
        <v>0</v>
      </c>
      <c r="F154" s="133">
        <f t="shared" si="60"/>
        <v>0</v>
      </c>
      <c r="G154" s="133">
        <f t="shared" si="60"/>
        <v>0</v>
      </c>
      <c r="H154" s="133">
        <f t="shared" si="60"/>
        <v>0</v>
      </c>
      <c r="I154" s="133">
        <f t="shared" si="60"/>
        <v>0</v>
      </c>
      <c r="J154" s="133">
        <f t="shared" si="60"/>
        <v>0</v>
      </c>
      <c r="K154" s="133">
        <f t="shared" si="60"/>
        <v>0</v>
      </c>
      <c r="L154" s="133">
        <f t="shared" si="60"/>
        <v>1.2506946851612968</v>
      </c>
      <c r="M154" s="133">
        <f t="shared" si="60"/>
        <v>1.3273401940004199</v>
      </c>
      <c r="N154" s="133">
        <f t="shared" si="60"/>
        <v>1.3538888162792144</v>
      </c>
      <c r="O154" s="133">
        <f t="shared" si="60"/>
        <v>1.3203393586734773</v>
      </c>
      <c r="P154" s="133">
        <f t="shared" si="60"/>
        <v>0</v>
      </c>
      <c r="Q154" s="133">
        <f t="shared" si="60"/>
        <v>0</v>
      </c>
      <c r="R154" s="133">
        <f t="shared" si="60"/>
        <v>0</v>
      </c>
      <c r="S154" s="133">
        <f t="shared" si="60"/>
        <v>0</v>
      </c>
      <c r="T154" s="133">
        <f t="shared" si="60"/>
        <v>0</v>
      </c>
      <c r="U154" s="133">
        <f t="shared" si="77"/>
        <v>0</v>
      </c>
      <c r="W154" s="308">
        <f t="shared" si="78"/>
        <v>0</v>
      </c>
      <c r="X154" s="308">
        <f t="shared" si="61"/>
        <v>0</v>
      </c>
      <c r="Y154" s="308">
        <f t="shared" si="62"/>
        <v>0</v>
      </c>
      <c r="Z154" s="308">
        <f t="shared" si="63"/>
        <v>0</v>
      </c>
      <c r="AA154" s="308">
        <f t="shared" si="64"/>
        <v>0</v>
      </c>
      <c r="AB154" s="308">
        <f t="shared" si="65"/>
        <v>0</v>
      </c>
      <c r="AC154" s="308">
        <f t="shared" si="66"/>
        <v>0</v>
      </c>
      <c r="AD154" s="308">
        <f t="shared" si="67"/>
        <v>128.13366667795759</v>
      </c>
      <c r="AE154" s="308">
        <f t="shared" si="68"/>
        <v>135.98599882462221</v>
      </c>
      <c r="AF154" s="308">
        <f t="shared" si="69"/>
        <v>138.70590509606475</v>
      </c>
      <c r="AG154" s="308">
        <f t="shared" si="70"/>
        <v>135.26876326674179</v>
      </c>
      <c r="AH154" s="308">
        <f t="shared" si="71"/>
        <v>0</v>
      </c>
      <c r="AI154" s="308">
        <f t="shared" si="72"/>
        <v>0</v>
      </c>
      <c r="AJ154" s="308">
        <f t="shared" si="73"/>
        <v>0</v>
      </c>
      <c r="AK154" s="308">
        <f t="shared" si="74"/>
        <v>0</v>
      </c>
      <c r="AL154" s="308">
        <f t="shared" si="75"/>
        <v>0</v>
      </c>
      <c r="AN154" s="327">
        <f t="shared" si="79"/>
        <v>134.52358346634657</v>
      </c>
      <c r="AO154" s="331">
        <f t="shared" si="80"/>
        <v>102.44999694824219</v>
      </c>
    </row>
    <row r="155" spans="2:41">
      <c r="B155" s="102">
        <f t="shared" si="76"/>
        <v>8</v>
      </c>
      <c r="C155" s="113">
        <f>PJM_01212000!A139</f>
        <v>39661</v>
      </c>
      <c r="D155" s="315">
        <f>PJM_01212000!C139</f>
        <v>89.449996948242188</v>
      </c>
      <c r="E155" s="133">
        <f t="shared" si="58"/>
        <v>0</v>
      </c>
      <c r="F155" s="133">
        <f t="shared" si="60"/>
        <v>0</v>
      </c>
      <c r="G155" s="133">
        <f t="shared" si="60"/>
        <v>0</v>
      </c>
      <c r="H155" s="133">
        <f t="shared" si="60"/>
        <v>0</v>
      </c>
      <c r="I155" s="133">
        <f t="shared" si="60"/>
        <v>0</v>
      </c>
      <c r="J155" s="133">
        <f t="shared" si="60"/>
        <v>0</v>
      </c>
      <c r="K155" s="133">
        <f t="shared" si="60"/>
        <v>1.1907290919069531</v>
      </c>
      <c r="L155" s="133">
        <f t="shared" si="60"/>
        <v>1.26057331025457</v>
      </c>
      <c r="M155" s="133">
        <f t="shared" si="60"/>
        <v>1.2430109342677418</v>
      </c>
      <c r="N155" s="133">
        <f t="shared" si="60"/>
        <v>1.2150462278887151</v>
      </c>
      <c r="O155" s="133">
        <f t="shared" si="60"/>
        <v>0</v>
      </c>
      <c r="P155" s="133">
        <f t="shared" si="60"/>
        <v>0</v>
      </c>
      <c r="Q155" s="133">
        <f t="shared" si="60"/>
        <v>0</v>
      </c>
      <c r="R155" s="133">
        <f t="shared" si="60"/>
        <v>0</v>
      </c>
      <c r="S155" s="133">
        <f t="shared" si="60"/>
        <v>0</v>
      </c>
      <c r="T155" s="133">
        <f t="shared" si="60"/>
        <v>0</v>
      </c>
      <c r="U155" s="133">
        <f t="shared" si="77"/>
        <v>0</v>
      </c>
      <c r="W155" s="308">
        <f t="shared" si="78"/>
        <v>0</v>
      </c>
      <c r="X155" s="308">
        <f t="shared" si="61"/>
        <v>0</v>
      </c>
      <c r="Y155" s="308">
        <f t="shared" si="62"/>
        <v>0</v>
      </c>
      <c r="Z155" s="308">
        <f t="shared" si="63"/>
        <v>0</v>
      </c>
      <c r="AA155" s="308">
        <f t="shared" si="64"/>
        <v>0</v>
      </c>
      <c r="AB155" s="308">
        <f t="shared" si="65"/>
        <v>0</v>
      </c>
      <c r="AC155" s="308">
        <f t="shared" si="66"/>
        <v>106.51071363726014</v>
      </c>
      <c r="AD155" s="308">
        <f t="shared" si="67"/>
        <v>112.75827875530683</v>
      </c>
      <c r="AE155" s="308">
        <f t="shared" si="68"/>
        <v>111.18732427688117</v>
      </c>
      <c r="AF155" s="308">
        <f t="shared" si="69"/>
        <v>108.68588137661875</v>
      </c>
      <c r="AG155" s="308">
        <f t="shared" si="70"/>
        <v>0</v>
      </c>
      <c r="AH155" s="308">
        <f t="shared" si="71"/>
        <v>0</v>
      </c>
      <c r="AI155" s="308">
        <f t="shared" si="72"/>
        <v>0</v>
      </c>
      <c r="AJ155" s="308">
        <f t="shared" si="73"/>
        <v>0</v>
      </c>
      <c r="AK155" s="308">
        <f t="shared" si="74"/>
        <v>0</v>
      </c>
      <c r="AL155" s="308">
        <f t="shared" si="75"/>
        <v>0</v>
      </c>
      <c r="AN155" s="327">
        <f t="shared" si="79"/>
        <v>109.78554951151672</v>
      </c>
      <c r="AO155" s="331">
        <f t="shared" si="80"/>
        <v>89.449996948242188</v>
      </c>
    </row>
    <row r="156" spans="2:41">
      <c r="B156" s="102">
        <f t="shared" si="76"/>
        <v>9</v>
      </c>
      <c r="C156" s="113">
        <f>PJM_01212000!A140</f>
        <v>39692</v>
      </c>
      <c r="D156" s="315">
        <f>PJM_01212000!C140</f>
        <v>35.424998474121097</v>
      </c>
      <c r="E156" s="133">
        <f t="shared" si="58"/>
        <v>0</v>
      </c>
      <c r="F156" s="133">
        <f t="shared" si="60"/>
        <v>0</v>
      </c>
      <c r="G156" s="133">
        <f t="shared" si="60"/>
        <v>0</v>
      </c>
      <c r="H156" s="133">
        <f t="shared" si="60"/>
        <v>0</v>
      </c>
      <c r="I156" s="133">
        <f t="shared" si="60"/>
        <v>0</v>
      </c>
      <c r="J156" s="133">
        <f t="shared" si="60"/>
        <v>0</v>
      </c>
      <c r="K156" s="133">
        <f t="shared" si="60"/>
        <v>0</v>
      </c>
      <c r="L156" s="133">
        <f t="shared" si="60"/>
        <v>0</v>
      </c>
      <c r="M156" s="133">
        <f t="shared" si="60"/>
        <v>0</v>
      </c>
      <c r="N156" s="133">
        <f t="shared" si="60"/>
        <v>1.1345284089868721</v>
      </c>
      <c r="O156" s="133">
        <f t="shared" si="60"/>
        <v>1.1066962078625975</v>
      </c>
      <c r="P156" s="133">
        <f t="shared" si="60"/>
        <v>0</v>
      </c>
      <c r="Q156" s="133">
        <f t="shared" si="60"/>
        <v>1.184626371010566</v>
      </c>
      <c r="R156" s="133">
        <f t="shared" si="60"/>
        <v>1.1944408840385996</v>
      </c>
      <c r="S156" s="133">
        <f t="shared" si="60"/>
        <v>0</v>
      </c>
      <c r="T156" s="133">
        <f t="shared" si="60"/>
        <v>0</v>
      </c>
      <c r="U156" s="133">
        <f t="shared" si="77"/>
        <v>0</v>
      </c>
      <c r="W156" s="308">
        <f t="shared" si="78"/>
        <v>0</v>
      </c>
      <c r="X156" s="308">
        <f t="shared" si="61"/>
        <v>0</v>
      </c>
      <c r="Y156" s="308">
        <f t="shared" si="62"/>
        <v>0</v>
      </c>
      <c r="Z156" s="308">
        <f t="shared" si="63"/>
        <v>0</v>
      </c>
      <c r="AA156" s="308">
        <f t="shared" si="64"/>
        <v>0</v>
      </c>
      <c r="AB156" s="308">
        <f t="shared" si="65"/>
        <v>0</v>
      </c>
      <c r="AC156" s="308">
        <f t="shared" si="66"/>
        <v>0</v>
      </c>
      <c r="AD156" s="308">
        <f t="shared" si="67"/>
        <v>0</v>
      </c>
      <c r="AE156" s="308">
        <f t="shared" si="68"/>
        <v>0</v>
      </c>
      <c r="AF156" s="308">
        <f t="shared" si="69"/>
        <v>40.190667157206981</v>
      </c>
      <c r="AG156" s="308">
        <f t="shared" si="70"/>
        <v>39.204711474848118</v>
      </c>
      <c r="AH156" s="308">
        <f t="shared" si="71"/>
        <v>0</v>
      </c>
      <c r="AI156" s="308">
        <f t="shared" si="72"/>
        <v>41.965387385452914</v>
      </c>
      <c r="AJ156" s="308">
        <f t="shared" si="73"/>
        <v>42.313066494495246</v>
      </c>
      <c r="AK156" s="308">
        <f t="shared" si="74"/>
        <v>0</v>
      </c>
      <c r="AL156" s="308">
        <f t="shared" si="75"/>
        <v>0</v>
      </c>
      <c r="AN156" s="327">
        <f t="shared" si="79"/>
        <v>40.918458128000815</v>
      </c>
      <c r="AO156" s="331">
        <f t="shared" si="80"/>
        <v>35.424998474121097</v>
      </c>
    </row>
    <row r="157" spans="2:41">
      <c r="B157" s="102">
        <f t="shared" si="76"/>
        <v>10</v>
      </c>
      <c r="C157" s="113">
        <f>PJM_01212000!A141</f>
        <v>39722</v>
      </c>
      <c r="D157" s="315">
        <f>PJM_01212000!C141</f>
        <v>29.075000381469728</v>
      </c>
      <c r="E157" s="133">
        <f t="shared" si="58"/>
        <v>0</v>
      </c>
      <c r="F157" s="133">
        <f t="shared" si="60"/>
        <v>1.1326000000000001</v>
      </c>
      <c r="G157" s="133">
        <f t="shared" si="60"/>
        <v>0</v>
      </c>
      <c r="H157" s="133">
        <f t="shared" si="60"/>
        <v>0</v>
      </c>
      <c r="I157" s="133">
        <f t="shared" si="60"/>
        <v>0</v>
      </c>
      <c r="J157" s="133">
        <f t="shared" si="60"/>
        <v>0</v>
      </c>
      <c r="K157" s="133">
        <f t="shared" si="60"/>
        <v>0</v>
      </c>
      <c r="L157" s="133">
        <f t="shared" si="60"/>
        <v>0</v>
      </c>
      <c r="M157" s="133">
        <f t="shared" si="60"/>
        <v>0</v>
      </c>
      <c r="N157" s="133">
        <f t="shared" si="60"/>
        <v>0</v>
      </c>
      <c r="O157" s="133">
        <f t="shared" si="60"/>
        <v>1.2000999999999999</v>
      </c>
      <c r="P157" s="133">
        <f t="shared" si="60"/>
        <v>1.2095</v>
      </c>
      <c r="Q157" s="133">
        <f t="shared" si="60"/>
        <v>1.1567000000000001</v>
      </c>
      <c r="R157" s="133">
        <f t="shared" si="60"/>
        <v>0</v>
      </c>
      <c r="S157" s="133">
        <f t="shared" si="60"/>
        <v>0</v>
      </c>
      <c r="T157" s="133">
        <f t="shared" si="60"/>
        <v>0</v>
      </c>
      <c r="U157" s="133">
        <f t="shared" si="77"/>
        <v>0</v>
      </c>
      <c r="W157" s="308">
        <f t="shared" si="78"/>
        <v>0</v>
      </c>
      <c r="X157" s="308">
        <f t="shared" si="61"/>
        <v>32.930345432052619</v>
      </c>
      <c r="Y157" s="308">
        <f t="shared" si="62"/>
        <v>0</v>
      </c>
      <c r="Z157" s="308">
        <f t="shared" si="63"/>
        <v>0</v>
      </c>
      <c r="AA157" s="308">
        <f t="shared" si="64"/>
        <v>0</v>
      </c>
      <c r="AB157" s="308">
        <f t="shared" si="65"/>
        <v>0</v>
      </c>
      <c r="AC157" s="308">
        <f t="shared" si="66"/>
        <v>0</v>
      </c>
      <c r="AD157" s="308">
        <f t="shared" si="67"/>
        <v>0</v>
      </c>
      <c r="AE157" s="308">
        <f t="shared" si="68"/>
        <v>0</v>
      </c>
      <c r="AF157" s="308">
        <f t="shared" si="69"/>
        <v>0</v>
      </c>
      <c r="AG157" s="308">
        <f t="shared" si="70"/>
        <v>34.892907957801818</v>
      </c>
      <c r="AH157" s="308">
        <f t="shared" si="71"/>
        <v>35.166212961387636</v>
      </c>
      <c r="AI157" s="308">
        <f t="shared" si="72"/>
        <v>33.631052941246033</v>
      </c>
      <c r="AJ157" s="308">
        <f t="shared" si="73"/>
        <v>0</v>
      </c>
      <c r="AK157" s="308">
        <f t="shared" si="74"/>
        <v>0</v>
      </c>
      <c r="AL157" s="308">
        <f t="shared" si="75"/>
        <v>0</v>
      </c>
      <c r="AN157" s="327">
        <f t="shared" si="79"/>
        <v>34.155129823122024</v>
      </c>
      <c r="AO157" s="331">
        <f t="shared" si="80"/>
        <v>29.075000381469728</v>
      </c>
    </row>
    <row r="158" spans="2:41">
      <c r="B158" s="102">
        <f t="shared" si="76"/>
        <v>11</v>
      </c>
      <c r="C158" s="113">
        <f>PJM_01212000!A142</f>
        <v>39753</v>
      </c>
      <c r="D158" s="315">
        <f>PJM_01212000!C142</f>
        <v>28.747499084472658</v>
      </c>
      <c r="E158" s="133">
        <f t="shared" si="58"/>
        <v>0</v>
      </c>
      <c r="F158" s="133">
        <f t="shared" si="60"/>
        <v>1.1426000000000001</v>
      </c>
      <c r="G158" s="133">
        <f t="shared" si="60"/>
        <v>0</v>
      </c>
      <c r="H158" s="133">
        <f t="shared" si="60"/>
        <v>0</v>
      </c>
      <c r="I158" s="133">
        <f t="shared" si="60"/>
        <v>0</v>
      </c>
      <c r="J158" s="133">
        <f t="shared" si="60"/>
        <v>0</v>
      </c>
      <c r="K158" s="133">
        <f t="shared" si="60"/>
        <v>0</v>
      </c>
      <c r="L158" s="133">
        <f t="shared" si="60"/>
        <v>0</v>
      </c>
      <c r="M158" s="133">
        <f t="shared" si="60"/>
        <v>0</v>
      </c>
      <c r="N158" s="133">
        <f t="shared" si="60"/>
        <v>0</v>
      </c>
      <c r="O158" s="133">
        <f t="shared" si="60"/>
        <v>1.2171000000000001</v>
      </c>
      <c r="P158" s="133">
        <f t="shared" si="60"/>
        <v>1.2269000000000001</v>
      </c>
      <c r="Q158" s="133">
        <f t="shared" si="60"/>
        <v>1.1767000000000001</v>
      </c>
      <c r="R158" s="133">
        <f t="shared" si="60"/>
        <v>0</v>
      </c>
      <c r="S158" s="133">
        <f t="shared" si="60"/>
        <v>0</v>
      </c>
      <c r="T158" s="133">
        <f t="shared" si="60"/>
        <v>0</v>
      </c>
      <c r="U158" s="133">
        <f t="shared" si="77"/>
        <v>0</v>
      </c>
      <c r="W158" s="308">
        <f t="shared" si="78"/>
        <v>0</v>
      </c>
      <c r="X158" s="308">
        <f t="shared" si="61"/>
        <v>32.846892453918457</v>
      </c>
      <c r="Y158" s="308">
        <f t="shared" si="62"/>
        <v>0</v>
      </c>
      <c r="Z158" s="308">
        <f t="shared" si="63"/>
        <v>0</v>
      </c>
      <c r="AA158" s="308">
        <f t="shared" si="64"/>
        <v>0</v>
      </c>
      <c r="AB158" s="308">
        <f t="shared" si="65"/>
        <v>0</v>
      </c>
      <c r="AC158" s="308">
        <f t="shared" si="66"/>
        <v>0</v>
      </c>
      <c r="AD158" s="308">
        <f t="shared" si="67"/>
        <v>0</v>
      </c>
      <c r="AE158" s="308">
        <f t="shared" si="68"/>
        <v>0</v>
      </c>
      <c r="AF158" s="308">
        <f t="shared" si="69"/>
        <v>0</v>
      </c>
      <c r="AG158" s="308">
        <f t="shared" si="70"/>
        <v>34.988581135711676</v>
      </c>
      <c r="AH158" s="308">
        <f t="shared" si="71"/>
        <v>35.270306626739504</v>
      </c>
      <c r="AI158" s="308">
        <f t="shared" si="72"/>
        <v>33.827182172698976</v>
      </c>
      <c r="AJ158" s="308">
        <f t="shared" si="73"/>
        <v>0</v>
      </c>
      <c r="AK158" s="308">
        <f t="shared" si="74"/>
        <v>0</v>
      </c>
      <c r="AL158" s="308">
        <f t="shared" si="75"/>
        <v>0</v>
      </c>
      <c r="AN158" s="327">
        <f t="shared" si="79"/>
        <v>34.233240597267155</v>
      </c>
      <c r="AO158" s="331">
        <f t="shared" si="80"/>
        <v>28.747499084472658</v>
      </c>
    </row>
    <row r="159" spans="2:41">
      <c r="B159" s="102">
        <f t="shared" si="76"/>
        <v>12</v>
      </c>
      <c r="C159" s="113">
        <f>PJM_01212000!A143</f>
        <v>39783</v>
      </c>
      <c r="D159" s="315">
        <f>PJM_01212000!C143</f>
        <v>30.499999618530275</v>
      </c>
      <c r="E159" s="133">
        <f t="shared" si="58"/>
        <v>0</v>
      </c>
      <c r="F159" s="133">
        <f t="shared" si="60"/>
        <v>1.1637999999999999</v>
      </c>
      <c r="G159" s="133">
        <f t="shared" si="60"/>
        <v>0</v>
      </c>
      <c r="H159" s="133">
        <f t="shared" si="60"/>
        <v>0</v>
      </c>
      <c r="I159" s="133">
        <f t="shared" si="60"/>
        <v>0</v>
      </c>
      <c r="J159" s="133">
        <f t="shared" si="60"/>
        <v>0</v>
      </c>
      <c r="K159" s="133">
        <f t="shared" si="60"/>
        <v>0</v>
      </c>
      <c r="L159" s="133">
        <f t="shared" si="60"/>
        <v>0</v>
      </c>
      <c r="M159" s="133">
        <f t="shared" si="60"/>
        <v>0</v>
      </c>
      <c r="N159" s="133">
        <f t="shared" si="60"/>
        <v>0</v>
      </c>
      <c r="O159" s="133">
        <f t="shared" si="60"/>
        <v>1.2396592528631896</v>
      </c>
      <c r="P159" s="133">
        <f t="shared" si="60"/>
        <v>1.2314000000000001</v>
      </c>
      <c r="Q159" s="133">
        <f t="shared" si="60"/>
        <v>1.1889963083145296</v>
      </c>
      <c r="R159" s="133">
        <f t="shared" si="60"/>
        <v>0</v>
      </c>
      <c r="S159" s="133">
        <f t="shared" si="60"/>
        <v>0</v>
      </c>
      <c r="T159" s="133">
        <f t="shared" si="60"/>
        <v>0</v>
      </c>
      <c r="U159" s="133">
        <f t="shared" si="77"/>
        <v>0</v>
      </c>
      <c r="W159" s="308">
        <f t="shared" si="78"/>
        <v>0</v>
      </c>
      <c r="X159" s="308">
        <f t="shared" si="61"/>
        <v>35.495899556045529</v>
      </c>
      <c r="Y159" s="308">
        <f t="shared" si="62"/>
        <v>0</v>
      </c>
      <c r="Z159" s="308">
        <f t="shared" si="63"/>
        <v>0</v>
      </c>
      <c r="AA159" s="308">
        <f t="shared" si="64"/>
        <v>0</v>
      </c>
      <c r="AB159" s="308">
        <f t="shared" si="65"/>
        <v>0</v>
      </c>
      <c r="AC159" s="308">
        <f t="shared" si="66"/>
        <v>0</v>
      </c>
      <c r="AD159" s="308">
        <f t="shared" si="67"/>
        <v>0</v>
      </c>
      <c r="AE159" s="308">
        <f t="shared" si="68"/>
        <v>0</v>
      </c>
      <c r="AF159" s="308">
        <f t="shared" si="69"/>
        <v>0</v>
      </c>
      <c r="AG159" s="308">
        <f t="shared" si="70"/>
        <v>37.809606739434805</v>
      </c>
      <c r="AH159" s="308">
        <f t="shared" si="71"/>
        <v>37.557699530258184</v>
      </c>
      <c r="AI159" s="308">
        <f t="shared" si="72"/>
        <v>36.26438695002706</v>
      </c>
      <c r="AJ159" s="308">
        <f t="shared" si="73"/>
        <v>0</v>
      </c>
      <c r="AK159" s="308">
        <f t="shared" si="74"/>
        <v>0</v>
      </c>
      <c r="AL159" s="308">
        <f t="shared" si="75"/>
        <v>0</v>
      </c>
      <c r="AN159" s="327">
        <f t="shared" si="79"/>
        <v>36.781898193941402</v>
      </c>
      <c r="AO159" s="331">
        <f t="shared" si="80"/>
        <v>30.499999618530275</v>
      </c>
    </row>
    <row r="160" spans="2:41">
      <c r="B160" s="102">
        <f t="shared" si="76"/>
        <v>1</v>
      </c>
      <c r="C160" s="113">
        <f>PJM_01212000!A144</f>
        <v>39814</v>
      </c>
      <c r="D160" s="315">
        <f>PJM_01212000!C144</f>
        <v>39.324998474121088</v>
      </c>
      <c r="E160" s="133">
        <f t="shared" si="58"/>
        <v>0</v>
      </c>
      <c r="F160" s="133">
        <f t="shared" ref="F160:T169" si="81">VLOOKUP($B160,$C$6:$Z$17,F$22+1)</f>
        <v>1.1998117566192825</v>
      </c>
      <c r="G160" s="133">
        <f t="shared" si="81"/>
        <v>1.1961600115620716</v>
      </c>
      <c r="H160" s="133">
        <f t="shared" si="81"/>
        <v>0</v>
      </c>
      <c r="I160" s="133">
        <f t="shared" si="81"/>
        <v>0</v>
      </c>
      <c r="J160" s="133">
        <f t="shared" si="81"/>
        <v>0</v>
      </c>
      <c r="K160" s="133">
        <f t="shared" si="81"/>
        <v>0</v>
      </c>
      <c r="L160" s="133">
        <f t="shared" si="81"/>
        <v>0</v>
      </c>
      <c r="M160" s="133">
        <f t="shared" si="81"/>
        <v>0</v>
      </c>
      <c r="N160" s="133">
        <f t="shared" si="81"/>
        <v>0</v>
      </c>
      <c r="O160" s="133">
        <f t="shared" si="81"/>
        <v>0</v>
      </c>
      <c r="P160" s="133">
        <f t="shared" si="81"/>
        <v>1.2818992289435116</v>
      </c>
      <c r="Q160" s="133">
        <f t="shared" si="81"/>
        <v>1.2270000000000001</v>
      </c>
      <c r="R160" s="133">
        <f t="shared" si="81"/>
        <v>0</v>
      </c>
      <c r="S160" s="133">
        <f t="shared" si="81"/>
        <v>0</v>
      </c>
      <c r="T160" s="133">
        <f t="shared" si="81"/>
        <v>0</v>
      </c>
      <c r="U160" s="133">
        <f t="shared" si="77"/>
        <v>0</v>
      </c>
      <c r="W160" s="308">
        <f t="shared" si="78"/>
        <v>0</v>
      </c>
      <c r="X160" s="308">
        <f t="shared" si="61"/>
        <v>47.182595498285828</v>
      </c>
      <c r="Y160" s="308">
        <f t="shared" si="62"/>
        <v>47.038990629483131</v>
      </c>
      <c r="Z160" s="308">
        <f t="shared" si="63"/>
        <v>0</v>
      </c>
      <c r="AA160" s="308">
        <f t="shared" si="64"/>
        <v>0</v>
      </c>
      <c r="AB160" s="308">
        <f t="shared" si="65"/>
        <v>0</v>
      </c>
      <c r="AC160" s="308">
        <f t="shared" si="66"/>
        <v>0</v>
      </c>
      <c r="AD160" s="308">
        <f t="shared" si="67"/>
        <v>0</v>
      </c>
      <c r="AE160" s="308">
        <f t="shared" si="68"/>
        <v>0</v>
      </c>
      <c r="AF160" s="308">
        <f t="shared" si="69"/>
        <v>0</v>
      </c>
      <c r="AG160" s="308">
        <f t="shared" si="70"/>
        <v>0</v>
      </c>
      <c r="AH160" s="308">
        <f t="shared" si="71"/>
        <v>50.410685222180597</v>
      </c>
      <c r="AI160" s="308">
        <f t="shared" si="72"/>
        <v>48.251773127746581</v>
      </c>
      <c r="AJ160" s="308">
        <f t="shared" si="73"/>
        <v>0</v>
      </c>
      <c r="AK160" s="308">
        <f t="shared" si="74"/>
        <v>0</v>
      </c>
      <c r="AL160" s="308">
        <f t="shared" si="75"/>
        <v>0</v>
      </c>
      <c r="AN160" s="327">
        <f t="shared" si="79"/>
        <v>48.221011119424034</v>
      </c>
      <c r="AO160" s="331">
        <f t="shared" si="80"/>
        <v>39.324998474121088</v>
      </c>
    </row>
    <row r="161" spans="2:41">
      <c r="B161" s="102">
        <f t="shared" si="76"/>
        <v>2</v>
      </c>
      <c r="C161" s="113">
        <f>PJM_01212000!A145</f>
        <v>39845</v>
      </c>
      <c r="D161" s="315">
        <f>PJM_01212000!C145</f>
        <v>39.324998474121088</v>
      </c>
      <c r="E161" s="133">
        <f t="shared" si="58"/>
        <v>0</v>
      </c>
      <c r="F161" s="133">
        <f t="shared" si="81"/>
        <v>1.1998117566192825</v>
      </c>
      <c r="G161" s="133">
        <f t="shared" si="81"/>
        <v>1.1961600115620716</v>
      </c>
      <c r="H161" s="133">
        <f t="shared" si="81"/>
        <v>0</v>
      </c>
      <c r="I161" s="133">
        <f t="shared" si="81"/>
        <v>0</v>
      </c>
      <c r="J161" s="133">
        <f t="shared" si="81"/>
        <v>0</v>
      </c>
      <c r="K161" s="133">
        <f t="shared" si="81"/>
        <v>0</v>
      </c>
      <c r="L161" s="133">
        <f t="shared" si="81"/>
        <v>0</v>
      </c>
      <c r="M161" s="133">
        <f t="shared" si="81"/>
        <v>0</v>
      </c>
      <c r="N161" s="133">
        <f t="shared" si="81"/>
        <v>0</v>
      </c>
      <c r="O161" s="133">
        <f t="shared" si="81"/>
        <v>0</v>
      </c>
      <c r="P161" s="133">
        <f t="shared" si="81"/>
        <v>1.2818992289435116</v>
      </c>
      <c r="Q161" s="133">
        <f t="shared" si="81"/>
        <v>1.2270000000000001</v>
      </c>
      <c r="R161" s="133">
        <f t="shared" si="81"/>
        <v>0</v>
      </c>
      <c r="S161" s="133">
        <f t="shared" si="81"/>
        <v>0</v>
      </c>
      <c r="T161" s="133">
        <f t="shared" si="81"/>
        <v>0</v>
      </c>
      <c r="U161" s="133">
        <f t="shared" si="77"/>
        <v>0</v>
      </c>
      <c r="W161" s="308">
        <f t="shared" si="78"/>
        <v>0</v>
      </c>
      <c r="X161" s="308">
        <f t="shared" si="61"/>
        <v>47.182595498285828</v>
      </c>
      <c r="Y161" s="308">
        <f t="shared" si="62"/>
        <v>47.038990629483131</v>
      </c>
      <c r="Z161" s="308">
        <f t="shared" si="63"/>
        <v>0</v>
      </c>
      <c r="AA161" s="308">
        <f t="shared" si="64"/>
        <v>0</v>
      </c>
      <c r="AB161" s="308">
        <f t="shared" si="65"/>
        <v>0</v>
      </c>
      <c r="AC161" s="308">
        <f t="shared" si="66"/>
        <v>0</v>
      </c>
      <c r="AD161" s="308">
        <f t="shared" si="67"/>
        <v>0</v>
      </c>
      <c r="AE161" s="308">
        <f t="shared" si="68"/>
        <v>0</v>
      </c>
      <c r="AF161" s="308">
        <f t="shared" si="69"/>
        <v>0</v>
      </c>
      <c r="AG161" s="308">
        <f t="shared" si="70"/>
        <v>0</v>
      </c>
      <c r="AH161" s="308">
        <f t="shared" si="71"/>
        <v>50.410685222180597</v>
      </c>
      <c r="AI161" s="308">
        <f t="shared" si="72"/>
        <v>48.251773127746581</v>
      </c>
      <c r="AJ161" s="308">
        <f t="shared" si="73"/>
        <v>0</v>
      </c>
      <c r="AK161" s="308">
        <f t="shared" si="74"/>
        <v>0</v>
      </c>
      <c r="AL161" s="308">
        <f t="shared" si="75"/>
        <v>0</v>
      </c>
      <c r="AN161" s="327">
        <f t="shared" si="79"/>
        <v>48.221011119424034</v>
      </c>
      <c r="AO161" s="331">
        <f t="shared" si="80"/>
        <v>39.324998474121088</v>
      </c>
    </row>
    <row r="162" spans="2:41">
      <c r="B162" s="102">
        <f t="shared" si="76"/>
        <v>3</v>
      </c>
      <c r="C162" s="113">
        <f>PJM_01212000!A146</f>
        <v>39873</v>
      </c>
      <c r="D162" s="315">
        <f>PJM_01212000!C146</f>
        <v>29.050000762939455</v>
      </c>
      <c r="E162" s="133">
        <f t="shared" si="58"/>
        <v>0</v>
      </c>
      <c r="F162" s="133">
        <f t="shared" si="81"/>
        <v>1.1898</v>
      </c>
      <c r="G162" s="133">
        <f t="shared" si="81"/>
        <v>1.1861999999999999</v>
      </c>
      <c r="H162" s="133">
        <f t="shared" si="81"/>
        <v>0</v>
      </c>
      <c r="I162" s="133">
        <f t="shared" si="81"/>
        <v>0</v>
      </c>
      <c r="J162" s="133">
        <f t="shared" si="81"/>
        <v>0</v>
      </c>
      <c r="K162" s="133">
        <f t="shared" si="81"/>
        <v>0</v>
      </c>
      <c r="L162" s="133">
        <f t="shared" si="81"/>
        <v>0</v>
      </c>
      <c r="M162" s="133">
        <f t="shared" si="81"/>
        <v>0</v>
      </c>
      <c r="N162" s="133">
        <f t="shared" si="81"/>
        <v>0</v>
      </c>
      <c r="O162" s="133">
        <f t="shared" si="81"/>
        <v>0</v>
      </c>
      <c r="P162" s="133">
        <f t="shared" si="81"/>
        <v>1.2719</v>
      </c>
      <c r="Q162" s="133">
        <f t="shared" si="81"/>
        <v>1.2170000000000001</v>
      </c>
      <c r="R162" s="133">
        <f t="shared" si="81"/>
        <v>0</v>
      </c>
      <c r="S162" s="133">
        <f t="shared" si="81"/>
        <v>0</v>
      </c>
      <c r="T162" s="133">
        <f t="shared" si="81"/>
        <v>0</v>
      </c>
      <c r="U162" s="133">
        <f t="shared" si="77"/>
        <v>0</v>
      </c>
      <c r="W162" s="308">
        <f t="shared" si="78"/>
        <v>0</v>
      </c>
      <c r="X162" s="308">
        <f t="shared" si="61"/>
        <v>34.563690907745361</v>
      </c>
      <c r="Y162" s="308">
        <f t="shared" si="62"/>
        <v>34.459110904998781</v>
      </c>
      <c r="Z162" s="308">
        <f t="shared" si="63"/>
        <v>0</v>
      </c>
      <c r="AA162" s="308">
        <f t="shared" si="64"/>
        <v>0</v>
      </c>
      <c r="AB162" s="308">
        <f t="shared" si="65"/>
        <v>0</v>
      </c>
      <c r="AC162" s="308">
        <f t="shared" si="66"/>
        <v>0</v>
      </c>
      <c r="AD162" s="308">
        <f t="shared" si="67"/>
        <v>0</v>
      </c>
      <c r="AE162" s="308">
        <f t="shared" si="68"/>
        <v>0</v>
      </c>
      <c r="AF162" s="308">
        <f t="shared" si="69"/>
        <v>0</v>
      </c>
      <c r="AG162" s="308">
        <f t="shared" si="70"/>
        <v>0</v>
      </c>
      <c r="AH162" s="308">
        <f t="shared" si="71"/>
        <v>36.948695970382694</v>
      </c>
      <c r="AI162" s="308">
        <f t="shared" si="72"/>
        <v>35.353850928497316</v>
      </c>
      <c r="AJ162" s="308">
        <f t="shared" si="73"/>
        <v>0</v>
      </c>
      <c r="AK162" s="308">
        <f t="shared" si="74"/>
        <v>0</v>
      </c>
      <c r="AL162" s="308">
        <f t="shared" si="75"/>
        <v>0</v>
      </c>
      <c r="AN162" s="327">
        <f t="shared" si="79"/>
        <v>35.331337177906036</v>
      </c>
      <c r="AO162" s="331">
        <f t="shared" si="80"/>
        <v>29.050000762939455</v>
      </c>
    </row>
    <row r="163" spans="2:41">
      <c r="B163" s="102">
        <f t="shared" si="76"/>
        <v>4</v>
      </c>
      <c r="C163" s="113">
        <f>PJM_01212000!A147</f>
        <v>39904</v>
      </c>
      <c r="D163" s="315">
        <f>PJM_01212000!C147</f>
        <v>28.825000762939453</v>
      </c>
      <c r="E163" s="133">
        <f t="shared" si="58"/>
        <v>1.1232726508202047</v>
      </c>
      <c r="F163" s="133">
        <f t="shared" si="81"/>
        <v>1.1413154461256174</v>
      </c>
      <c r="G163" s="133">
        <f t="shared" si="81"/>
        <v>0</v>
      </c>
      <c r="H163" s="133">
        <f t="shared" si="81"/>
        <v>0</v>
      </c>
      <c r="I163" s="133">
        <f t="shared" si="81"/>
        <v>1.1185245467924647</v>
      </c>
      <c r="J163" s="133">
        <f t="shared" si="81"/>
        <v>0</v>
      </c>
      <c r="K163" s="133">
        <f t="shared" si="81"/>
        <v>0</v>
      </c>
      <c r="L163" s="133">
        <f t="shared" si="81"/>
        <v>0</v>
      </c>
      <c r="M163" s="133">
        <f t="shared" si="81"/>
        <v>0</v>
      </c>
      <c r="N163" s="133">
        <f t="shared" si="81"/>
        <v>0</v>
      </c>
      <c r="O163" s="133">
        <f t="shared" si="81"/>
        <v>0</v>
      </c>
      <c r="P163" s="133">
        <f t="shared" si="81"/>
        <v>0</v>
      </c>
      <c r="Q163" s="133">
        <f t="shared" si="81"/>
        <v>0</v>
      </c>
      <c r="R163" s="133">
        <f t="shared" si="81"/>
        <v>1.1543365178491491</v>
      </c>
      <c r="S163" s="133">
        <f t="shared" si="81"/>
        <v>0</v>
      </c>
      <c r="T163" s="133">
        <f t="shared" si="81"/>
        <v>0</v>
      </c>
      <c r="U163" s="133">
        <f t="shared" si="77"/>
        <v>0</v>
      </c>
      <c r="W163" s="308">
        <f t="shared" si="78"/>
        <v>32.378335016881422</v>
      </c>
      <c r="X163" s="308">
        <f t="shared" si="61"/>
        <v>32.898418605325503</v>
      </c>
      <c r="Y163" s="308">
        <f t="shared" si="62"/>
        <v>0</v>
      </c>
      <c r="Z163" s="308">
        <f t="shared" si="63"/>
        <v>0</v>
      </c>
      <c r="AA163" s="308">
        <f t="shared" si="64"/>
        <v>32.241470914659303</v>
      </c>
      <c r="AB163" s="308">
        <f t="shared" si="65"/>
        <v>0</v>
      </c>
      <c r="AC163" s="308">
        <f t="shared" si="66"/>
        <v>0</v>
      </c>
      <c r="AD163" s="308">
        <f t="shared" si="67"/>
        <v>0</v>
      </c>
      <c r="AE163" s="308">
        <f t="shared" si="68"/>
        <v>0</v>
      </c>
      <c r="AF163" s="308">
        <f t="shared" si="69"/>
        <v>0</v>
      </c>
      <c r="AG163" s="308">
        <f t="shared" si="70"/>
        <v>0</v>
      </c>
      <c r="AH163" s="308">
        <f t="shared" si="71"/>
        <v>0</v>
      </c>
      <c r="AI163" s="308">
        <f t="shared" si="72"/>
        <v>0</v>
      </c>
      <c r="AJ163" s="308">
        <f t="shared" si="73"/>
        <v>33.273751007690599</v>
      </c>
      <c r="AK163" s="308">
        <f t="shared" si="74"/>
        <v>0</v>
      </c>
      <c r="AL163" s="308">
        <f t="shared" si="75"/>
        <v>0</v>
      </c>
      <c r="AN163" s="327">
        <f t="shared" si="79"/>
        <v>32.697993886139209</v>
      </c>
      <c r="AO163" s="331">
        <f t="shared" si="80"/>
        <v>28.825000762939453</v>
      </c>
    </row>
    <row r="164" spans="2:41">
      <c r="B164" s="102">
        <f t="shared" si="76"/>
        <v>5</v>
      </c>
      <c r="C164" s="113">
        <f>PJM_01212000!A148</f>
        <v>39934</v>
      </c>
      <c r="D164" s="315">
        <f>PJM_01212000!C148</f>
        <v>36.075000000000003</v>
      </c>
      <c r="E164" s="133">
        <f t="shared" si="58"/>
        <v>0</v>
      </c>
      <c r="F164" s="133">
        <f t="shared" si="81"/>
        <v>0</v>
      </c>
      <c r="G164" s="133">
        <f t="shared" si="81"/>
        <v>1.0610266218026732</v>
      </c>
      <c r="H164" s="133">
        <f t="shared" si="81"/>
        <v>1.1254998619307197</v>
      </c>
      <c r="I164" s="133">
        <f t="shared" si="81"/>
        <v>1.1169907033351396</v>
      </c>
      <c r="J164" s="133">
        <f t="shared" si="81"/>
        <v>0</v>
      </c>
      <c r="K164" s="133">
        <f t="shared" si="81"/>
        <v>0</v>
      </c>
      <c r="L164" s="133">
        <f t="shared" si="81"/>
        <v>0</v>
      </c>
      <c r="M164" s="133">
        <f t="shared" si="81"/>
        <v>0</v>
      </c>
      <c r="N164" s="133">
        <f t="shared" si="81"/>
        <v>0</v>
      </c>
      <c r="O164" s="133">
        <f t="shared" si="81"/>
        <v>0</v>
      </c>
      <c r="P164" s="133">
        <f t="shared" si="81"/>
        <v>0</v>
      </c>
      <c r="Q164" s="133">
        <f t="shared" si="81"/>
        <v>0</v>
      </c>
      <c r="R164" s="133">
        <f t="shared" si="81"/>
        <v>1.0876995612465097</v>
      </c>
      <c r="S164" s="133">
        <f t="shared" si="81"/>
        <v>0</v>
      </c>
      <c r="T164" s="133">
        <f t="shared" si="81"/>
        <v>0</v>
      </c>
      <c r="U164" s="133">
        <f t="shared" si="77"/>
        <v>0</v>
      </c>
      <c r="W164" s="308">
        <f t="shared" si="78"/>
        <v>0</v>
      </c>
      <c r="X164" s="308">
        <f t="shared" si="61"/>
        <v>0</v>
      </c>
      <c r="Y164" s="308">
        <f t="shared" si="62"/>
        <v>38.276535381531438</v>
      </c>
      <c r="Z164" s="308">
        <f t="shared" si="63"/>
        <v>40.602407519150717</v>
      </c>
      <c r="AA164" s="308">
        <f t="shared" si="64"/>
        <v>40.295439622815167</v>
      </c>
      <c r="AB164" s="308">
        <f t="shared" si="65"/>
        <v>0</v>
      </c>
      <c r="AC164" s="308">
        <f t="shared" si="66"/>
        <v>0</v>
      </c>
      <c r="AD164" s="308">
        <f t="shared" si="67"/>
        <v>0</v>
      </c>
      <c r="AE164" s="308">
        <f t="shared" si="68"/>
        <v>0</v>
      </c>
      <c r="AF164" s="308">
        <f t="shared" si="69"/>
        <v>0</v>
      </c>
      <c r="AG164" s="308">
        <f t="shared" si="70"/>
        <v>0</v>
      </c>
      <c r="AH164" s="308">
        <f t="shared" si="71"/>
        <v>0</v>
      </c>
      <c r="AI164" s="308">
        <f t="shared" si="72"/>
        <v>0</v>
      </c>
      <c r="AJ164" s="308">
        <f t="shared" si="73"/>
        <v>39.238761671967843</v>
      </c>
      <c r="AK164" s="308">
        <f t="shared" si="74"/>
        <v>0</v>
      </c>
      <c r="AL164" s="308">
        <f t="shared" si="75"/>
        <v>0</v>
      </c>
      <c r="AN164" s="327">
        <f t="shared" si="79"/>
        <v>39.603286048866288</v>
      </c>
      <c r="AO164" s="331">
        <f t="shared" si="80"/>
        <v>36.075000000000003</v>
      </c>
    </row>
    <row r="165" spans="2:41">
      <c r="B165" s="102">
        <f t="shared" si="76"/>
        <v>6</v>
      </c>
      <c r="C165" s="113">
        <f>PJM_01212000!A149</f>
        <v>39965</v>
      </c>
      <c r="D165" s="315">
        <f>PJM_01212000!C149</f>
        <v>61.099998474121094</v>
      </c>
      <c r="E165" s="133">
        <f t="shared" si="58"/>
        <v>0</v>
      </c>
      <c r="F165" s="133">
        <f t="shared" si="81"/>
        <v>0</v>
      </c>
      <c r="G165" s="133">
        <f t="shared" si="81"/>
        <v>0</v>
      </c>
      <c r="H165" s="133">
        <f t="shared" si="81"/>
        <v>0</v>
      </c>
      <c r="I165" s="133">
        <f t="shared" si="81"/>
        <v>0</v>
      </c>
      <c r="J165" s="133">
        <f t="shared" si="81"/>
        <v>0</v>
      </c>
      <c r="K165" s="133">
        <f t="shared" si="81"/>
        <v>1.2209201862181771</v>
      </c>
      <c r="L165" s="133">
        <f t="shared" si="81"/>
        <v>1.2303149771421382</v>
      </c>
      <c r="M165" s="133">
        <f t="shared" si="81"/>
        <v>1.2323281466258438</v>
      </c>
      <c r="N165" s="133">
        <f t="shared" si="81"/>
        <v>1.2523256301639896</v>
      </c>
      <c r="O165" s="133">
        <f t="shared" si="81"/>
        <v>0</v>
      </c>
      <c r="P165" s="133">
        <f t="shared" si="81"/>
        <v>0</v>
      </c>
      <c r="Q165" s="133">
        <f t="shared" si="81"/>
        <v>0</v>
      </c>
      <c r="R165" s="133">
        <f t="shared" si="81"/>
        <v>0</v>
      </c>
      <c r="S165" s="133">
        <f t="shared" si="81"/>
        <v>0</v>
      </c>
      <c r="T165" s="133">
        <f t="shared" si="81"/>
        <v>0</v>
      </c>
      <c r="U165" s="133">
        <f t="shared" si="77"/>
        <v>0</v>
      </c>
      <c r="W165" s="308">
        <f t="shared" si="78"/>
        <v>0</v>
      </c>
      <c r="X165" s="308">
        <f t="shared" si="61"/>
        <v>0</v>
      </c>
      <c r="Y165" s="308">
        <f t="shared" si="62"/>
        <v>0</v>
      </c>
      <c r="Z165" s="308">
        <f t="shared" si="63"/>
        <v>0</v>
      </c>
      <c r="AA165" s="308">
        <f t="shared" si="64"/>
        <v>0</v>
      </c>
      <c r="AB165" s="308">
        <f t="shared" si="65"/>
        <v>0</v>
      </c>
      <c r="AC165" s="308">
        <f t="shared" si="66"/>
        <v>74.598221514954261</v>
      </c>
      <c r="AD165" s="308">
        <f t="shared" si="67"/>
        <v>75.172243226072979</v>
      </c>
      <c r="AE165" s="308">
        <f t="shared" si="68"/>
        <v>75.295247878455527</v>
      </c>
      <c r="AF165" s="308">
        <f t="shared" si="69"/>
        <v>76.517094092122505</v>
      </c>
      <c r="AG165" s="308">
        <f t="shared" si="70"/>
        <v>0</v>
      </c>
      <c r="AH165" s="308">
        <f t="shared" si="71"/>
        <v>0</v>
      </c>
      <c r="AI165" s="308">
        <f t="shared" si="72"/>
        <v>0</v>
      </c>
      <c r="AJ165" s="308">
        <f t="shared" si="73"/>
        <v>0</v>
      </c>
      <c r="AK165" s="308">
        <f t="shared" si="74"/>
        <v>0</v>
      </c>
      <c r="AL165" s="308">
        <f t="shared" si="75"/>
        <v>0</v>
      </c>
      <c r="AN165" s="327">
        <f t="shared" si="79"/>
        <v>75.395701677901314</v>
      </c>
      <c r="AO165" s="331">
        <f t="shared" si="80"/>
        <v>61.099998474121094</v>
      </c>
    </row>
    <row r="166" spans="2:41">
      <c r="B166" s="102">
        <f t="shared" si="76"/>
        <v>7</v>
      </c>
      <c r="C166" s="113">
        <f>PJM_01212000!A150</f>
        <v>39995</v>
      </c>
      <c r="D166" s="315">
        <f>PJM_01212000!C150</f>
        <v>104.69999694824219</v>
      </c>
      <c r="E166" s="133">
        <f t="shared" si="58"/>
        <v>0</v>
      </c>
      <c r="F166" s="133">
        <f t="shared" si="81"/>
        <v>0</v>
      </c>
      <c r="G166" s="133">
        <f t="shared" si="81"/>
        <v>0</v>
      </c>
      <c r="H166" s="133">
        <f t="shared" si="81"/>
        <v>0</v>
      </c>
      <c r="I166" s="133">
        <f t="shared" si="81"/>
        <v>0</v>
      </c>
      <c r="J166" s="133">
        <f t="shared" si="81"/>
        <v>0</v>
      </c>
      <c r="K166" s="133">
        <f t="shared" si="81"/>
        <v>0</v>
      </c>
      <c r="L166" s="133">
        <f t="shared" si="81"/>
        <v>1.2506946851612968</v>
      </c>
      <c r="M166" s="133">
        <f t="shared" si="81"/>
        <v>1.3273401940004199</v>
      </c>
      <c r="N166" s="133">
        <f t="shared" si="81"/>
        <v>1.3538888162792144</v>
      </c>
      <c r="O166" s="133">
        <f t="shared" si="81"/>
        <v>1.3203393586734773</v>
      </c>
      <c r="P166" s="133">
        <f t="shared" si="81"/>
        <v>0</v>
      </c>
      <c r="Q166" s="133">
        <f t="shared" si="81"/>
        <v>0</v>
      </c>
      <c r="R166" s="133">
        <f t="shared" si="81"/>
        <v>0</v>
      </c>
      <c r="S166" s="133">
        <f t="shared" si="81"/>
        <v>0</v>
      </c>
      <c r="T166" s="133">
        <f t="shared" si="81"/>
        <v>0</v>
      </c>
      <c r="U166" s="133">
        <f t="shared" si="77"/>
        <v>0</v>
      </c>
      <c r="W166" s="308">
        <f t="shared" si="78"/>
        <v>0</v>
      </c>
      <c r="X166" s="308">
        <f t="shared" si="61"/>
        <v>0</v>
      </c>
      <c r="Y166" s="308">
        <f t="shared" si="62"/>
        <v>0</v>
      </c>
      <c r="Z166" s="308">
        <f t="shared" si="63"/>
        <v>0</v>
      </c>
      <c r="AA166" s="308">
        <f t="shared" si="64"/>
        <v>0</v>
      </c>
      <c r="AB166" s="308">
        <f t="shared" si="65"/>
        <v>0</v>
      </c>
      <c r="AC166" s="308">
        <f t="shared" si="66"/>
        <v>0</v>
      </c>
      <c r="AD166" s="308">
        <f t="shared" si="67"/>
        <v>130.9477297195705</v>
      </c>
      <c r="AE166" s="308">
        <f t="shared" si="68"/>
        <v>138.97251426112317</v>
      </c>
      <c r="AF166" s="308">
        <f t="shared" si="69"/>
        <v>141.75215493269297</v>
      </c>
      <c r="AG166" s="308">
        <f t="shared" si="70"/>
        <v>138.23952682375713</v>
      </c>
      <c r="AH166" s="308">
        <f t="shared" si="71"/>
        <v>0</v>
      </c>
      <c r="AI166" s="308">
        <f t="shared" si="72"/>
        <v>0</v>
      </c>
      <c r="AJ166" s="308">
        <f t="shared" si="73"/>
        <v>0</v>
      </c>
      <c r="AK166" s="308">
        <f t="shared" si="74"/>
        <v>0</v>
      </c>
      <c r="AL166" s="308">
        <f t="shared" si="75"/>
        <v>0</v>
      </c>
      <c r="AN166" s="327">
        <f t="shared" si="79"/>
        <v>137.47798143428594</v>
      </c>
      <c r="AO166" s="331">
        <f t="shared" si="80"/>
        <v>104.69999694824219</v>
      </c>
    </row>
    <row r="167" spans="2:41">
      <c r="B167" s="102">
        <f t="shared" si="76"/>
        <v>8</v>
      </c>
      <c r="C167" s="113">
        <f>PJM_01212000!A151</f>
        <v>40026</v>
      </c>
      <c r="D167" s="315">
        <f>PJM_01212000!C151</f>
        <v>91.699996948242188</v>
      </c>
      <c r="E167" s="133">
        <f t="shared" si="58"/>
        <v>0</v>
      </c>
      <c r="F167" s="133">
        <f t="shared" si="81"/>
        <v>0</v>
      </c>
      <c r="G167" s="133">
        <f t="shared" si="81"/>
        <v>0</v>
      </c>
      <c r="H167" s="133">
        <f t="shared" si="81"/>
        <v>0</v>
      </c>
      <c r="I167" s="133">
        <f t="shared" si="81"/>
        <v>0</v>
      </c>
      <c r="J167" s="133">
        <f t="shared" si="81"/>
        <v>0</v>
      </c>
      <c r="K167" s="133">
        <f t="shared" si="81"/>
        <v>1.1907290919069531</v>
      </c>
      <c r="L167" s="133">
        <f t="shared" si="81"/>
        <v>1.26057331025457</v>
      </c>
      <c r="M167" s="133">
        <f t="shared" si="81"/>
        <v>1.2430109342677418</v>
      </c>
      <c r="N167" s="133">
        <f t="shared" si="81"/>
        <v>1.2150462278887151</v>
      </c>
      <c r="O167" s="133">
        <f t="shared" si="81"/>
        <v>0</v>
      </c>
      <c r="P167" s="133">
        <f t="shared" si="81"/>
        <v>0</v>
      </c>
      <c r="Q167" s="133">
        <f t="shared" si="81"/>
        <v>0</v>
      </c>
      <c r="R167" s="133">
        <f t="shared" si="81"/>
        <v>0</v>
      </c>
      <c r="S167" s="133">
        <f t="shared" si="81"/>
        <v>0</v>
      </c>
      <c r="T167" s="133">
        <f t="shared" si="81"/>
        <v>0</v>
      </c>
      <c r="U167" s="133">
        <f t="shared" si="77"/>
        <v>0</v>
      </c>
      <c r="W167" s="308">
        <f t="shared" si="78"/>
        <v>0</v>
      </c>
      <c r="X167" s="308">
        <f t="shared" si="61"/>
        <v>0</v>
      </c>
      <c r="Y167" s="308">
        <f t="shared" si="62"/>
        <v>0</v>
      </c>
      <c r="Z167" s="308">
        <f t="shared" si="63"/>
        <v>0</v>
      </c>
      <c r="AA167" s="308">
        <f t="shared" si="64"/>
        <v>0</v>
      </c>
      <c r="AB167" s="308">
        <f t="shared" si="65"/>
        <v>0</v>
      </c>
      <c r="AC167" s="308">
        <f t="shared" si="66"/>
        <v>109.18985409405079</v>
      </c>
      <c r="AD167" s="308">
        <f t="shared" si="67"/>
        <v>115.59456870337962</v>
      </c>
      <c r="AE167" s="308">
        <f t="shared" si="68"/>
        <v>113.98409887898359</v>
      </c>
      <c r="AF167" s="308">
        <f t="shared" si="69"/>
        <v>111.41973538936836</v>
      </c>
      <c r="AG167" s="308">
        <f t="shared" si="70"/>
        <v>0</v>
      </c>
      <c r="AH167" s="308">
        <f t="shared" si="71"/>
        <v>0</v>
      </c>
      <c r="AI167" s="308">
        <f t="shared" si="72"/>
        <v>0</v>
      </c>
      <c r="AJ167" s="308">
        <f t="shared" si="73"/>
        <v>0</v>
      </c>
      <c r="AK167" s="308">
        <f t="shared" si="74"/>
        <v>0</v>
      </c>
      <c r="AL167" s="308">
        <f t="shared" si="75"/>
        <v>0</v>
      </c>
      <c r="AN167" s="327">
        <f t="shared" si="79"/>
        <v>112.5470642664456</v>
      </c>
      <c r="AO167" s="331">
        <f t="shared" si="80"/>
        <v>91.699996948242188</v>
      </c>
    </row>
    <row r="168" spans="2:41">
      <c r="B168" s="102">
        <f t="shared" si="76"/>
        <v>9</v>
      </c>
      <c r="C168" s="113">
        <f>PJM_01212000!A152</f>
        <v>40057</v>
      </c>
      <c r="D168" s="315">
        <f>PJM_01212000!C152</f>
        <v>35.924998474121097</v>
      </c>
      <c r="E168" s="133">
        <f t="shared" si="58"/>
        <v>0</v>
      </c>
      <c r="F168" s="133">
        <f t="shared" si="81"/>
        <v>0</v>
      </c>
      <c r="G168" s="133">
        <f t="shared" si="81"/>
        <v>0</v>
      </c>
      <c r="H168" s="133">
        <f t="shared" si="81"/>
        <v>0</v>
      </c>
      <c r="I168" s="133">
        <f t="shared" si="81"/>
        <v>0</v>
      </c>
      <c r="J168" s="133">
        <f t="shared" si="81"/>
        <v>0</v>
      </c>
      <c r="K168" s="133">
        <f t="shared" si="81"/>
        <v>0</v>
      </c>
      <c r="L168" s="133">
        <f t="shared" si="81"/>
        <v>0</v>
      </c>
      <c r="M168" s="133">
        <f t="shared" si="81"/>
        <v>0</v>
      </c>
      <c r="N168" s="133">
        <f t="shared" si="81"/>
        <v>1.1345284089868721</v>
      </c>
      <c r="O168" s="133">
        <f t="shared" si="81"/>
        <v>1.1066962078625975</v>
      </c>
      <c r="P168" s="133">
        <f t="shared" si="81"/>
        <v>0</v>
      </c>
      <c r="Q168" s="133">
        <f t="shared" si="81"/>
        <v>1.184626371010566</v>
      </c>
      <c r="R168" s="133">
        <f t="shared" si="81"/>
        <v>1.1944408840385996</v>
      </c>
      <c r="S168" s="133">
        <f t="shared" si="81"/>
        <v>0</v>
      </c>
      <c r="T168" s="133">
        <f t="shared" si="81"/>
        <v>0</v>
      </c>
      <c r="U168" s="133">
        <f t="shared" si="77"/>
        <v>0</v>
      </c>
      <c r="W168" s="308">
        <f t="shared" si="78"/>
        <v>0</v>
      </c>
      <c r="X168" s="308">
        <f t="shared" si="61"/>
        <v>0</v>
      </c>
      <c r="Y168" s="308">
        <f t="shared" si="62"/>
        <v>0</v>
      </c>
      <c r="Z168" s="308">
        <f t="shared" si="63"/>
        <v>0</v>
      </c>
      <c r="AA168" s="308">
        <f t="shared" si="64"/>
        <v>0</v>
      </c>
      <c r="AB168" s="308">
        <f t="shared" si="65"/>
        <v>0</v>
      </c>
      <c r="AC168" s="308">
        <f t="shared" si="66"/>
        <v>0</v>
      </c>
      <c r="AD168" s="308">
        <f t="shared" si="67"/>
        <v>0</v>
      </c>
      <c r="AE168" s="308">
        <f t="shared" si="68"/>
        <v>0</v>
      </c>
      <c r="AF168" s="308">
        <f t="shared" si="69"/>
        <v>40.757931361700415</v>
      </c>
      <c r="AG168" s="308">
        <f t="shared" si="70"/>
        <v>39.758059578779417</v>
      </c>
      <c r="AH168" s="308">
        <f t="shared" si="71"/>
        <v>0</v>
      </c>
      <c r="AI168" s="308">
        <f t="shared" si="72"/>
        <v>42.557700570958197</v>
      </c>
      <c r="AJ168" s="308">
        <f t="shared" si="73"/>
        <v>42.910286936514545</v>
      </c>
      <c r="AK168" s="308">
        <f t="shared" si="74"/>
        <v>0</v>
      </c>
      <c r="AL168" s="308">
        <f t="shared" si="75"/>
        <v>0</v>
      </c>
      <c r="AN168" s="327">
        <f t="shared" si="79"/>
        <v>41.495994611988145</v>
      </c>
      <c r="AO168" s="331">
        <f t="shared" si="80"/>
        <v>35.924998474121097</v>
      </c>
    </row>
    <row r="169" spans="2:41">
      <c r="B169" s="102">
        <f t="shared" si="76"/>
        <v>10</v>
      </c>
      <c r="C169" s="113">
        <f>PJM_01212000!A153</f>
        <v>40087</v>
      </c>
      <c r="D169" s="315">
        <f>PJM_01212000!C153</f>
        <v>29.575000381469728</v>
      </c>
      <c r="E169" s="133">
        <f t="shared" si="58"/>
        <v>0</v>
      </c>
      <c r="F169" s="133">
        <f t="shared" si="81"/>
        <v>1.1326000000000001</v>
      </c>
      <c r="G169" s="133">
        <f t="shared" si="81"/>
        <v>0</v>
      </c>
      <c r="H169" s="133">
        <f t="shared" si="81"/>
        <v>0</v>
      </c>
      <c r="I169" s="133">
        <f t="shared" si="81"/>
        <v>0</v>
      </c>
      <c r="J169" s="133">
        <f t="shared" si="81"/>
        <v>0</v>
      </c>
      <c r="K169" s="133">
        <f t="shared" si="81"/>
        <v>0</v>
      </c>
      <c r="L169" s="133">
        <f t="shared" si="81"/>
        <v>0</v>
      </c>
      <c r="M169" s="133">
        <f t="shared" si="81"/>
        <v>0</v>
      </c>
      <c r="N169" s="133">
        <f t="shared" si="81"/>
        <v>0</v>
      </c>
      <c r="O169" s="133">
        <f t="shared" si="81"/>
        <v>1.2000999999999999</v>
      </c>
      <c r="P169" s="133">
        <f t="shared" si="81"/>
        <v>1.2095</v>
      </c>
      <c r="Q169" s="133">
        <f t="shared" si="81"/>
        <v>1.1567000000000001</v>
      </c>
      <c r="R169" s="133">
        <f t="shared" si="81"/>
        <v>0</v>
      </c>
      <c r="S169" s="133">
        <f t="shared" si="81"/>
        <v>0</v>
      </c>
      <c r="T169" s="133">
        <f t="shared" si="81"/>
        <v>0</v>
      </c>
      <c r="U169" s="133">
        <f t="shared" si="77"/>
        <v>0</v>
      </c>
      <c r="W169" s="308">
        <f t="shared" si="78"/>
        <v>0</v>
      </c>
      <c r="X169" s="308">
        <f t="shared" si="61"/>
        <v>33.496645432052617</v>
      </c>
      <c r="Y169" s="308">
        <f t="shared" si="62"/>
        <v>0</v>
      </c>
      <c r="Z169" s="308">
        <f t="shared" si="63"/>
        <v>0</v>
      </c>
      <c r="AA169" s="308">
        <f t="shared" si="64"/>
        <v>0</v>
      </c>
      <c r="AB169" s="308">
        <f t="shared" si="65"/>
        <v>0</v>
      </c>
      <c r="AC169" s="308">
        <f t="shared" si="66"/>
        <v>0</v>
      </c>
      <c r="AD169" s="308">
        <f t="shared" si="67"/>
        <v>0</v>
      </c>
      <c r="AE169" s="308">
        <f t="shared" si="68"/>
        <v>0</v>
      </c>
      <c r="AF169" s="308">
        <f t="shared" si="69"/>
        <v>0</v>
      </c>
      <c r="AG169" s="308">
        <f t="shared" si="70"/>
        <v>35.492957957801821</v>
      </c>
      <c r="AH169" s="308">
        <f t="shared" si="71"/>
        <v>35.770962961387639</v>
      </c>
      <c r="AI169" s="308">
        <f t="shared" si="72"/>
        <v>34.209402941246033</v>
      </c>
      <c r="AJ169" s="308">
        <f t="shared" si="73"/>
        <v>0</v>
      </c>
      <c r="AK169" s="308">
        <f t="shared" si="74"/>
        <v>0</v>
      </c>
      <c r="AL169" s="308">
        <f t="shared" si="75"/>
        <v>0</v>
      </c>
      <c r="AN169" s="327">
        <f t="shared" si="79"/>
        <v>34.742492323122029</v>
      </c>
      <c r="AO169" s="331">
        <f t="shared" si="80"/>
        <v>29.575000381469728</v>
      </c>
    </row>
    <row r="170" spans="2:41">
      <c r="B170" s="102">
        <f t="shared" si="76"/>
        <v>11</v>
      </c>
      <c r="C170" s="113">
        <f>PJM_01212000!A154</f>
        <v>40118</v>
      </c>
      <c r="D170" s="315">
        <f>PJM_01212000!C154</f>
        <v>29.247499084472658</v>
      </c>
      <c r="E170" s="133">
        <f t="shared" si="58"/>
        <v>0</v>
      </c>
      <c r="F170" s="133">
        <f t="shared" ref="F170:T179" si="82">VLOOKUP($B170,$C$6:$Z$17,F$22+1)</f>
        <v>1.1426000000000001</v>
      </c>
      <c r="G170" s="133">
        <f t="shared" si="82"/>
        <v>0</v>
      </c>
      <c r="H170" s="133">
        <f t="shared" si="82"/>
        <v>0</v>
      </c>
      <c r="I170" s="133">
        <f t="shared" si="82"/>
        <v>0</v>
      </c>
      <c r="J170" s="133">
        <f t="shared" si="82"/>
        <v>0</v>
      </c>
      <c r="K170" s="133">
        <f t="shared" si="82"/>
        <v>0</v>
      </c>
      <c r="L170" s="133">
        <f t="shared" si="82"/>
        <v>0</v>
      </c>
      <c r="M170" s="133">
        <f t="shared" si="82"/>
        <v>0</v>
      </c>
      <c r="N170" s="133">
        <f t="shared" si="82"/>
        <v>0</v>
      </c>
      <c r="O170" s="133">
        <f t="shared" si="82"/>
        <v>1.2171000000000001</v>
      </c>
      <c r="P170" s="133">
        <f t="shared" si="82"/>
        <v>1.2269000000000001</v>
      </c>
      <c r="Q170" s="133">
        <f t="shared" si="82"/>
        <v>1.1767000000000001</v>
      </c>
      <c r="R170" s="133">
        <f t="shared" si="82"/>
        <v>0</v>
      </c>
      <c r="S170" s="133">
        <f t="shared" si="82"/>
        <v>0</v>
      </c>
      <c r="T170" s="133">
        <f t="shared" si="82"/>
        <v>0</v>
      </c>
      <c r="U170" s="133">
        <f t="shared" si="77"/>
        <v>0</v>
      </c>
      <c r="W170" s="308">
        <f t="shared" si="78"/>
        <v>0</v>
      </c>
      <c r="X170" s="308">
        <f t="shared" si="61"/>
        <v>33.418192453918458</v>
      </c>
      <c r="Y170" s="308">
        <f t="shared" si="62"/>
        <v>0</v>
      </c>
      <c r="Z170" s="308">
        <f t="shared" si="63"/>
        <v>0</v>
      </c>
      <c r="AA170" s="308">
        <f t="shared" si="64"/>
        <v>0</v>
      </c>
      <c r="AB170" s="308">
        <f t="shared" si="65"/>
        <v>0</v>
      </c>
      <c r="AC170" s="308">
        <f t="shared" si="66"/>
        <v>0</v>
      </c>
      <c r="AD170" s="308">
        <f t="shared" si="67"/>
        <v>0</v>
      </c>
      <c r="AE170" s="308">
        <f t="shared" si="68"/>
        <v>0</v>
      </c>
      <c r="AF170" s="308">
        <f t="shared" si="69"/>
        <v>0</v>
      </c>
      <c r="AG170" s="308">
        <f t="shared" si="70"/>
        <v>35.59713113571167</v>
      </c>
      <c r="AH170" s="308">
        <f t="shared" si="71"/>
        <v>35.883756626739505</v>
      </c>
      <c r="AI170" s="308">
        <f t="shared" si="72"/>
        <v>34.415532172698981</v>
      </c>
      <c r="AJ170" s="308">
        <f t="shared" si="73"/>
        <v>0</v>
      </c>
      <c r="AK170" s="308">
        <f t="shared" si="74"/>
        <v>0</v>
      </c>
      <c r="AL170" s="308">
        <f t="shared" si="75"/>
        <v>0</v>
      </c>
      <c r="AN170" s="327">
        <f t="shared" si="79"/>
        <v>34.828653097267157</v>
      </c>
      <c r="AO170" s="331">
        <f t="shared" si="80"/>
        <v>29.247499084472658</v>
      </c>
    </row>
    <row r="171" spans="2:41">
      <c r="B171" s="102">
        <f t="shared" si="76"/>
        <v>12</v>
      </c>
      <c r="C171" s="113">
        <f>PJM_01212000!A155</f>
        <v>40148</v>
      </c>
      <c r="D171" s="315">
        <f>PJM_01212000!C155</f>
        <v>30.999999618530275</v>
      </c>
      <c r="E171" s="133">
        <f t="shared" si="58"/>
        <v>0</v>
      </c>
      <c r="F171" s="133">
        <f t="shared" si="82"/>
        <v>1.1637999999999999</v>
      </c>
      <c r="G171" s="133">
        <f t="shared" si="82"/>
        <v>0</v>
      </c>
      <c r="H171" s="133">
        <f t="shared" si="82"/>
        <v>0</v>
      </c>
      <c r="I171" s="133">
        <f t="shared" si="82"/>
        <v>0</v>
      </c>
      <c r="J171" s="133">
        <f t="shared" si="82"/>
        <v>0</v>
      </c>
      <c r="K171" s="133">
        <f t="shared" si="82"/>
        <v>0</v>
      </c>
      <c r="L171" s="133">
        <f t="shared" si="82"/>
        <v>0</v>
      </c>
      <c r="M171" s="133">
        <f t="shared" si="82"/>
        <v>0</v>
      </c>
      <c r="N171" s="133">
        <f t="shared" si="82"/>
        <v>0</v>
      </c>
      <c r="O171" s="133">
        <f t="shared" si="82"/>
        <v>1.2396592528631896</v>
      </c>
      <c r="P171" s="133">
        <f t="shared" si="82"/>
        <v>1.2314000000000001</v>
      </c>
      <c r="Q171" s="133">
        <f t="shared" si="82"/>
        <v>1.1889963083145296</v>
      </c>
      <c r="R171" s="133">
        <f t="shared" si="82"/>
        <v>0</v>
      </c>
      <c r="S171" s="133">
        <f t="shared" si="82"/>
        <v>0</v>
      </c>
      <c r="T171" s="133">
        <f t="shared" si="82"/>
        <v>0</v>
      </c>
      <c r="U171" s="133">
        <f t="shared" si="77"/>
        <v>0</v>
      </c>
      <c r="W171" s="308">
        <f t="shared" si="78"/>
        <v>0</v>
      </c>
      <c r="X171" s="308">
        <f t="shared" si="61"/>
        <v>36.077799556045534</v>
      </c>
      <c r="Y171" s="308">
        <f t="shared" si="62"/>
        <v>0</v>
      </c>
      <c r="Z171" s="308">
        <f t="shared" si="63"/>
        <v>0</v>
      </c>
      <c r="AA171" s="308">
        <f t="shared" si="64"/>
        <v>0</v>
      </c>
      <c r="AB171" s="308">
        <f t="shared" si="65"/>
        <v>0</v>
      </c>
      <c r="AC171" s="308">
        <f t="shared" si="66"/>
        <v>0</v>
      </c>
      <c r="AD171" s="308">
        <f t="shared" si="67"/>
        <v>0</v>
      </c>
      <c r="AE171" s="308">
        <f t="shared" si="68"/>
        <v>0</v>
      </c>
      <c r="AF171" s="308">
        <f t="shared" si="69"/>
        <v>0</v>
      </c>
      <c r="AG171" s="308">
        <f t="shared" si="70"/>
        <v>38.429436365866401</v>
      </c>
      <c r="AH171" s="308">
        <f t="shared" si="71"/>
        <v>38.17339953025818</v>
      </c>
      <c r="AI171" s="308">
        <f t="shared" si="72"/>
        <v>36.858885104184324</v>
      </c>
      <c r="AJ171" s="308">
        <f t="shared" si="73"/>
        <v>0</v>
      </c>
      <c r="AK171" s="308">
        <f t="shared" si="74"/>
        <v>0</v>
      </c>
      <c r="AL171" s="308">
        <f t="shared" si="75"/>
        <v>0</v>
      </c>
      <c r="AN171" s="327">
        <f t="shared" si="79"/>
        <v>37.384880139088608</v>
      </c>
      <c r="AO171" s="331">
        <f t="shared" si="80"/>
        <v>30.999999618530275</v>
      </c>
    </row>
    <row r="172" spans="2:41">
      <c r="B172" s="102">
        <f t="shared" si="76"/>
        <v>1</v>
      </c>
      <c r="C172" s="113">
        <f>PJM_01212000!A156</f>
        <v>40179</v>
      </c>
      <c r="D172" s="315">
        <f>PJM_01212000!C156</f>
        <v>39.824998474121088</v>
      </c>
      <c r="E172" s="133">
        <f t="shared" si="58"/>
        <v>0</v>
      </c>
      <c r="F172" s="133">
        <f t="shared" si="82"/>
        <v>1.1998117566192825</v>
      </c>
      <c r="G172" s="133">
        <f t="shared" si="82"/>
        <v>1.1961600115620716</v>
      </c>
      <c r="H172" s="133">
        <f t="shared" si="82"/>
        <v>0</v>
      </c>
      <c r="I172" s="133">
        <f t="shared" si="82"/>
        <v>0</v>
      </c>
      <c r="J172" s="133">
        <f t="shared" si="82"/>
        <v>0</v>
      </c>
      <c r="K172" s="133">
        <f t="shared" si="82"/>
        <v>0</v>
      </c>
      <c r="L172" s="133">
        <f t="shared" si="82"/>
        <v>0</v>
      </c>
      <c r="M172" s="133">
        <f t="shared" si="82"/>
        <v>0</v>
      </c>
      <c r="N172" s="133">
        <f t="shared" si="82"/>
        <v>0</v>
      </c>
      <c r="O172" s="133">
        <f t="shared" si="82"/>
        <v>0</v>
      </c>
      <c r="P172" s="133">
        <f t="shared" si="82"/>
        <v>1.2818992289435116</v>
      </c>
      <c r="Q172" s="133">
        <f t="shared" si="82"/>
        <v>1.2270000000000001</v>
      </c>
      <c r="R172" s="133">
        <f t="shared" si="82"/>
        <v>0</v>
      </c>
      <c r="S172" s="133">
        <f t="shared" si="82"/>
        <v>0</v>
      </c>
      <c r="T172" s="133">
        <f t="shared" si="82"/>
        <v>0</v>
      </c>
      <c r="U172" s="133">
        <f t="shared" si="77"/>
        <v>0</v>
      </c>
      <c r="W172" s="308">
        <f t="shared" si="78"/>
        <v>0</v>
      </c>
      <c r="X172" s="308">
        <f t="shared" si="61"/>
        <v>47.782501376595469</v>
      </c>
      <c r="Y172" s="308">
        <f t="shared" si="62"/>
        <v>47.637070635264166</v>
      </c>
      <c r="Z172" s="308">
        <f t="shared" si="63"/>
        <v>0</v>
      </c>
      <c r="AA172" s="308">
        <f t="shared" si="64"/>
        <v>0</v>
      </c>
      <c r="AB172" s="308">
        <f t="shared" si="65"/>
        <v>0</v>
      </c>
      <c r="AC172" s="308">
        <f t="shared" si="66"/>
        <v>0</v>
      </c>
      <c r="AD172" s="308">
        <f t="shared" si="67"/>
        <v>0</v>
      </c>
      <c r="AE172" s="308">
        <f t="shared" si="68"/>
        <v>0</v>
      </c>
      <c r="AF172" s="308">
        <f t="shared" si="69"/>
        <v>0</v>
      </c>
      <c r="AG172" s="308">
        <f t="shared" si="70"/>
        <v>0</v>
      </c>
      <c r="AH172" s="308">
        <f t="shared" si="71"/>
        <v>51.051634836652347</v>
      </c>
      <c r="AI172" s="308">
        <f t="shared" si="72"/>
        <v>48.865273127746576</v>
      </c>
      <c r="AJ172" s="308">
        <f t="shared" si="73"/>
        <v>0</v>
      </c>
      <c r="AK172" s="308">
        <f t="shared" si="74"/>
        <v>0</v>
      </c>
      <c r="AL172" s="308">
        <f t="shared" si="75"/>
        <v>0</v>
      </c>
      <c r="AN172" s="327">
        <f t="shared" si="79"/>
        <v>48.834119994064636</v>
      </c>
      <c r="AO172" s="331">
        <f t="shared" si="80"/>
        <v>39.824998474121088</v>
      </c>
    </row>
    <row r="173" spans="2:41">
      <c r="B173" s="102">
        <f t="shared" si="76"/>
        <v>2</v>
      </c>
      <c r="C173" s="113">
        <f>PJM_01212000!A157</f>
        <v>40210</v>
      </c>
      <c r="D173" s="315">
        <f>PJM_01212000!C157</f>
        <v>39.824998474121088</v>
      </c>
      <c r="E173" s="133">
        <f t="shared" si="58"/>
        <v>0</v>
      </c>
      <c r="F173" s="133">
        <f t="shared" si="82"/>
        <v>1.1998117566192825</v>
      </c>
      <c r="G173" s="133">
        <f t="shared" si="82"/>
        <v>1.1961600115620716</v>
      </c>
      <c r="H173" s="133">
        <f t="shared" si="82"/>
        <v>0</v>
      </c>
      <c r="I173" s="133">
        <f t="shared" si="82"/>
        <v>0</v>
      </c>
      <c r="J173" s="133">
        <f t="shared" si="82"/>
        <v>0</v>
      </c>
      <c r="K173" s="133">
        <f t="shared" si="82"/>
        <v>0</v>
      </c>
      <c r="L173" s="133">
        <f t="shared" si="82"/>
        <v>0</v>
      </c>
      <c r="M173" s="133">
        <f t="shared" si="82"/>
        <v>0</v>
      </c>
      <c r="N173" s="133">
        <f t="shared" si="82"/>
        <v>0</v>
      </c>
      <c r="O173" s="133">
        <f t="shared" si="82"/>
        <v>0</v>
      </c>
      <c r="P173" s="133">
        <f t="shared" si="82"/>
        <v>1.2818992289435116</v>
      </c>
      <c r="Q173" s="133">
        <f t="shared" si="82"/>
        <v>1.2270000000000001</v>
      </c>
      <c r="R173" s="133">
        <f t="shared" si="82"/>
        <v>0</v>
      </c>
      <c r="S173" s="133">
        <f t="shared" si="82"/>
        <v>0</v>
      </c>
      <c r="T173" s="133">
        <f t="shared" si="82"/>
        <v>0</v>
      </c>
      <c r="U173" s="133">
        <f t="shared" si="77"/>
        <v>0</v>
      </c>
      <c r="W173" s="308">
        <f t="shared" si="78"/>
        <v>0</v>
      </c>
      <c r="X173" s="308">
        <f t="shared" si="61"/>
        <v>47.782501376595469</v>
      </c>
      <c r="Y173" s="308">
        <f t="shared" si="62"/>
        <v>47.637070635264166</v>
      </c>
      <c r="Z173" s="308">
        <f t="shared" si="63"/>
        <v>0</v>
      </c>
      <c r="AA173" s="308">
        <f t="shared" si="64"/>
        <v>0</v>
      </c>
      <c r="AB173" s="308">
        <f t="shared" si="65"/>
        <v>0</v>
      </c>
      <c r="AC173" s="308">
        <f t="shared" si="66"/>
        <v>0</v>
      </c>
      <c r="AD173" s="308">
        <f t="shared" si="67"/>
        <v>0</v>
      </c>
      <c r="AE173" s="308">
        <f t="shared" si="68"/>
        <v>0</v>
      </c>
      <c r="AF173" s="308">
        <f t="shared" si="69"/>
        <v>0</v>
      </c>
      <c r="AG173" s="308">
        <f t="shared" si="70"/>
        <v>0</v>
      </c>
      <c r="AH173" s="308">
        <f t="shared" si="71"/>
        <v>51.051634836652347</v>
      </c>
      <c r="AI173" s="308">
        <f t="shared" si="72"/>
        <v>48.865273127746576</v>
      </c>
      <c r="AJ173" s="308">
        <f t="shared" si="73"/>
        <v>0</v>
      </c>
      <c r="AK173" s="308">
        <f t="shared" si="74"/>
        <v>0</v>
      </c>
      <c r="AL173" s="308">
        <f t="shared" si="75"/>
        <v>0</v>
      </c>
      <c r="AN173" s="327">
        <f t="shared" si="79"/>
        <v>48.834119994064636</v>
      </c>
      <c r="AO173" s="331">
        <f t="shared" si="80"/>
        <v>39.824998474121088</v>
      </c>
    </row>
    <row r="174" spans="2:41">
      <c r="B174" s="102">
        <f t="shared" si="76"/>
        <v>3</v>
      </c>
      <c r="C174" s="113">
        <f>PJM_01212000!A158</f>
        <v>40238</v>
      </c>
      <c r="D174" s="315">
        <f>PJM_01212000!C158</f>
        <v>29.550000762939455</v>
      </c>
      <c r="E174" s="133">
        <f t="shared" si="58"/>
        <v>0</v>
      </c>
      <c r="F174" s="133">
        <f t="shared" si="82"/>
        <v>1.1898</v>
      </c>
      <c r="G174" s="133">
        <f t="shared" si="82"/>
        <v>1.1861999999999999</v>
      </c>
      <c r="H174" s="133">
        <f t="shared" si="82"/>
        <v>0</v>
      </c>
      <c r="I174" s="133">
        <f t="shared" si="82"/>
        <v>0</v>
      </c>
      <c r="J174" s="133">
        <f t="shared" si="82"/>
        <v>0</v>
      </c>
      <c r="K174" s="133">
        <f t="shared" si="82"/>
        <v>0</v>
      </c>
      <c r="L174" s="133">
        <f t="shared" si="82"/>
        <v>0</v>
      </c>
      <c r="M174" s="133">
        <f t="shared" si="82"/>
        <v>0</v>
      </c>
      <c r="N174" s="133">
        <f t="shared" si="82"/>
        <v>0</v>
      </c>
      <c r="O174" s="133">
        <f t="shared" si="82"/>
        <v>0</v>
      </c>
      <c r="P174" s="133">
        <f t="shared" si="82"/>
        <v>1.2719</v>
      </c>
      <c r="Q174" s="133">
        <f t="shared" si="82"/>
        <v>1.2170000000000001</v>
      </c>
      <c r="R174" s="133">
        <f t="shared" si="82"/>
        <v>0</v>
      </c>
      <c r="S174" s="133">
        <f t="shared" si="82"/>
        <v>0</v>
      </c>
      <c r="T174" s="133">
        <f t="shared" si="82"/>
        <v>0</v>
      </c>
      <c r="U174" s="133">
        <f t="shared" si="77"/>
        <v>0</v>
      </c>
      <c r="W174" s="308">
        <f t="shared" si="78"/>
        <v>0</v>
      </c>
      <c r="X174" s="308">
        <f t="shared" si="61"/>
        <v>35.158590907745364</v>
      </c>
      <c r="Y174" s="308">
        <f t="shared" si="62"/>
        <v>35.05221090499878</v>
      </c>
      <c r="Z174" s="308">
        <f t="shared" si="63"/>
        <v>0</v>
      </c>
      <c r="AA174" s="308">
        <f t="shared" si="64"/>
        <v>0</v>
      </c>
      <c r="AB174" s="308">
        <f t="shared" si="65"/>
        <v>0</v>
      </c>
      <c r="AC174" s="308">
        <f t="shared" si="66"/>
        <v>0</v>
      </c>
      <c r="AD174" s="308">
        <f t="shared" si="67"/>
        <v>0</v>
      </c>
      <c r="AE174" s="308">
        <f t="shared" si="68"/>
        <v>0</v>
      </c>
      <c r="AF174" s="308">
        <f t="shared" si="69"/>
        <v>0</v>
      </c>
      <c r="AG174" s="308">
        <f t="shared" si="70"/>
        <v>0</v>
      </c>
      <c r="AH174" s="308">
        <f t="shared" si="71"/>
        <v>37.584645970382695</v>
      </c>
      <c r="AI174" s="308">
        <f t="shared" si="72"/>
        <v>35.962350928497315</v>
      </c>
      <c r="AJ174" s="308">
        <f t="shared" si="73"/>
        <v>0</v>
      </c>
      <c r="AK174" s="308">
        <f t="shared" si="74"/>
        <v>0</v>
      </c>
      <c r="AL174" s="308">
        <f t="shared" si="75"/>
        <v>0</v>
      </c>
      <c r="AN174" s="327">
        <f t="shared" si="79"/>
        <v>35.93944967790604</v>
      </c>
      <c r="AO174" s="331">
        <f t="shared" si="80"/>
        <v>29.550000762939455</v>
      </c>
    </row>
    <row r="175" spans="2:41">
      <c r="B175" s="102">
        <f t="shared" si="76"/>
        <v>4</v>
      </c>
      <c r="C175" s="113">
        <f>PJM_01212000!A159</f>
        <v>40269</v>
      </c>
      <c r="D175" s="315">
        <f>PJM_01212000!C159</f>
        <v>29.325000762939453</v>
      </c>
      <c r="E175" s="133">
        <f t="shared" si="58"/>
        <v>1.1232726508202047</v>
      </c>
      <c r="F175" s="133">
        <f t="shared" si="82"/>
        <v>1.1413154461256174</v>
      </c>
      <c r="G175" s="133">
        <f t="shared" si="82"/>
        <v>0</v>
      </c>
      <c r="H175" s="133">
        <f t="shared" si="82"/>
        <v>0</v>
      </c>
      <c r="I175" s="133">
        <f t="shared" si="82"/>
        <v>1.1185245467924647</v>
      </c>
      <c r="J175" s="133">
        <f t="shared" si="82"/>
        <v>0</v>
      </c>
      <c r="K175" s="133">
        <f t="shared" si="82"/>
        <v>0</v>
      </c>
      <c r="L175" s="133">
        <f t="shared" si="82"/>
        <v>0</v>
      </c>
      <c r="M175" s="133">
        <f t="shared" si="82"/>
        <v>0</v>
      </c>
      <c r="N175" s="133">
        <f t="shared" si="82"/>
        <v>0</v>
      </c>
      <c r="O175" s="133">
        <f t="shared" si="82"/>
        <v>0</v>
      </c>
      <c r="P175" s="133">
        <f t="shared" si="82"/>
        <v>0</v>
      </c>
      <c r="Q175" s="133">
        <f t="shared" si="82"/>
        <v>0</v>
      </c>
      <c r="R175" s="133">
        <f t="shared" si="82"/>
        <v>1.1543365178491491</v>
      </c>
      <c r="S175" s="133">
        <f t="shared" si="82"/>
        <v>0</v>
      </c>
      <c r="T175" s="133">
        <f t="shared" si="82"/>
        <v>0</v>
      </c>
      <c r="U175" s="133">
        <f t="shared" si="77"/>
        <v>0</v>
      </c>
      <c r="W175" s="308">
        <f t="shared" si="78"/>
        <v>32.939971342291521</v>
      </c>
      <c r="X175" s="308">
        <f t="shared" si="61"/>
        <v>33.469076328388311</v>
      </c>
      <c r="Y175" s="308">
        <f t="shared" si="62"/>
        <v>0</v>
      </c>
      <c r="Z175" s="308">
        <f t="shared" si="63"/>
        <v>0</v>
      </c>
      <c r="AA175" s="308">
        <f t="shared" si="64"/>
        <v>32.800733188055531</v>
      </c>
      <c r="AB175" s="308">
        <f t="shared" si="65"/>
        <v>0</v>
      </c>
      <c r="AC175" s="308">
        <f t="shared" si="66"/>
        <v>0</v>
      </c>
      <c r="AD175" s="308">
        <f t="shared" si="67"/>
        <v>0</v>
      </c>
      <c r="AE175" s="308">
        <f t="shared" si="68"/>
        <v>0</v>
      </c>
      <c r="AF175" s="308">
        <f t="shared" si="69"/>
        <v>0</v>
      </c>
      <c r="AG175" s="308">
        <f t="shared" si="70"/>
        <v>0</v>
      </c>
      <c r="AH175" s="308">
        <f t="shared" si="71"/>
        <v>0</v>
      </c>
      <c r="AI175" s="308">
        <f t="shared" si="72"/>
        <v>0</v>
      </c>
      <c r="AJ175" s="308">
        <f t="shared" si="73"/>
        <v>33.850919266615172</v>
      </c>
      <c r="AK175" s="308">
        <f t="shared" si="74"/>
        <v>0</v>
      </c>
      <c r="AL175" s="308">
        <f t="shared" si="75"/>
        <v>0</v>
      </c>
      <c r="AN175" s="327">
        <f t="shared" si="79"/>
        <v>33.265175031337634</v>
      </c>
      <c r="AO175" s="331">
        <f t="shared" si="80"/>
        <v>29.325000762939453</v>
      </c>
    </row>
    <row r="176" spans="2:41">
      <c r="B176" s="102">
        <f t="shared" si="76"/>
        <v>5</v>
      </c>
      <c r="C176" s="113">
        <f>PJM_01212000!A160</f>
        <v>40299</v>
      </c>
      <c r="D176" s="315">
        <f>PJM_01212000!C160</f>
        <v>37.325000000000003</v>
      </c>
      <c r="E176" s="133">
        <f t="shared" si="58"/>
        <v>0</v>
      </c>
      <c r="F176" s="133">
        <f t="shared" si="82"/>
        <v>0</v>
      </c>
      <c r="G176" s="133">
        <f t="shared" si="82"/>
        <v>1.0610266218026732</v>
      </c>
      <c r="H176" s="133">
        <f t="shared" si="82"/>
        <v>1.1254998619307197</v>
      </c>
      <c r="I176" s="133">
        <f t="shared" si="82"/>
        <v>1.1169907033351396</v>
      </c>
      <c r="J176" s="133">
        <f t="shared" si="82"/>
        <v>0</v>
      </c>
      <c r="K176" s="133">
        <f t="shared" si="82"/>
        <v>0</v>
      </c>
      <c r="L176" s="133">
        <f t="shared" si="82"/>
        <v>0</v>
      </c>
      <c r="M176" s="133">
        <f t="shared" si="82"/>
        <v>0</v>
      </c>
      <c r="N176" s="133">
        <f t="shared" si="82"/>
        <v>0</v>
      </c>
      <c r="O176" s="133">
        <f t="shared" si="82"/>
        <v>0</v>
      </c>
      <c r="P176" s="133">
        <f t="shared" si="82"/>
        <v>0</v>
      </c>
      <c r="Q176" s="133">
        <f t="shared" si="82"/>
        <v>0</v>
      </c>
      <c r="R176" s="133">
        <f t="shared" si="82"/>
        <v>1.0876995612465097</v>
      </c>
      <c r="S176" s="133">
        <f t="shared" si="82"/>
        <v>0</v>
      </c>
      <c r="T176" s="133">
        <f t="shared" si="82"/>
        <v>0</v>
      </c>
      <c r="U176" s="133">
        <f t="shared" si="77"/>
        <v>0</v>
      </c>
      <c r="W176" s="308">
        <f t="shared" si="78"/>
        <v>0</v>
      </c>
      <c r="X176" s="308">
        <f t="shared" si="61"/>
        <v>0</v>
      </c>
      <c r="Y176" s="308">
        <f t="shared" si="62"/>
        <v>39.602818658784777</v>
      </c>
      <c r="Z176" s="308">
        <f t="shared" si="63"/>
        <v>42.009282346564113</v>
      </c>
      <c r="AA176" s="308">
        <f t="shared" si="64"/>
        <v>41.691678001984087</v>
      </c>
      <c r="AB176" s="308">
        <f t="shared" si="65"/>
        <v>0</v>
      </c>
      <c r="AC176" s="308">
        <f t="shared" si="66"/>
        <v>0</v>
      </c>
      <c r="AD176" s="308">
        <f t="shared" si="67"/>
        <v>0</v>
      </c>
      <c r="AE176" s="308">
        <f t="shared" si="68"/>
        <v>0</v>
      </c>
      <c r="AF176" s="308">
        <f t="shared" si="69"/>
        <v>0</v>
      </c>
      <c r="AG176" s="308">
        <f t="shared" si="70"/>
        <v>0</v>
      </c>
      <c r="AH176" s="308">
        <f t="shared" si="71"/>
        <v>0</v>
      </c>
      <c r="AI176" s="308">
        <f t="shared" si="72"/>
        <v>0</v>
      </c>
      <c r="AJ176" s="308">
        <f t="shared" si="73"/>
        <v>40.598386123525977</v>
      </c>
      <c r="AK176" s="308">
        <f t="shared" si="74"/>
        <v>0</v>
      </c>
      <c r="AL176" s="308">
        <f t="shared" si="75"/>
        <v>0</v>
      </c>
      <c r="AN176" s="327">
        <f t="shared" si="79"/>
        <v>40.975541282714737</v>
      </c>
      <c r="AO176" s="331">
        <f t="shared" si="80"/>
        <v>37.325000000000003</v>
      </c>
    </row>
    <row r="177" spans="2:41">
      <c r="B177" s="102">
        <f t="shared" si="76"/>
        <v>6</v>
      </c>
      <c r="C177" s="113">
        <f>PJM_01212000!A161</f>
        <v>40330</v>
      </c>
      <c r="D177" s="315">
        <f>PJM_01212000!C161</f>
        <v>62.349998474121094</v>
      </c>
      <c r="E177" s="133">
        <f t="shared" si="58"/>
        <v>0</v>
      </c>
      <c r="F177" s="133">
        <f t="shared" si="82"/>
        <v>0</v>
      </c>
      <c r="G177" s="133">
        <f t="shared" si="82"/>
        <v>0</v>
      </c>
      <c r="H177" s="133">
        <f t="shared" si="82"/>
        <v>0</v>
      </c>
      <c r="I177" s="133">
        <f t="shared" si="82"/>
        <v>0</v>
      </c>
      <c r="J177" s="133">
        <f t="shared" si="82"/>
        <v>0</v>
      </c>
      <c r="K177" s="133">
        <f t="shared" si="82"/>
        <v>1.2209201862181771</v>
      </c>
      <c r="L177" s="133">
        <f t="shared" si="82"/>
        <v>1.2303149771421382</v>
      </c>
      <c r="M177" s="133">
        <f t="shared" si="82"/>
        <v>1.2323281466258438</v>
      </c>
      <c r="N177" s="133">
        <f t="shared" si="82"/>
        <v>1.2523256301639896</v>
      </c>
      <c r="O177" s="133">
        <f t="shared" si="82"/>
        <v>0</v>
      </c>
      <c r="P177" s="133">
        <f t="shared" si="82"/>
        <v>0</v>
      </c>
      <c r="Q177" s="133">
        <f t="shared" si="82"/>
        <v>0</v>
      </c>
      <c r="R177" s="133">
        <f t="shared" si="82"/>
        <v>0</v>
      </c>
      <c r="S177" s="133">
        <f t="shared" si="82"/>
        <v>0</v>
      </c>
      <c r="T177" s="133">
        <f t="shared" si="82"/>
        <v>0</v>
      </c>
      <c r="U177" s="133">
        <f t="shared" si="77"/>
        <v>0</v>
      </c>
      <c r="W177" s="308">
        <f t="shared" si="78"/>
        <v>0</v>
      </c>
      <c r="X177" s="308">
        <f t="shared" si="61"/>
        <v>0</v>
      </c>
      <c r="Y177" s="308">
        <f t="shared" si="62"/>
        <v>0</v>
      </c>
      <c r="Z177" s="308">
        <f t="shared" si="63"/>
        <v>0</v>
      </c>
      <c r="AA177" s="308">
        <f t="shared" si="64"/>
        <v>0</v>
      </c>
      <c r="AB177" s="308">
        <f t="shared" si="65"/>
        <v>0</v>
      </c>
      <c r="AC177" s="308">
        <f t="shared" si="66"/>
        <v>76.124371747726983</v>
      </c>
      <c r="AD177" s="308">
        <f t="shared" si="67"/>
        <v>76.710136947500644</v>
      </c>
      <c r="AE177" s="308">
        <f t="shared" si="68"/>
        <v>76.835658061737831</v>
      </c>
      <c r="AF177" s="308">
        <f t="shared" si="69"/>
        <v>78.082501129827492</v>
      </c>
      <c r="AG177" s="308">
        <f t="shared" si="70"/>
        <v>0</v>
      </c>
      <c r="AH177" s="308">
        <f t="shared" si="71"/>
        <v>0</v>
      </c>
      <c r="AI177" s="308">
        <f t="shared" si="72"/>
        <v>0</v>
      </c>
      <c r="AJ177" s="308">
        <f t="shared" si="73"/>
        <v>0</v>
      </c>
      <c r="AK177" s="308">
        <f t="shared" si="74"/>
        <v>0</v>
      </c>
      <c r="AL177" s="308">
        <f t="shared" si="75"/>
        <v>0</v>
      </c>
      <c r="AN177" s="327">
        <f t="shared" si="79"/>
        <v>76.938166971698237</v>
      </c>
      <c r="AO177" s="331">
        <f t="shared" si="80"/>
        <v>62.349998474121094</v>
      </c>
    </row>
    <row r="178" spans="2:41">
      <c r="B178" s="102">
        <f t="shared" si="76"/>
        <v>7</v>
      </c>
      <c r="C178" s="113">
        <f>PJM_01212000!A162</f>
        <v>40360</v>
      </c>
      <c r="D178" s="315">
        <f>PJM_01212000!C162</f>
        <v>106.94999694824219</v>
      </c>
      <c r="E178" s="133">
        <f t="shared" si="58"/>
        <v>0</v>
      </c>
      <c r="F178" s="133">
        <f t="shared" si="82"/>
        <v>0</v>
      </c>
      <c r="G178" s="133">
        <f t="shared" si="82"/>
        <v>0</v>
      </c>
      <c r="H178" s="133">
        <f t="shared" si="82"/>
        <v>0</v>
      </c>
      <c r="I178" s="133">
        <f t="shared" si="82"/>
        <v>0</v>
      </c>
      <c r="J178" s="133">
        <f t="shared" si="82"/>
        <v>0</v>
      </c>
      <c r="K178" s="133">
        <f t="shared" si="82"/>
        <v>0</v>
      </c>
      <c r="L178" s="133">
        <f t="shared" si="82"/>
        <v>1.2506946851612968</v>
      </c>
      <c r="M178" s="133">
        <f t="shared" si="82"/>
        <v>1.3273401940004199</v>
      </c>
      <c r="N178" s="133">
        <f t="shared" si="82"/>
        <v>1.3538888162792144</v>
      </c>
      <c r="O178" s="133">
        <f t="shared" si="82"/>
        <v>1.3203393586734773</v>
      </c>
      <c r="P178" s="133">
        <f t="shared" si="82"/>
        <v>0</v>
      </c>
      <c r="Q178" s="133">
        <f t="shared" si="82"/>
        <v>0</v>
      </c>
      <c r="R178" s="133">
        <f t="shared" si="82"/>
        <v>0</v>
      </c>
      <c r="S178" s="133">
        <f t="shared" si="82"/>
        <v>0</v>
      </c>
      <c r="T178" s="133">
        <f t="shared" si="82"/>
        <v>0</v>
      </c>
      <c r="U178" s="133">
        <f t="shared" si="77"/>
        <v>0</v>
      </c>
      <c r="W178" s="308">
        <f t="shared" si="78"/>
        <v>0</v>
      </c>
      <c r="X178" s="308">
        <f t="shared" si="61"/>
        <v>0</v>
      </c>
      <c r="Y178" s="308">
        <f t="shared" si="62"/>
        <v>0</v>
      </c>
      <c r="Z178" s="308">
        <f t="shared" si="63"/>
        <v>0</v>
      </c>
      <c r="AA178" s="308">
        <f t="shared" si="64"/>
        <v>0</v>
      </c>
      <c r="AB178" s="308">
        <f t="shared" si="65"/>
        <v>0</v>
      </c>
      <c r="AC178" s="308">
        <f t="shared" si="66"/>
        <v>0</v>
      </c>
      <c r="AD178" s="308">
        <f t="shared" si="67"/>
        <v>133.76179276118341</v>
      </c>
      <c r="AE178" s="308">
        <f t="shared" si="68"/>
        <v>141.95902969762409</v>
      </c>
      <c r="AF178" s="308">
        <f t="shared" si="69"/>
        <v>144.79840476932122</v>
      </c>
      <c r="AG178" s="308">
        <f t="shared" si="70"/>
        <v>141.21029038077245</v>
      </c>
      <c r="AH178" s="308">
        <f t="shared" si="71"/>
        <v>0</v>
      </c>
      <c r="AI178" s="308">
        <f t="shared" si="72"/>
        <v>0</v>
      </c>
      <c r="AJ178" s="308">
        <f t="shared" si="73"/>
        <v>0</v>
      </c>
      <c r="AK178" s="308">
        <f t="shared" si="74"/>
        <v>0</v>
      </c>
      <c r="AL178" s="308">
        <f t="shared" si="75"/>
        <v>0</v>
      </c>
      <c r="AN178" s="327">
        <f t="shared" si="79"/>
        <v>140.43237940222531</v>
      </c>
      <c r="AO178" s="331">
        <f t="shared" si="80"/>
        <v>106.94999694824219</v>
      </c>
    </row>
    <row r="179" spans="2:41">
      <c r="B179" s="102">
        <f t="shared" si="76"/>
        <v>8</v>
      </c>
      <c r="C179" s="113">
        <f>PJM_01212000!A163</f>
        <v>40391</v>
      </c>
      <c r="D179" s="315">
        <f>PJM_01212000!C163</f>
        <v>93.949996948242188</v>
      </c>
      <c r="E179" s="133">
        <f t="shared" si="58"/>
        <v>0</v>
      </c>
      <c r="F179" s="133">
        <f t="shared" si="82"/>
        <v>0</v>
      </c>
      <c r="G179" s="133">
        <f t="shared" si="82"/>
        <v>0</v>
      </c>
      <c r="H179" s="133">
        <f t="shared" si="82"/>
        <v>0</v>
      </c>
      <c r="I179" s="133">
        <f t="shared" si="82"/>
        <v>0</v>
      </c>
      <c r="J179" s="133">
        <f t="shared" si="82"/>
        <v>0</v>
      </c>
      <c r="K179" s="133">
        <f t="shared" si="82"/>
        <v>1.1907290919069531</v>
      </c>
      <c r="L179" s="133">
        <f t="shared" si="82"/>
        <v>1.26057331025457</v>
      </c>
      <c r="M179" s="133">
        <f t="shared" si="82"/>
        <v>1.2430109342677418</v>
      </c>
      <c r="N179" s="133">
        <f t="shared" si="82"/>
        <v>1.2150462278887151</v>
      </c>
      <c r="O179" s="133">
        <f t="shared" si="82"/>
        <v>0</v>
      </c>
      <c r="P179" s="133">
        <f t="shared" si="82"/>
        <v>0</v>
      </c>
      <c r="Q179" s="133">
        <f t="shared" si="82"/>
        <v>0</v>
      </c>
      <c r="R179" s="133">
        <f t="shared" si="82"/>
        <v>0</v>
      </c>
      <c r="S179" s="133">
        <f t="shared" si="82"/>
        <v>0</v>
      </c>
      <c r="T179" s="133">
        <f t="shared" si="82"/>
        <v>0</v>
      </c>
      <c r="U179" s="133">
        <f t="shared" si="77"/>
        <v>0</v>
      </c>
      <c r="W179" s="308">
        <f t="shared" si="78"/>
        <v>0</v>
      </c>
      <c r="X179" s="308">
        <f t="shared" si="61"/>
        <v>0</v>
      </c>
      <c r="Y179" s="308">
        <f t="shared" si="62"/>
        <v>0</v>
      </c>
      <c r="Z179" s="308">
        <f t="shared" si="63"/>
        <v>0</v>
      </c>
      <c r="AA179" s="308">
        <f t="shared" si="64"/>
        <v>0</v>
      </c>
      <c r="AB179" s="308">
        <f t="shared" si="65"/>
        <v>0</v>
      </c>
      <c r="AC179" s="308">
        <f t="shared" si="66"/>
        <v>111.86899455084144</v>
      </c>
      <c r="AD179" s="308">
        <f t="shared" si="67"/>
        <v>118.4308586514524</v>
      </c>
      <c r="AE179" s="308">
        <f t="shared" si="68"/>
        <v>116.780873481086</v>
      </c>
      <c r="AF179" s="308">
        <f t="shared" si="69"/>
        <v>114.15358940211796</v>
      </c>
      <c r="AG179" s="308">
        <f t="shared" si="70"/>
        <v>0</v>
      </c>
      <c r="AH179" s="308">
        <f t="shared" si="71"/>
        <v>0</v>
      </c>
      <c r="AI179" s="308">
        <f t="shared" si="72"/>
        <v>0</v>
      </c>
      <c r="AJ179" s="308">
        <f t="shared" si="73"/>
        <v>0</v>
      </c>
      <c r="AK179" s="308">
        <f t="shared" si="74"/>
        <v>0</v>
      </c>
      <c r="AL179" s="308">
        <f t="shared" si="75"/>
        <v>0</v>
      </c>
      <c r="AN179" s="327">
        <f t="shared" si="79"/>
        <v>115.30857902137446</v>
      </c>
      <c r="AO179" s="331">
        <f t="shared" si="80"/>
        <v>93.949996948242188</v>
      </c>
    </row>
    <row r="180" spans="2:41">
      <c r="B180" s="102">
        <f t="shared" si="76"/>
        <v>9</v>
      </c>
      <c r="C180" s="113">
        <f>PJM_01212000!A164</f>
        <v>40422</v>
      </c>
      <c r="D180" s="315">
        <f>PJM_01212000!C164</f>
        <v>36.424998474121097</v>
      </c>
      <c r="E180" s="133">
        <f t="shared" si="58"/>
        <v>0</v>
      </c>
      <c r="F180" s="133">
        <f t="shared" ref="F180:T189" si="83">VLOOKUP($B180,$C$6:$Z$17,F$22+1)</f>
        <v>0</v>
      </c>
      <c r="G180" s="133">
        <f t="shared" si="83"/>
        <v>0</v>
      </c>
      <c r="H180" s="133">
        <f t="shared" si="83"/>
        <v>0</v>
      </c>
      <c r="I180" s="133">
        <f t="shared" si="83"/>
        <v>0</v>
      </c>
      <c r="J180" s="133">
        <f t="shared" si="83"/>
        <v>0</v>
      </c>
      <c r="K180" s="133">
        <f t="shared" si="83"/>
        <v>0</v>
      </c>
      <c r="L180" s="133">
        <f t="shared" si="83"/>
        <v>0</v>
      </c>
      <c r="M180" s="133">
        <f t="shared" si="83"/>
        <v>0</v>
      </c>
      <c r="N180" s="133">
        <f t="shared" si="83"/>
        <v>1.1345284089868721</v>
      </c>
      <c r="O180" s="133">
        <f t="shared" si="83"/>
        <v>1.1066962078625975</v>
      </c>
      <c r="P180" s="133">
        <f t="shared" si="83"/>
        <v>0</v>
      </c>
      <c r="Q180" s="133">
        <f t="shared" si="83"/>
        <v>1.184626371010566</v>
      </c>
      <c r="R180" s="133">
        <f t="shared" si="83"/>
        <v>1.1944408840385996</v>
      </c>
      <c r="S180" s="133">
        <f t="shared" si="83"/>
        <v>0</v>
      </c>
      <c r="T180" s="133">
        <f t="shared" si="83"/>
        <v>0</v>
      </c>
      <c r="U180" s="133">
        <f t="shared" si="77"/>
        <v>0</v>
      </c>
      <c r="W180" s="308">
        <f t="shared" si="78"/>
        <v>0</v>
      </c>
      <c r="X180" s="308">
        <f t="shared" si="61"/>
        <v>0</v>
      </c>
      <c r="Y180" s="308">
        <f t="shared" si="62"/>
        <v>0</v>
      </c>
      <c r="Z180" s="308">
        <f t="shared" si="63"/>
        <v>0</v>
      </c>
      <c r="AA180" s="308">
        <f t="shared" si="64"/>
        <v>0</v>
      </c>
      <c r="AB180" s="308">
        <f t="shared" si="65"/>
        <v>0</v>
      </c>
      <c r="AC180" s="308">
        <f t="shared" si="66"/>
        <v>0</v>
      </c>
      <c r="AD180" s="308">
        <f t="shared" si="67"/>
        <v>0</v>
      </c>
      <c r="AE180" s="308">
        <f t="shared" si="68"/>
        <v>0</v>
      </c>
      <c r="AF180" s="308">
        <f t="shared" si="69"/>
        <v>41.325195566193855</v>
      </c>
      <c r="AG180" s="308">
        <f t="shared" si="70"/>
        <v>40.311407682710716</v>
      </c>
      <c r="AH180" s="308">
        <f t="shared" si="71"/>
        <v>0</v>
      </c>
      <c r="AI180" s="308">
        <f t="shared" si="72"/>
        <v>43.15001375646348</v>
      </c>
      <c r="AJ180" s="308">
        <f t="shared" si="73"/>
        <v>43.507507378533845</v>
      </c>
      <c r="AK180" s="308">
        <f t="shared" si="74"/>
        <v>0</v>
      </c>
      <c r="AL180" s="308">
        <f t="shared" si="75"/>
        <v>0</v>
      </c>
      <c r="AN180" s="327">
        <f t="shared" si="79"/>
        <v>42.073531095975476</v>
      </c>
      <c r="AO180" s="331">
        <f t="shared" si="80"/>
        <v>36.424998474121097</v>
      </c>
    </row>
    <row r="181" spans="2:41">
      <c r="B181" s="102">
        <f t="shared" si="76"/>
        <v>10</v>
      </c>
      <c r="C181" s="113">
        <f>PJM_01212000!A165</f>
        <v>40452</v>
      </c>
      <c r="D181" s="315">
        <f>PJM_01212000!C165</f>
        <v>30.075000381469728</v>
      </c>
      <c r="E181" s="133">
        <f t="shared" si="58"/>
        <v>0</v>
      </c>
      <c r="F181" s="133">
        <f t="shared" si="83"/>
        <v>1.1326000000000001</v>
      </c>
      <c r="G181" s="133">
        <f t="shared" si="83"/>
        <v>0</v>
      </c>
      <c r="H181" s="133">
        <f t="shared" si="83"/>
        <v>0</v>
      </c>
      <c r="I181" s="133">
        <f t="shared" si="83"/>
        <v>0</v>
      </c>
      <c r="J181" s="133">
        <f t="shared" si="83"/>
        <v>0</v>
      </c>
      <c r="K181" s="133">
        <f t="shared" si="83"/>
        <v>0</v>
      </c>
      <c r="L181" s="133">
        <f t="shared" si="83"/>
        <v>0</v>
      </c>
      <c r="M181" s="133">
        <f t="shared" si="83"/>
        <v>0</v>
      </c>
      <c r="N181" s="133">
        <f t="shared" si="83"/>
        <v>0</v>
      </c>
      <c r="O181" s="133">
        <f t="shared" si="83"/>
        <v>1.2000999999999999</v>
      </c>
      <c r="P181" s="133">
        <f t="shared" si="83"/>
        <v>1.2095</v>
      </c>
      <c r="Q181" s="133">
        <f t="shared" si="83"/>
        <v>1.1567000000000001</v>
      </c>
      <c r="R181" s="133">
        <f t="shared" si="83"/>
        <v>0</v>
      </c>
      <c r="S181" s="133">
        <f t="shared" si="83"/>
        <v>0</v>
      </c>
      <c r="T181" s="133">
        <f t="shared" si="83"/>
        <v>0</v>
      </c>
      <c r="U181" s="133">
        <f t="shared" si="77"/>
        <v>0</v>
      </c>
      <c r="W181" s="308">
        <f t="shared" si="78"/>
        <v>0</v>
      </c>
      <c r="X181" s="308">
        <f t="shared" si="61"/>
        <v>34.062945432052615</v>
      </c>
      <c r="Y181" s="308">
        <f t="shared" si="62"/>
        <v>0</v>
      </c>
      <c r="Z181" s="308">
        <f t="shared" si="63"/>
        <v>0</v>
      </c>
      <c r="AA181" s="308">
        <f t="shared" si="64"/>
        <v>0</v>
      </c>
      <c r="AB181" s="308">
        <f t="shared" si="65"/>
        <v>0</v>
      </c>
      <c r="AC181" s="308">
        <f t="shared" si="66"/>
        <v>0</v>
      </c>
      <c r="AD181" s="308">
        <f t="shared" si="67"/>
        <v>0</v>
      </c>
      <c r="AE181" s="308">
        <f t="shared" si="68"/>
        <v>0</v>
      </c>
      <c r="AF181" s="308">
        <f t="shared" si="69"/>
        <v>0</v>
      </c>
      <c r="AG181" s="308">
        <f t="shared" si="70"/>
        <v>36.093007957801817</v>
      </c>
      <c r="AH181" s="308">
        <f t="shared" si="71"/>
        <v>36.375712961387634</v>
      </c>
      <c r="AI181" s="308">
        <f t="shared" si="72"/>
        <v>34.787752941246033</v>
      </c>
      <c r="AJ181" s="308">
        <f t="shared" si="73"/>
        <v>0</v>
      </c>
      <c r="AK181" s="308">
        <f t="shared" si="74"/>
        <v>0</v>
      </c>
      <c r="AL181" s="308">
        <f t="shared" si="75"/>
        <v>0</v>
      </c>
      <c r="AN181" s="327">
        <f t="shared" si="79"/>
        <v>35.329854823122027</v>
      </c>
      <c r="AO181" s="331">
        <f t="shared" si="80"/>
        <v>30.075000381469728</v>
      </c>
    </row>
    <row r="182" spans="2:41">
      <c r="B182" s="102">
        <f t="shared" si="76"/>
        <v>11</v>
      </c>
      <c r="C182" s="113">
        <f>PJM_01212000!A166</f>
        <v>40483</v>
      </c>
      <c r="D182" s="315">
        <f>PJM_01212000!C166</f>
        <v>29.747499084472658</v>
      </c>
      <c r="E182" s="133">
        <f t="shared" si="58"/>
        <v>0</v>
      </c>
      <c r="F182" s="133">
        <f t="shared" si="83"/>
        <v>1.1426000000000001</v>
      </c>
      <c r="G182" s="133">
        <f t="shared" si="83"/>
        <v>0</v>
      </c>
      <c r="H182" s="133">
        <f t="shared" si="83"/>
        <v>0</v>
      </c>
      <c r="I182" s="133">
        <f t="shared" si="83"/>
        <v>0</v>
      </c>
      <c r="J182" s="133">
        <f t="shared" si="83"/>
        <v>0</v>
      </c>
      <c r="K182" s="133">
        <f t="shared" si="83"/>
        <v>0</v>
      </c>
      <c r="L182" s="133">
        <f t="shared" si="83"/>
        <v>0</v>
      </c>
      <c r="M182" s="133">
        <f t="shared" si="83"/>
        <v>0</v>
      </c>
      <c r="N182" s="133">
        <f t="shared" si="83"/>
        <v>0</v>
      </c>
      <c r="O182" s="133">
        <f t="shared" si="83"/>
        <v>1.2171000000000001</v>
      </c>
      <c r="P182" s="133">
        <f t="shared" si="83"/>
        <v>1.2269000000000001</v>
      </c>
      <c r="Q182" s="133">
        <f t="shared" si="83"/>
        <v>1.1767000000000001</v>
      </c>
      <c r="R182" s="133">
        <f t="shared" si="83"/>
        <v>0</v>
      </c>
      <c r="S182" s="133">
        <f t="shared" si="83"/>
        <v>0</v>
      </c>
      <c r="T182" s="133">
        <f t="shared" si="83"/>
        <v>0</v>
      </c>
      <c r="U182" s="133">
        <f t="shared" si="77"/>
        <v>0</v>
      </c>
      <c r="W182" s="308">
        <f t="shared" si="78"/>
        <v>0</v>
      </c>
      <c r="X182" s="308">
        <f t="shared" si="61"/>
        <v>33.989492453918459</v>
      </c>
      <c r="Y182" s="308">
        <f t="shared" si="62"/>
        <v>0</v>
      </c>
      <c r="Z182" s="308">
        <f t="shared" si="63"/>
        <v>0</v>
      </c>
      <c r="AA182" s="308">
        <f t="shared" si="64"/>
        <v>0</v>
      </c>
      <c r="AB182" s="308">
        <f t="shared" si="65"/>
        <v>0</v>
      </c>
      <c r="AC182" s="308">
        <f t="shared" si="66"/>
        <v>0</v>
      </c>
      <c r="AD182" s="308">
        <f t="shared" si="67"/>
        <v>0</v>
      </c>
      <c r="AE182" s="308">
        <f t="shared" si="68"/>
        <v>0</v>
      </c>
      <c r="AF182" s="308">
        <f t="shared" si="69"/>
        <v>0</v>
      </c>
      <c r="AG182" s="308">
        <f t="shared" si="70"/>
        <v>36.205681135711671</v>
      </c>
      <c r="AH182" s="308">
        <f t="shared" si="71"/>
        <v>36.497206626739505</v>
      </c>
      <c r="AI182" s="308">
        <f t="shared" si="72"/>
        <v>35.00388217269898</v>
      </c>
      <c r="AJ182" s="308">
        <f t="shared" si="73"/>
        <v>0</v>
      </c>
      <c r="AK182" s="308">
        <f t="shared" si="74"/>
        <v>0</v>
      </c>
      <c r="AL182" s="308">
        <f t="shared" si="75"/>
        <v>0</v>
      </c>
      <c r="AN182" s="327">
        <f t="shared" si="79"/>
        <v>35.424065597267152</v>
      </c>
      <c r="AO182" s="331">
        <f t="shared" si="80"/>
        <v>29.747499084472658</v>
      </c>
    </row>
    <row r="183" spans="2:41">
      <c r="B183" s="102">
        <f t="shared" si="76"/>
        <v>12</v>
      </c>
      <c r="C183" s="113">
        <f>PJM_01212000!A167</f>
        <v>40513</v>
      </c>
      <c r="D183" s="315">
        <f>PJM_01212000!C167</f>
        <v>31.499999618530275</v>
      </c>
      <c r="E183" s="133">
        <f t="shared" si="58"/>
        <v>0</v>
      </c>
      <c r="F183" s="133">
        <f t="shared" si="83"/>
        <v>1.1637999999999999</v>
      </c>
      <c r="G183" s="133">
        <f t="shared" si="83"/>
        <v>0</v>
      </c>
      <c r="H183" s="133">
        <f t="shared" si="83"/>
        <v>0</v>
      </c>
      <c r="I183" s="133">
        <f t="shared" si="83"/>
        <v>0</v>
      </c>
      <c r="J183" s="133">
        <f t="shared" si="83"/>
        <v>0</v>
      </c>
      <c r="K183" s="133">
        <f t="shared" si="83"/>
        <v>0</v>
      </c>
      <c r="L183" s="133">
        <f t="shared" si="83"/>
        <v>0</v>
      </c>
      <c r="M183" s="133">
        <f t="shared" si="83"/>
        <v>0</v>
      </c>
      <c r="N183" s="133">
        <f t="shared" si="83"/>
        <v>0</v>
      </c>
      <c r="O183" s="133">
        <f t="shared" si="83"/>
        <v>1.2396592528631896</v>
      </c>
      <c r="P183" s="133">
        <f t="shared" si="83"/>
        <v>1.2314000000000001</v>
      </c>
      <c r="Q183" s="133">
        <f t="shared" si="83"/>
        <v>1.1889963083145296</v>
      </c>
      <c r="R183" s="133">
        <f t="shared" si="83"/>
        <v>0</v>
      </c>
      <c r="S183" s="133">
        <f t="shared" si="83"/>
        <v>0</v>
      </c>
      <c r="T183" s="133">
        <f t="shared" si="83"/>
        <v>0</v>
      </c>
      <c r="U183" s="133">
        <f t="shared" si="77"/>
        <v>0</v>
      </c>
      <c r="W183" s="308">
        <f t="shared" si="78"/>
        <v>0</v>
      </c>
      <c r="X183" s="308">
        <f t="shared" si="61"/>
        <v>36.659699556045531</v>
      </c>
      <c r="Y183" s="308">
        <f t="shared" si="62"/>
        <v>0</v>
      </c>
      <c r="Z183" s="308">
        <f t="shared" si="63"/>
        <v>0</v>
      </c>
      <c r="AA183" s="308">
        <f t="shared" si="64"/>
        <v>0</v>
      </c>
      <c r="AB183" s="308">
        <f t="shared" si="65"/>
        <v>0</v>
      </c>
      <c r="AC183" s="308">
        <f t="shared" si="66"/>
        <v>0</v>
      </c>
      <c r="AD183" s="308">
        <f t="shared" si="67"/>
        <v>0</v>
      </c>
      <c r="AE183" s="308">
        <f t="shared" si="68"/>
        <v>0</v>
      </c>
      <c r="AF183" s="308">
        <f t="shared" si="69"/>
        <v>0</v>
      </c>
      <c r="AG183" s="308">
        <f t="shared" si="70"/>
        <v>39.049265992297997</v>
      </c>
      <c r="AH183" s="308">
        <f t="shared" si="71"/>
        <v>38.789099530258184</v>
      </c>
      <c r="AI183" s="308">
        <f t="shared" si="72"/>
        <v>37.453383258341589</v>
      </c>
      <c r="AJ183" s="308">
        <f t="shared" si="73"/>
        <v>0</v>
      </c>
      <c r="AK183" s="308">
        <f t="shared" si="74"/>
        <v>0</v>
      </c>
      <c r="AL183" s="308">
        <f t="shared" si="75"/>
        <v>0</v>
      </c>
      <c r="AN183" s="327">
        <f t="shared" si="79"/>
        <v>37.987862084235829</v>
      </c>
      <c r="AO183" s="331">
        <f t="shared" si="80"/>
        <v>31.499999618530275</v>
      </c>
    </row>
    <row r="184" spans="2:41">
      <c r="B184" s="102">
        <f t="shared" si="76"/>
        <v>1</v>
      </c>
      <c r="C184" s="113">
        <f>PJM_01212000!A168</f>
        <v>40544</v>
      </c>
      <c r="D184" s="315">
        <f>PJM_01212000!C168</f>
        <v>40.074998474121088</v>
      </c>
      <c r="E184" s="133">
        <f t="shared" si="58"/>
        <v>0</v>
      </c>
      <c r="F184" s="133">
        <f t="shared" si="83"/>
        <v>1.1998117566192825</v>
      </c>
      <c r="G184" s="133">
        <f t="shared" si="83"/>
        <v>1.1961600115620716</v>
      </c>
      <c r="H184" s="133">
        <f t="shared" si="83"/>
        <v>0</v>
      </c>
      <c r="I184" s="133">
        <f t="shared" si="83"/>
        <v>0</v>
      </c>
      <c r="J184" s="133">
        <f t="shared" si="83"/>
        <v>0</v>
      </c>
      <c r="K184" s="133">
        <f t="shared" si="83"/>
        <v>0</v>
      </c>
      <c r="L184" s="133">
        <f t="shared" si="83"/>
        <v>0</v>
      </c>
      <c r="M184" s="133">
        <f t="shared" si="83"/>
        <v>0</v>
      </c>
      <c r="N184" s="133">
        <f t="shared" si="83"/>
        <v>0</v>
      </c>
      <c r="O184" s="133">
        <f t="shared" si="83"/>
        <v>0</v>
      </c>
      <c r="P184" s="133">
        <f t="shared" si="83"/>
        <v>1.2818992289435116</v>
      </c>
      <c r="Q184" s="133">
        <f t="shared" si="83"/>
        <v>1.2270000000000001</v>
      </c>
      <c r="R184" s="133">
        <f t="shared" si="83"/>
        <v>0</v>
      </c>
      <c r="S184" s="133">
        <f t="shared" si="83"/>
        <v>0</v>
      </c>
      <c r="T184" s="133">
        <f t="shared" si="83"/>
        <v>0</v>
      </c>
      <c r="U184" s="133">
        <f t="shared" si="77"/>
        <v>0</v>
      </c>
      <c r="W184" s="308">
        <f t="shared" si="78"/>
        <v>0</v>
      </c>
      <c r="X184" s="308">
        <f t="shared" si="61"/>
        <v>48.08245431575029</v>
      </c>
      <c r="Y184" s="308">
        <f t="shared" si="62"/>
        <v>47.93611063815468</v>
      </c>
      <c r="Z184" s="308">
        <f t="shared" si="63"/>
        <v>0</v>
      </c>
      <c r="AA184" s="308">
        <f t="shared" si="64"/>
        <v>0</v>
      </c>
      <c r="AB184" s="308">
        <f t="shared" si="65"/>
        <v>0</v>
      </c>
      <c r="AC184" s="308">
        <f t="shared" si="66"/>
        <v>0</v>
      </c>
      <c r="AD184" s="308">
        <f t="shared" si="67"/>
        <v>0</v>
      </c>
      <c r="AE184" s="308">
        <f t="shared" si="68"/>
        <v>0</v>
      </c>
      <c r="AF184" s="308">
        <f t="shared" si="69"/>
        <v>0</v>
      </c>
      <c r="AG184" s="308">
        <f t="shared" si="70"/>
        <v>0</v>
      </c>
      <c r="AH184" s="308">
        <f t="shared" si="71"/>
        <v>51.37210964388823</v>
      </c>
      <c r="AI184" s="308">
        <f t="shared" si="72"/>
        <v>49.172023127746577</v>
      </c>
      <c r="AJ184" s="308">
        <f t="shared" si="73"/>
        <v>0</v>
      </c>
      <c r="AK184" s="308">
        <f t="shared" si="74"/>
        <v>0</v>
      </c>
      <c r="AL184" s="308">
        <f t="shared" si="75"/>
        <v>0</v>
      </c>
      <c r="AN184" s="327">
        <f t="shared" si="79"/>
        <v>49.140674431384944</v>
      </c>
      <c r="AO184" s="331">
        <f t="shared" si="80"/>
        <v>40.074998474121088</v>
      </c>
    </row>
    <row r="185" spans="2:41">
      <c r="B185" s="102">
        <f t="shared" si="76"/>
        <v>2</v>
      </c>
      <c r="C185" s="113">
        <f>PJM_01212000!A169</f>
        <v>40575</v>
      </c>
      <c r="D185" s="315">
        <f>PJM_01212000!C169</f>
        <v>40.074998474121088</v>
      </c>
      <c r="E185" s="133">
        <f t="shared" si="58"/>
        <v>0</v>
      </c>
      <c r="F185" s="133">
        <f t="shared" si="83"/>
        <v>1.1998117566192825</v>
      </c>
      <c r="G185" s="133">
        <f t="shared" si="83"/>
        <v>1.1961600115620716</v>
      </c>
      <c r="H185" s="133">
        <f t="shared" si="83"/>
        <v>0</v>
      </c>
      <c r="I185" s="133">
        <f t="shared" si="83"/>
        <v>0</v>
      </c>
      <c r="J185" s="133">
        <f t="shared" si="83"/>
        <v>0</v>
      </c>
      <c r="K185" s="133">
        <f t="shared" si="83"/>
        <v>0</v>
      </c>
      <c r="L185" s="133">
        <f t="shared" si="83"/>
        <v>0</v>
      </c>
      <c r="M185" s="133">
        <f t="shared" si="83"/>
        <v>0</v>
      </c>
      <c r="N185" s="133">
        <f t="shared" si="83"/>
        <v>0</v>
      </c>
      <c r="O185" s="133">
        <f t="shared" si="83"/>
        <v>0</v>
      </c>
      <c r="P185" s="133">
        <f t="shared" si="83"/>
        <v>1.2818992289435116</v>
      </c>
      <c r="Q185" s="133">
        <f t="shared" si="83"/>
        <v>1.2270000000000001</v>
      </c>
      <c r="R185" s="133">
        <f t="shared" si="83"/>
        <v>0</v>
      </c>
      <c r="S185" s="133">
        <f t="shared" si="83"/>
        <v>0</v>
      </c>
      <c r="T185" s="133">
        <f t="shared" si="83"/>
        <v>0</v>
      </c>
      <c r="U185" s="133">
        <f t="shared" si="77"/>
        <v>0</v>
      </c>
      <c r="W185" s="308">
        <f t="shared" si="78"/>
        <v>0</v>
      </c>
      <c r="X185" s="308">
        <f t="shared" si="61"/>
        <v>48.08245431575029</v>
      </c>
      <c r="Y185" s="308">
        <f t="shared" si="62"/>
        <v>47.93611063815468</v>
      </c>
      <c r="Z185" s="308">
        <f t="shared" si="63"/>
        <v>0</v>
      </c>
      <c r="AA185" s="308">
        <f t="shared" si="64"/>
        <v>0</v>
      </c>
      <c r="AB185" s="308">
        <f t="shared" si="65"/>
        <v>0</v>
      </c>
      <c r="AC185" s="308">
        <f t="shared" si="66"/>
        <v>0</v>
      </c>
      <c r="AD185" s="308">
        <f t="shared" si="67"/>
        <v>0</v>
      </c>
      <c r="AE185" s="308">
        <f t="shared" si="68"/>
        <v>0</v>
      </c>
      <c r="AF185" s="308">
        <f t="shared" si="69"/>
        <v>0</v>
      </c>
      <c r="AG185" s="308">
        <f t="shared" si="70"/>
        <v>0</v>
      </c>
      <c r="AH185" s="308">
        <f t="shared" si="71"/>
        <v>51.37210964388823</v>
      </c>
      <c r="AI185" s="308">
        <f t="shared" si="72"/>
        <v>49.172023127746577</v>
      </c>
      <c r="AJ185" s="308">
        <f t="shared" si="73"/>
        <v>0</v>
      </c>
      <c r="AK185" s="308">
        <f t="shared" si="74"/>
        <v>0</v>
      </c>
      <c r="AL185" s="308">
        <f t="shared" si="75"/>
        <v>0</v>
      </c>
      <c r="AN185" s="327">
        <f t="shared" si="79"/>
        <v>49.140674431384944</v>
      </c>
      <c r="AO185" s="331">
        <f t="shared" si="80"/>
        <v>40.074998474121088</v>
      </c>
    </row>
    <row r="186" spans="2:41">
      <c r="B186" s="102">
        <f t="shared" si="76"/>
        <v>3</v>
      </c>
      <c r="C186" s="113">
        <f>PJM_01212000!A170</f>
        <v>40603</v>
      </c>
      <c r="D186" s="315">
        <f>PJM_01212000!C170</f>
        <v>29.800000762939455</v>
      </c>
      <c r="E186" s="133">
        <f t="shared" si="58"/>
        <v>0</v>
      </c>
      <c r="F186" s="133">
        <f t="shared" si="83"/>
        <v>1.1898</v>
      </c>
      <c r="G186" s="133">
        <f t="shared" si="83"/>
        <v>1.1861999999999999</v>
      </c>
      <c r="H186" s="133">
        <f t="shared" si="83"/>
        <v>0</v>
      </c>
      <c r="I186" s="133">
        <f t="shared" si="83"/>
        <v>0</v>
      </c>
      <c r="J186" s="133">
        <f t="shared" si="83"/>
        <v>0</v>
      </c>
      <c r="K186" s="133">
        <f t="shared" si="83"/>
        <v>0</v>
      </c>
      <c r="L186" s="133">
        <f t="shared" si="83"/>
        <v>0</v>
      </c>
      <c r="M186" s="133">
        <f t="shared" si="83"/>
        <v>0</v>
      </c>
      <c r="N186" s="133">
        <f t="shared" si="83"/>
        <v>0</v>
      </c>
      <c r="O186" s="133">
        <f t="shared" si="83"/>
        <v>0</v>
      </c>
      <c r="P186" s="133">
        <f t="shared" si="83"/>
        <v>1.2719</v>
      </c>
      <c r="Q186" s="133">
        <f t="shared" si="83"/>
        <v>1.2170000000000001</v>
      </c>
      <c r="R186" s="133">
        <f t="shared" si="83"/>
        <v>0</v>
      </c>
      <c r="S186" s="133">
        <f t="shared" si="83"/>
        <v>0</v>
      </c>
      <c r="T186" s="133">
        <f t="shared" si="83"/>
        <v>0</v>
      </c>
      <c r="U186" s="133">
        <f t="shared" si="77"/>
        <v>0</v>
      </c>
      <c r="W186" s="308">
        <f t="shared" si="78"/>
        <v>0</v>
      </c>
      <c r="X186" s="308">
        <f t="shared" si="61"/>
        <v>35.456040907745361</v>
      </c>
      <c r="Y186" s="308">
        <f t="shared" si="62"/>
        <v>35.348760904998777</v>
      </c>
      <c r="Z186" s="308">
        <f t="shared" si="63"/>
        <v>0</v>
      </c>
      <c r="AA186" s="308">
        <f t="shared" si="64"/>
        <v>0</v>
      </c>
      <c r="AB186" s="308">
        <f t="shared" si="65"/>
        <v>0</v>
      </c>
      <c r="AC186" s="308">
        <f t="shared" si="66"/>
        <v>0</v>
      </c>
      <c r="AD186" s="308">
        <f t="shared" si="67"/>
        <v>0</v>
      </c>
      <c r="AE186" s="308">
        <f t="shared" si="68"/>
        <v>0</v>
      </c>
      <c r="AF186" s="308">
        <f t="shared" si="69"/>
        <v>0</v>
      </c>
      <c r="AG186" s="308">
        <f t="shared" si="70"/>
        <v>0</v>
      </c>
      <c r="AH186" s="308">
        <f t="shared" si="71"/>
        <v>37.902620970382692</v>
      </c>
      <c r="AI186" s="308">
        <f t="shared" si="72"/>
        <v>36.266600928497319</v>
      </c>
      <c r="AJ186" s="308">
        <f t="shared" si="73"/>
        <v>0</v>
      </c>
      <c r="AK186" s="308">
        <f t="shared" si="74"/>
        <v>0</v>
      </c>
      <c r="AL186" s="308">
        <f t="shared" si="75"/>
        <v>0</v>
      </c>
      <c r="AN186" s="327">
        <f t="shared" si="79"/>
        <v>36.243505927906035</v>
      </c>
      <c r="AO186" s="331">
        <f t="shared" si="80"/>
        <v>29.800000762939455</v>
      </c>
    </row>
    <row r="187" spans="2:41">
      <c r="B187" s="102">
        <f t="shared" si="76"/>
        <v>4</v>
      </c>
      <c r="C187" s="113">
        <f>PJM_01212000!A171</f>
        <v>40634</v>
      </c>
      <c r="D187" s="315">
        <f>PJM_01212000!C171</f>
        <v>29.575000762939453</v>
      </c>
      <c r="E187" s="133">
        <f t="shared" si="58"/>
        <v>1.1232726508202047</v>
      </c>
      <c r="F187" s="133">
        <f t="shared" si="83"/>
        <v>1.1413154461256174</v>
      </c>
      <c r="G187" s="133">
        <f t="shared" si="83"/>
        <v>0</v>
      </c>
      <c r="H187" s="133">
        <f t="shared" si="83"/>
        <v>0</v>
      </c>
      <c r="I187" s="133">
        <f t="shared" si="83"/>
        <v>1.1185245467924647</v>
      </c>
      <c r="J187" s="133">
        <f t="shared" si="83"/>
        <v>0</v>
      </c>
      <c r="K187" s="133">
        <f t="shared" si="83"/>
        <v>0</v>
      </c>
      <c r="L187" s="133">
        <f t="shared" si="83"/>
        <v>0</v>
      </c>
      <c r="M187" s="133">
        <f t="shared" si="83"/>
        <v>0</v>
      </c>
      <c r="N187" s="133">
        <f t="shared" si="83"/>
        <v>0</v>
      </c>
      <c r="O187" s="133">
        <f t="shared" si="83"/>
        <v>0</v>
      </c>
      <c r="P187" s="133">
        <f t="shared" si="83"/>
        <v>0</v>
      </c>
      <c r="Q187" s="133">
        <f t="shared" si="83"/>
        <v>0</v>
      </c>
      <c r="R187" s="133">
        <f t="shared" si="83"/>
        <v>1.1543365178491491</v>
      </c>
      <c r="S187" s="133">
        <f t="shared" si="83"/>
        <v>0</v>
      </c>
      <c r="T187" s="133">
        <f t="shared" si="83"/>
        <v>0</v>
      </c>
      <c r="U187" s="133">
        <f t="shared" si="77"/>
        <v>0</v>
      </c>
      <c r="W187" s="308">
        <f t="shared" si="78"/>
        <v>33.220789504996574</v>
      </c>
      <c r="X187" s="308">
        <f t="shared" si="61"/>
        <v>33.754405189919716</v>
      </c>
      <c r="Y187" s="308">
        <f t="shared" si="62"/>
        <v>0</v>
      </c>
      <c r="Z187" s="308">
        <f t="shared" si="63"/>
        <v>0</v>
      </c>
      <c r="AA187" s="308">
        <f t="shared" si="64"/>
        <v>33.080364324753653</v>
      </c>
      <c r="AB187" s="308">
        <f t="shared" si="65"/>
        <v>0</v>
      </c>
      <c r="AC187" s="308">
        <f t="shared" si="66"/>
        <v>0</v>
      </c>
      <c r="AD187" s="308">
        <f t="shared" si="67"/>
        <v>0</v>
      </c>
      <c r="AE187" s="308">
        <f t="shared" si="68"/>
        <v>0</v>
      </c>
      <c r="AF187" s="308">
        <f t="shared" si="69"/>
        <v>0</v>
      </c>
      <c r="AG187" s="308">
        <f t="shared" si="70"/>
        <v>0</v>
      </c>
      <c r="AH187" s="308">
        <f t="shared" si="71"/>
        <v>0</v>
      </c>
      <c r="AI187" s="308">
        <f t="shared" si="72"/>
        <v>0</v>
      </c>
      <c r="AJ187" s="308">
        <f t="shared" si="73"/>
        <v>34.139503396077458</v>
      </c>
      <c r="AK187" s="308">
        <f t="shared" si="74"/>
        <v>0</v>
      </c>
      <c r="AL187" s="308">
        <f t="shared" si="75"/>
        <v>0</v>
      </c>
      <c r="AN187" s="327">
        <f t="shared" si="79"/>
        <v>33.54876560393685</v>
      </c>
      <c r="AO187" s="331">
        <f t="shared" si="80"/>
        <v>29.575000762939453</v>
      </c>
    </row>
    <row r="188" spans="2:41">
      <c r="B188" s="102">
        <f t="shared" si="76"/>
        <v>5</v>
      </c>
      <c r="C188" s="113">
        <f>PJM_01212000!A172</f>
        <v>40664</v>
      </c>
      <c r="D188" s="315">
        <f>PJM_01212000!C172</f>
        <v>37.575000000000003</v>
      </c>
      <c r="E188" s="133">
        <f t="shared" si="58"/>
        <v>0</v>
      </c>
      <c r="F188" s="133">
        <f t="shared" si="83"/>
        <v>0</v>
      </c>
      <c r="G188" s="133">
        <f t="shared" si="83"/>
        <v>1.0610266218026732</v>
      </c>
      <c r="H188" s="133">
        <f t="shared" si="83"/>
        <v>1.1254998619307197</v>
      </c>
      <c r="I188" s="133">
        <f t="shared" si="83"/>
        <v>1.1169907033351396</v>
      </c>
      <c r="J188" s="133">
        <f t="shared" si="83"/>
        <v>0</v>
      </c>
      <c r="K188" s="133">
        <f t="shared" si="83"/>
        <v>0</v>
      </c>
      <c r="L188" s="133">
        <f t="shared" si="83"/>
        <v>0</v>
      </c>
      <c r="M188" s="133">
        <f t="shared" si="83"/>
        <v>0</v>
      </c>
      <c r="N188" s="133">
        <f t="shared" si="83"/>
        <v>0</v>
      </c>
      <c r="O188" s="133">
        <f t="shared" si="83"/>
        <v>0</v>
      </c>
      <c r="P188" s="133">
        <f t="shared" si="83"/>
        <v>0</v>
      </c>
      <c r="Q188" s="133">
        <f t="shared" si="83"/>
        <v>0</v>
      </c>
      <c r="R188" s="133">
        <f t="shared" si="83"/>
        <v>1.0876995612465097</v>
      </c>
      <c r="S188" s="133">
        <f t="shared" si="83"/>
        <v>0</v>
      </c>
      <c r="T188" s="133">
        <f t="shared" si="83"/>
        <v>0</v>
      </c>
      <c r="U188" s="133">
        <f t="shared" si="77"/>
        <v>0</v>
      </c>
      <c r="W188" s="308">
        <f t="shared" si="78"/>
        <v>0</v>
      </c>
      <c r="X188" s="308">
        <f t="shared" si="61"/>
        <v>0</v>
      </c>
      <c r="Y188" s="308">
        <f t="shared" si="62"/>
        <v>39.868075314235448</v>
      </c>
      <c r="Z188" s="308">
        <f t="shared" si="63"/>
        <v>42.290657312046797</v>
      </c>
      <c r="AA188" s="308">
        <f t="shared" si="64"/>
        <v>41.970925677817874</v>
      </c>
      <c r="AB188" s="308">
        <f t="shared" si="65"/>
        <v>0</v>
      </c>
      <c r="AC188" s="308">
        <f t="shared" si="66"/>
        <v>0</v>
      </c>
      <c r="AD188" s="308">
        <f t="shared" si="67"/>
        <v>0</v>
      </c>
      <c r="AE188" s="308">
        <f t="shared" si="68"/>
        <v>0</v>
      </c>
      <c r="AF188" s="308">
        <f t="shared" si="69"/>
        <v>0</v>
      </c>
      <c r="AG188" s="308">
        <f t="shared" si="70"/>
        <v>0</v>
      </c>
      <c r="AH188" s="308">
        <f t="shared" si="71"/>
        <v>0</v>
      </c>
      <c r="AI188" s="308">
        <f t="shared" si="72"/>
        <v>0</v>
      </c>
      <c r="AJ188" s="308">
        <f t="shared" si="73"/>
        <v>40.870311013837608</v>
      </c>
      <c r="AK188" s="308">
        <f t="shared" si="74"/>
        <v>0</v>
      </c>
      <c r="AL188" s="308">
        <f t="shared" si="75"/>
        <v>0</v>
      </c>
      <c r="AN188" s="327">
        <f t="shared" si="79"/>
        <v>41.249992329484428</v>
      </c>
      <c r="AO188" s="331">
        <f t="shared" si="80"/>
        <v>37.575000000000003</v>
      </c>
    </row>
    <row r="189" spans="2:41">
      <c r="B189" s="102">
        <f t="shared" si="76"/>
        <v>6</v>
      </c>
      <c r="C189" s="113">
        <f>PJM_01212000!A173</f>
        <v>40695</v>
      </c>
      <c r="D189" s="315">
        <f>PJM_01212000!C173</f>
        <v>63.099998474121094</v>
      </c>
      <c r="E189" s="133">
        <f t="shared" si="58"/>
        <v>0</v>
      </c>
      <c r="F189" s="133">
        <f t="shared" si="83"/>
        <v>0</v>
      </c>
      <c r="G189" s="133">
        <f t="shared" si="83"/>
        <v>0</v>
      </c>
      <c r="H189" s="133">
        <f t="shared" si="83"/>
        <v>0</v>
      </c>
      <c r="I189" s="133">
        <f t="shared" si="83"/>
        <v>0</v>
      </c>
      <c r="J189" s="133">
        <f t="shared" si="83"/>
        <v>0</v>
      </c>
      <c r="K189" s="133">
        <f t="shared" si="83"/>
        <v>1.2209201862181771</v>
      </c>
      <c r="L189" s="133">
        <f t="shared" si="83"/>
        <v>1.2303149771421382</v>
      </c>
      <c r="M189" s="133">
        <f t="shared" si="83"/>
        <v>1.2323281466258438</v>
      </c>
      <c r="N189" s="133">
        <f t="shared" si="83"/>
        <v>1.2523256301639896</v>
      </c>
      <c r="O189" s="133">
        <f t="shared" si="83"/>
        <v>0</v>
      </c>
      <c r="P189" s="133">
        <f t="shared" si="83"/>
        <v>0</v>
      </c>
      <c r="Q189" s="133">
        <f t="shared" si="83"/>
        <v>0</v>
      </c>
      <c r="R189" s="133">
        <f t="shared" si="83"/>
        <v>0</v>
      </c>
      <c r="S189" s="133">
        <f t="shared" si="83"/>
        <v>0</v>
      </c>
      <c r="T189" s="133">
        <f t="shared" si="83"/>
        <v>0</v>
      </c>
      <c r="U189" s="133">
        <f t="shared" si="77"/>
        <v>0</v>
      </c>
      <c r="W189" s="308">
        <f t="shared" si="78"/>
        <v>0</v>
      </c>
      <c r="X189" s="308">
        <f t="shared" si="61"/>
        <v>0</v>
      </c>
      <c r="Y189" s="308">
        <f t="shared" si="62"/>
        <v>0</v>
      </c>
      <c r="Z189" s="308">
        <f t="shared" si="63"/>
        <v>0</v>
      </c>
      <c r="AA189" s="308">
        <f t="shared" si="64"/>
        <v>0</v>
      </c>
      <c r="AB189" s="308">
        <f t="shared" si="65"/>
        <v>0</v>
      </c>
      <c r="AC189" s="308">
        <f t="shared" si="66"/>
        <v>77.040061887390621</v>
      </c>
      <c r="AD189" s="308">
        <f t="shared" si="67"/>
        <v>77.632873180357251</v>
      </c>
      <c r="AE189" s="308">
        <f t="shared" si="68"/>
        <v>77.75990417170722</v>
      </c>
      <c r="AF189" s="308">
        <f t="shared" si="69"/>
        <v>79.02174535245048</v>
      </c>
      <c r="AG189" s="308">
        <f t="shared" si="70"/>
        <v>0</v>
      </c>
      <c r="AH189" s="308">
        <f t="shared" si="71"/>
        <v>0</v>
      </c>
      <c r="AI189" s="308">
        <f t="shared" si="72"/>
        <v>0</v>
      </c>
      <c r="AJ189" s="308">
        <f t="shared" si="73"/>
        <v>0</v>
      </c>
      <c r="AK189" s="308">
        <f t="shared" si="74"/>
        <v>0</v>
      </c>
      <c r="AL189" s="308">
        <f t="shared" si="75"/>
        <v>0</v>
      </c>
      <c r="AN189" s="327">
        <f t="shared" si="79"/>
        <v>77.863646147976382</v>
      </c>
      <c r="AO189" s="331">
        <f t="shared" si="80"/>
        <v>63.099998474121094</v>
      </c>
    </row>
    <row r="190" spans="2:41">
      <c r="B190" s="102">
        <f t="shared" si="76"/>
        <v>7</v>
      </c>
      <c r="C190" s="113">
        <f>PJM_01212000!A174</f>
        <v>40725</v>
      </c>
      <c r="D190" s="315">
        <f>PJM_01212000!C174</f>
        <v>109.19999694824219</v>
      </c>
      <c r="E190" s="133">
        <f t="shared" si="58"/>
        <v>0</v>
      </c>
      <c r="F190" s="133">
        <f t="shared" ref="F190:T199" si="84">VLOOKUP($B190,$C$6:$Z$17,F$22+1)</f>
        <v>0</v>
      </c>
      <c r="G190" s="133">
        <f t="shared" si="84"/>
        <v>0</v>
      </c>
      <c r="H190" s="133">
        <f t="shared" si="84"/>
        <v>0</v>
      </c>
      <c r="I190" s="133">
        <f t="shared" si="84"/>
        <v>0</v>
      </c>
      <c r="J190" s="133">
        <f t="shared" si="84"/>
        <v>0</v>
      </c>
      <c r="K190" s="133">
        <f t="shared" si="84"/>
        <v>0</v>
      </c>
      <c r="L190" s="133">
        <f t="shared" si="84"/>
        <v>1.2506946851612968</v>
      </c>
      <c r="M190" s="133">
        <f t="shared" si="84"/>
        <v>1.3273401940004199</v>
      </c>
      <c r="N190" s="133">
        <f t="shared" si="84"/>
        <v>1.3538888162792144</v>
      </c>
      <c r="O190" s="133">
        <f t="shared" si="84"/>
        <v>1.3203393586734773</v>
      </c>
      <c r="P190" s="133">
        <f t="shared" si="84"/>
        <v>0</v>
      </c>
      <c r="Q190" s="133">
        <f t="shared" si="84"/>
        <v>0</v>
      </c>
      <c r="R190" s="133">
        <f t="shared" si="84"/>
        <v>0</v>
      </c>
      <c r="S190" s="133">
        <f t="shared" si="84"/>
        <v>0</v>
      </c>
      <c r="T190" s="133">
        <f t="shared" si="84"/>
        <v>0</v>
      </c>
      <c r="U190" s="133">
        <f t="shared" si="77"/>
        <v>0</v>
      </c>
      <c r="W190" s="308">
        <f t="shared" si="78"/>
        <v>0</v>
      </c>
      <c r="X190" s="308">
        <f t="shared" si="61"/>
        <v>0</v>
      </c>
      <c r="Y190" s="308">
        <f t="shared" si="62"/>
        <v>0</v>
      </c>
      <c r="Z190" s="308">
        <f t="shared" si="63"/>
        <v>0</v>
      </c>
      <c r="AA190" s="308">
        <f t="shared" si="64"/>
        <v>0</v>
      </c>
      <c r="AB190" s="308">
        <f t="shared" si="65"/>
        <v>0</v>
      </c>
      <c r="AC190" s="308">
        <f t="shared" si="66"/>
        <v>0</v>
      </c>
      <c r="AD190" s="308">
        <f t="shared" si="67"/>
        <v>136.57585580279633</v>
      </c>
      <c r="AE190" s="308">
        <f t="shared" si="68"/>
        <v>144.94554513412504</v>
      </c>
      <c r="AF190" s="308">
        <f t="shared" si="69"/>
        <v>147.84465460594944</v>
      </c>
      <c r="AG190" s="308">
        <f t="shared" si="70"/>
        <v>144.18105393778777</v>
      </c>
      <c r="AH190" s="308">
        <f t="shared" si="71"/>
        <v>0</v>
      </c>
      <c r="AI190" s="308">
        <f t="shared" si="72"/>
        <v>0</v>
      </c>
      <c r="AJ190" s="308">
        <f t="shared" si="73"/>
        <v>0</v>
      </c>
      <c r="AK190" s="308">
        <f t="shared" si="74"/>
        <v>0</v>
      </c>
      <c r="AL190" s="308">
        <f t="shared" si="75"/>
        <v>0</v>
      </c>
      <c r="AN190" s="327">
        <f t="shared" si="79"/>
        <v>143.38677737016465</v>
      </c>
      <c r="AO190" s="331">
        <f t="shared" si="80"/>
        <v>109.19999694824219</v>
      </c>
    </row>
    <row r="191" spans="2:41">
      <c r="B191" s="102">
        <f t="shared" si="76"/>
        <v>8</v>
      </c>
      <c r="C191" s="113">
        <f>PJM_01212000!A175</f>
        <v>40756</v>
      </c>
      <c r="D191" s="315">
        <f>PJM_01212000!C175</f>
        <v>96.199996948242188</v>
      </c>
      <c r="E191" s="133">
        <f t="shared" si="58"/>
        <v>0</v>
      </c>
      <c r="F191" s="133">
        <f t="shared" si="84"/>
        <v>0</v>
      </c>
      <c r="G191" s="133">
        <f t="shared" si="84"/>
        <v>0</v>
      </c>
      <c r="H191" s="133">
        <f t="shared" si="84"/>
        <v>0</v>
      </c>
      <c r="I191" s="133">
        <f t="shared" si="84"/>
        <v>0</v>
      </c>
      <c r="J191" s="133">
        <f t="shared" si="84"/>
        <v>0</v>
      </c>
      <c r="K191" s="133">
        <f t="shared" si="84"/>
        <v>1.1907290919069531</v>
      </c>
      <c r="L191" s="133">
        <f t="shared" si="84"/>
        <v>1.26057331025457</v>
      </c>
      <c r="M191" s="133">
        <f t="shared" si="84"/>
        <v>1.2430109342677418</v>
      </c>
      <c r="N191" s="133">
        <f t="shared" si="84"/>
        <v>1.2150462278887151</v>
      </c>
      <c r="O191" s="133">
        <f t="shared" si="84"/>
        <v>0</v>
      </c>
      <c r="P191" s="133">
        <f t="shared" si="84"/>
        <v>0</v>
      </c>
      <c r="Q191" s="133">
        <f t="shared" si="84"/>
        <v>0</v>
      </c>
      <c r="R191" s="133">
        <f t="shared" si="84"/>
        <v>0</v>
      </c>
      <c r="S191" s="133">
        <f t="shared" si="84"/>
        <v>0</v>
      </c>
      <c r="T191" s="133">
        <f t="shared" si="84"/>
        <v>0</v>
      </c>
      <c r="U191" s="133">
        <f t="shared" si="77"/>
        <v>0</v>
      </c>
      <c r="W191" s="308">
        <f t="shared" si="78"/>
        <v>0</v>
      </c>
      <c r="X191" s="308">
        <f t="shared" si="61"/>
        <v>0</v>
      </c>
      <c r="Y191" s="308">
        <f t="shared" si="62"/>
        <v>0</v>
      </c>
      <c r="Z191" s="308">
        <f t="shared" si="63"/>
        <v>0</v>
      </c>
      <c r="AA191" s="308">
        <f t="shared" si="64"/>
        <v>0</v>
      </c>
      <c r="AB191" s="308">
        <f t="shared" si="65"/>
        <v>0</v>
      </c>
      <c r="AC191" s="308">
        <f t="shared" si="66"/>
        <v>114.54813500763208</v>
      </c>
      <c r="AD191" s="308">
        <f t="shared" si="67"/>
        <v>121.26714859952519</v>
      </c>
      <c r="AE191" s="308">
        <f t="shared" si="68"/>
        <v>119.57764808318844</v>
      </c>
      <c r="AF191" s="308">
        <f t="shared" si="69"/>
        <v>116.88744341486758</v>
      </c>
      <c r="AG191" s="308">
        <f t="shared" si="70"/>
        <v>0</v>
      </c>
      <c r="AH191" s="308">
        <f t="shared" si="71"/>
        <v>0</v>
      </c>
      <c r="AI191" s="308">
        <f t="shared" si="72"/>
        <v>0</v>
      </c>
      <c r="AJ191" s="308">
        <f t="shared" si="73"/>
        <v>0</v>
      </c>
      <c r="AK191" s="308">
        <f t="shared" si="74"/>
        <v>0</v>
      </c>
      <c r="AL191" s="308">
        <f t="shared" si="75"/>
        <v>0</v>
      </c>
      <c r="AN191" s="327">
        <f t="shared" si="79"/>
        <v>118.07009377630331</v>
      </c>
      <c r="AO191" s="331">
        <f t="shared" si="80"/>
        <v>96.199996948242188</v>
      </c>
    </row>
    <row r="192" spans="2:41">
      <c r="B192" s="102">
        <f t="shared" si="76"/>
        <v>9</v>
      </c>
      <c r="C192" s="113">
        <f>PJM_01212000!A176</f>
        <v>40787</v>
      </c>
      <c r="D192" s="315">
        <f>PJM_01212000!C176</f>
        <v>36.924998474121097</v>
      </c>
      <c r="E192" s="133">
        <f t="shared" si="58"/>
        <v>0</v>
      </c>
      <c r="F192" s="133">
        <f t="shared" si="84"/>
        <v>0</v>
      </c>
      <c r="G192" s="133">
        <f t="shared" si="84"/>
        <v>0</v>
      </c>
      <c r="H192" s="133">
        <f t="shared" si="84"/>
        <v>0</v>
      </c>
      <c r="I192" s="133">
        <f t="shared" si="84"/>
        <v>0</v>
      </c>
      <c r="J192" s="133">
        <f t="shared" si="84"/>
        <v>0</v>
      </c>
      <c r="K192" s="133">
        <f t="shared" si="84"/>
        <v>0</v>
      </c>
      <c r="L192" s="133">
        <f t="shared" si="84"/>
        <v>0</v>
      </c>
      <c r="M192" s="133">
        <f t="shared" si="84"/>
        <v>0</v>
      </c>
      <c r="N192" s="133">
        <f t="shared" si="84"/>
        <v>1.1345284089868721</v>
      </c>
      <c r="O192" s="133">
        <f t="shared" si="84"/>
        <v>1.1066962078625975</v>
      </c>
      <c r="P192" s="133">
        <f t="shared" si="84"/>
        <v>0</v>
      </c>
      <c r="Q192" s="133">
        <f t="shared" si="84"/>
        <v>1.184626371010566</v>
      </c>
      <c r="R192" s="133">
        <f t="shared" si="84"/>
        <v>1.1944408840385996</v>
      </c>
      <c r="S192" s="133">
        <f t="shared" si="84"/>
        <v>0</v>
      </c>
      <c r="T192" s="133">
        <f t="shared" si="84"/>
        <v>0</v>
      </c>
      <c r="U192" s="133">
        <f t="shared" si="77"/>
        <v>0</v>
      </c>
      <c r="W192" s="308">
        <f t="shared" si="78"/>
        <v>0</v>
      </c>
      <c r="X192" s="308">
        <f t="shared" si="61"/>
        <v>0</v>
      </c>
      <c r="Y192" s="308">
        <f t="shared" si="62"/>
        <v>0</v>
      </c>
      <c r="Z192" s="308">
        <f t="shared" si="63"/>
        <v>0</v>
      </c>
      <c r="AA192" s="308">
        <f t="shared" si="64"/>
        <v>0</v>
      </c>
      <c r="AB192" s="308">
        <f t="shared" si="65"/>
        <v>0</v>
      </c>
      <c r="AC192" s="308">
        <f t="shared" si="66"/>
        <v>0</v>
      </c>
      <c r="AD192" s="308">
        <f t="shared" si="67"/>
        <v>0</v>
      </c>
      <c r="AE192" s="308">
        <f t="shared" si="68"/>
        <v>0</v>
      </c>
      <c r="AF192" s="308">
        <f t="shared" si="69"/>
        <v>41.892459770687289</v>
      </c>
      <c r="AG192" s="308">
        <f t="shared" si="70"/>
        <v>40.864755786642014</v>
      </c>
      <c r="AH192" s="308">
        <f t="shared" si="71"/>
        <v>0</v>
      </c>
      <c r="AI192" s="308">
        <f t="shared" si="72"/>
        <v>43.742326941968763</v>
      </c>
      <c r="AJ192" s="308">
        <f t="shared" si="73"/>
        <v>44.104727820553144</v>
      </c>
      <c r="AK192" s="308">
        <f t="shared" si="74"/>
        <v>0</v>
      </c>
      <c r="AL192" s="308">
        <f t="shared" si="75"/>
        <v>0</v>
      </c>
      <c r="AN192" s="327">
        <f t="shared" si="79"/>
        <v>42.651067579962799</v>
      </c>
      <c r="AO192" s="331">
        <f t="shared" si="80"/>
        <v>36.924998474121097</v>
      </c>
    </row>
    <row r="193" spans="2:41">
      <c r="B193" s="102">
        <f t="shared" si="76"/>
        <v>10</v>
      </c>
      <c r="C193" s="113">
        <f>PJM_01212000!A177</f>
        <v>40817</v>
      </c>
      <c r="D193" s="315">
        <f>PJM_01212000!C177</f>
        <v>30.325000381469728</v>
      </c>
      <c r="E193" s="133">
        <f t="shared" si="58"/>
        <v>0</v>
      </c>
      <c r="F193" s="133">
        <f t="shared" si="84"/>
        <v>1.1326000000000001</v>
      </c>
      <c r="G193" s="133">
        <f t="shared" si="84"/>
        <v>0</v>
      </c>
      <c r="H193" s="133">
        <f t="shared" si="84"/>
        <v>0</v>
      </c>
      <c r="I193" s="133">
        <f t="shared" si="84"/>
        <v>0</v>
      </c>
      <c r="J193" s="133">
        <f t="shared" si="84"/>
        <v>0</v>
      </c>
      <c r="K193" s="133">
        <f t="shared" si="84"/>
        <v>0</v>
      </c>
      <c r="L193" s="133">
        <f t="shared" si="84"/>
        <v>0</v>
      </c>
      <c r="M193" s="133">
        <f t="shared" si="84"/>
        <v>0</v>
      </c>
      <c r="N193" s="133">
        <f t="shared" si="84"/>
        <v>0</v>
      </c>
      <c r="O193" s="133">
        <f t="shared" si="84"/>
        <v>1.2000999999999999</v>
      </c>
      <c r="P193" s="133">
        <f t="shared" si="84"/>
        <v>1.2095</v>
      </c>
      <c r="Q193" s="133">
        <f t="shared" si="84"/>
        <v>1.1567000000000001</v>
      </c>
      <c r="R193" s="133">
        <f t="shared" si="84"/>
        <v>0</v>
      </c>
      <c r="S193" s="133">
        <f t="shared" si="84"/>
        <v>0</v>
      </c>
      <c r="T193" s="133">
        <f t="shared" si="84"/>
        <v>0</v>
      </c>
      <c r="U193" s="133">
        <f t="shared" si="77"/>
        <v>0</v>
      </c>
      <c r="W193" s="308">
        <f t="shared" si="78"/>
        <v>0</v>
      </c>
      <c r="X193" s="308">
        <f t="shared" si="61"/>
        <v>34.346095432052614</v>
      </c>
      <c r="Y193" s="308">
        <f t="shared" si="62"/>
        <v>0</v>
      </c>
      <c r="Z193" s="308">
        <f t="shared" si="63"/>
        <v>0</v>
      </c>
      <c r="AA193" s="308">
        <f t="shared" si="64"/>
        <v>0</v>
      </c>
      <c r="AB193" s="308">
        <f t="shared" si="65"/>
        <v>0</v>
      </c>
      <c r="AC193" s="308">
        <f t="shared" si="66"/>
        <v>0</v>
      </c>
      <c r="AD193" s="308">
        <f t="shared" si="67"/>
        <v>0</v>
      </c>
      <c r="AE193" s="308">
        <f t="shared" si="68"/>
        <v>0</v>
      </c>
      <c r="AF193" s="308">
        <f t="shared" si="69"/>
        <v>0</v>
      </c>
      <c r="AG193" s="308">
        <f t="shared" si="70"/>
        <v>36.393032957801822</v>
      </c>
      <c r="AH193" s="308">
        <f t="shared" si="71"/>
        <v>36.678087961387639</v>
      </c>
      <c r="AI193" s="308">
        <f t="shared" si="72"/>
        <v>35.076927941246034</v>
      </c>
      <c r="AJ193" s="308">
        <f t="shared" si="73"/>
        <v>0</v>
      </c>
      <c r="AK193" s="308">
        <f t="shared" si="74"/>
        <v>0</v>
      </c>
      <c r="AL193" s="308">
        <f t="shared" si="75"/>
        <v>0</v>
      </c>
      <c r="AN193" s="327">
        <f t="shared" si="79"/>
        <v>35.623536073122025</v>
      </c>
      <c r="AO193" s="331">
        <f t="shared" si="80"/>
        <v>30.325000381469728</v>
      </c>
    </row>
    <row r="194" spans="2:41">
      <c r="B194" s="102">
        <f t="shared" si="76"/>
        <v>11</v>
      </c>
      <c r="C194" s="113">
        <f>PJM_01212000!A178</f>
        <v>40848</v>
      </c>
      <c r="D194" s="315">
        <f>PJM_01212000!C178</f>
        <v>29.997499084472658</v>
      </c>
      <c r="E194" s="133">
        <f t="shared" si="58"/>
        <v>0</v>
      </c>
      <c r="F194" s="133">
        <f t="shared" si="84"/>
        <v>1.1426000000000001</v>
      </c>
      <c r="G194" s="133">
        <f t="shared" si="84"/>
        <v>0</v>
      </c>
      <c r="H194" s="133">
        <f t="shared" si="84"/>
        <v>0</v>
      </c>
      <c r="I194" s="133">
        <f t="shared" si="84"/>
        <v>0</v>
      </c>
      <c r="J194" s="133">
        <f t="shared" si="84"/>
        <v>0</v>
      </c>
      <c r="K194" s="133">
        <f t="shared" si="84"/>
        <v>0</v>
      </c>
      <c r="L194" s="133">
        <f t="shared" si="84"/>
        <v>0</v>
      </c>
      <c r="M194" s="133">
        <f t="shared" si="84"/>
        <v>0</v>
      </c>
      <c r="N194" s="133">
        <f t="shared" si="84"/>
        <v>0</v>
      </c>
      <c r="O194" s="133">
        <f t="shared" si="84"/>
        <v>1.2171000000000001</v>
      </c>
      <c r="P194" s="133">
        <f t="shared" si="84"/>
        <v>1.2269000000000001</v>
      </c>
      <c r="Q194" s="133">
        <f t="shared" si="84"/>
        <v>1.1767000000000001</v>
      </c>
      <c r="R194" s="133">
        <f t="shared" si="84"/>
        <v>0</v>
      </c>
      <c r="S194" s="133">
        <f t="shared" si="84"/>
        <v>0</v>
      </c>
      <c r="T194" s="133">
        <f t="shared" si="84"/>
        <v>0</v>
      </c>
      <c r="U194" s="133">
        <f t="shared" si="77"/>
        <v>0</v>
      </c>
      <c r="W194" s="308">
        <f t="shared" si="78"/>
        <v>0</v>
      </c>
      <c r="X194" s="308">
        <f t="shared" si="61"/>
        <v>34.275142453918463</v>
      </c>
      <c r="Y194" s="308">
        <f t="shared" si="62"/>
        <v>0</v>
      </c>
      <c r="Z194" s="308">
        <f t="shared" si="63"/>
        <v>0</v>
      </c>
      <c r="AA194" s="308">
        <f t="shared" si="64"/>
        <v>0</v>
      </c>
      <c r="AB194" s="308">
        <f t="shared" si="65"/>
        <v>0</v>
      </c>
      <c r="AC194" s="308">
        <f t="shared" si="66"/>
        <v>0</v>
      </c>
      <c r="AD194" s="308">
        <f t="shared" si="67"/>
        <v>0</v>
      </c>
      <c r="AE194" s="308">
        <f t="shared" si="68"/>
        <v>0</v>
      </c>
      <c r="AF194" s="308">
        <f t="shared" si="69"/>
        <v>0</v>
      </c>
      <c r="AG194" s="308">
        <f t="shared" si="70"/>
        <v>36.509956135711676</v>
      </c>
      <c r="AH194" s="308">
        <f t="shared" si="71"/>
        <v>36.803931626739505</v>
      </c>
      <c r="AI194" s="308">
        <f t="shared" si="72"/>
        <v>35.298057172698975</v>
      </c>
      <c r="AJ194" s="308">
        <f t="shared" si="73"/>
        <v>0</v>
      </c>
      <c r="AK194" s="308">
        <f t="shared" si="74"/>
        <v>0</v>
      </c>
      <c r="AL194" s="308">
        <f t="shared" si="75"/>
        <v>0</v>
      </c>
      <c r="AN194" s="327">
        <f t="shared" si="79"/>
        <v>35.721771847267156</v>
      </c>
      <c r="AO194" s="331">
        <f t="shared" si="80"/>
        <v>29.997499084472658</v>
      </c>
    </row>
    <row r="195" spans="2:41">
      <c r="B195" s="102">
        <f t="shared" si="76"/>
        <v>12</v>
      </c>
      <c r="C195" s="113">
        <f>PJM_01212000!A179</f>
        <v>40878</v>
      </c>
      <c r="D195" s="315">
        <f>PJM_01212000!C179</f>
        <v>31.749999618530275</v>
      </c>
      <c r="E195" s="133">
        <f t="shared" si="58"/>
        <v>0</v>
      </c>
      <c r="F195" s="133">
        <f t="shared" si="84"/>
        <v>1.1637999999999999</v>
      </c>
      <c r="G195" s="133">
        <f t="shared" si="84"/>
        <v>0</v>
      </c>
      <c r="H195" s="133">
        <f t="shared" si="84"/>
        <v>0</v>
      </c>
      <c r="I195" s="133">
        <f t="shared" si="84"/>
        <v>0</v>
      </c>
      <c r="J195" s="133">
        <f t="shared" si="84"/>
        <v>0</v>
      </c>
      <c r="K195" s="133">
        <f t="shared" si="84"/>
        <v>0</v>
      </c>
      <c r="L195" s="133">
        <f t="shared" si="84"/>
        <v>0</v>
      </c>
      <c r="M195" s="133">
        <f t="shared" si="84"/>
        <v>0</v>
      </c>
      <c r="N195" s="133">
        <f t="shared" si="84"/>
        <v>0</v>
      </c>
      <c r="O195" s="133">
        <f t="shared" si="84"/>
        <v>1.2396592528631896</v>
      </c>
      <c r="P195" s="133">
        <f t="shared" si="84"/>
        <v>1.2314000000000001</v>
      </c>
      <c r="Q195" s="133">
        <f t="shared" si="84"/>
        <v>1.1889963083145296</v>
      </c>
      <c r="R195" s="133">
        <f t="shared" si="84"/>
        <v>0</v>
      </c>
      <c r="S195" s="133">
        <f t="shared" si="84"/>
        <v>0</v>
      </c>
      <c r="T195" s="133">
        <f t="shared" si="84"/>
        <v>0</v>
      </c>
      <c r="U195" s="133">
        <f t="shared" si="77"/>
        <v>0</v>
      </c>
      <c r="W195" s="308">
        <f t="shared" si="78"/>
        <v>0</v>
      </c>
      <c r="X195" s="308">
        <f t="shared" si="61"/>
        <v>36.950649556045533</v>
      </c>
      <c r="Y195" s="308">
        <f t="shared" si="62"/>
        <v>0</v>
      </c>
      <c r="Z195" s="308">
        <f t="shared" si="63"/>
        <v>0</v>
      </c>
      <c r="AA195" s="308">
        <f t="shared" si="64"/>
        <v>0</v>
      </c>
      <c r="AB195" s="308">
        <f t="shared" si="65"/>
        <v>0</v>
      </c>
      <c r="AC195" s="308">
        <f t="shared" si="66"/>
        <v>0</v>
      </c>
      <c r="AD195" s="308">
        <f t="shared" si="67"/>
        <v>0</v>
      </c>
      <c r="AE195" s="308">
        <f t="shared" si="68"/>
        <v>0</v>
      </c>
      <c r="AF195" s="308">
        <f t="shared" si="69"/>
        <v>0</v>
      </c>
      <c r="AG195" s="308">
        <f t="shared" si="70"/>
        <v>39.359180805513795</v>
      </c>
      <c r="AH195" s="308">
        <f t="shared" si="71"/>
        <v>39.096949530258179</v>
      </c>
      <c r="AI195" s="308">
        <f t="shared" si="72"/>
        <v>37.750632335420221</v>
      </c>
      <c r="AJ195" s="308">
        <f t="shared" si="73"/>
        <v>0</v>
      </c>
      <c r="AK195" s="308">
        <f t="shared" si="74"/>
        <v>0</v>
      </c>
      <c r="AL195" s="308">
        <f t="shared" si="75"/>
        <v>0</v>
      </c>
      <c r="AN195" s="327">
        <f t="shared" si="79"/>
        <v>38.289353056809432</v>
      </c>
      <c r="AO195" s="331">
        <f t="shared" si="80"/>
        <v>31.749999618530275</v>
      </c>
    </row>
    <row r="196" spans="2:41">
      <c r="B196" s="102">
        <f t="shared" si="76"/>
        <v>1</v>
      </c>
      <c r="C196" s="113">
        <f>PJM_01212000!A180</f>
        <v>40909</v>
      </c>
      <c r="D196" s="315">
        <f>PJM_01212000!C180</f>
        <v>40.324998474121088</v>
      </c>
      <c r="E196" s="133">
        <f t="shared" si="58"/>
        <v>0</v>
      </c>
      <c r="F196" s="133">
        <f t="shared" si="84"/>
        <v>1.1998117566192825</v>
      </c>
      <c r="G196" s="133">
        <f t="shared" si="84"/>
        <v>1.1961600115620716</v>
      </c>
      <c r="H196" s="133">
        <f t="shared" si="84"/>
        <v>0</v>
      </c>
      <c r="I196" s="133">
        <f t="shared" si="84"/>
        <v>0</v>
      </c>
      <c r="J196" s="133">
        <f t="shared" si="84"/>
        <v>0</v>
      </c>
      <c r="K196" s="133">
        <f t="shared" si="84"/>
        <v>0</v>
      </c>
      <c r="L196" s="133">
        <f t="shared" si="84"/>
        <v>0</v>
      </c>
      <c r="M196" s="133">
        <f t="shared" si="84"/>
        <v>0</v>
      </c>
      <c r="N196" s="133">
        <f t="shared" si="84"/>
        <v>0</v>
      </c>
      <c r="O196" s="133">
        <f t="shared" si="84"/>
        <v>0</v>
      </c>
      <c r="P196" s="133">
        <f t="shared" si="84"/>
        <v>1.2818992289435116</v>
      </c>
      <c r="Q196" s="133">
        <f t="shared" si="84"/>
        <v>1.2270000000000001</v>
      </c>
      <c r="R196" s="133">
        <f t="shared" si="84"/>
        <v>0</v>
      </c>
      <c r="S196" s="133">
        <f t="shared" si="84"/>
        <v>0</v>
      </c>
      <c r="T196" s="133">
        <f t="shared" si="84"/>
        <v>0</v>
      </c>
      <c r="U196" s="133">
        <f t="shared" si="77"/>
        <v>0</v>
      </c>
      <c r="W196" s="308">
        <f t="shared" si="78"/>
        <v>0</v>
      </c>
      <c r="X196" s="308">
        <f t="shared" si="61"/>
        <v>48.382407254905111</v>
      </c>
      <c r="Y196" s="308">
        <f t="shared" si="62"/>
        <v>48.235150641045202</v>
      </c>
      <c r="Z196" s="308">
        <f t="shared" si="63"/>
        <v>0</v>
      </c>
      <c r="AA196" s="308">
        <f t="shared" si="64"/>
        <v>0</v>
      </c>
      <c r="AB196" s="308">
        <f t="shared" si="65"/>
        <v>0</v>
      </c>
      <c r="AC196" s="308">
        <f t="shared" si="66"/>
        <v>0</v>
      </c>
      <c r="AD196" s="308">
        <f t="shared" si="67"/>
        <v>0</v>
      </c>
      <c r="AE196" s="308">
        <f t="shared" si="68"/>
        <v>0</v>
      </c>
      <c r="AF196" s="308">
        <f t="shared" si="69"/>
        <v>0</v>
      </c>
      <c r="AG196" s="308">
        <f t="shared" si="70"/>
        <v>0</v>
      </c>
      <c r="AH196" s="308">
        <f t="shared" si="71"/>
        <v>51.692584451124105</v>
      </c>
      <c r="AI196" s="308">
        <f t="shared" si="72"/>
        <v>49.478773127746578</v>
      </c>
      <c r="AJ196" s="308">
        <f t="shared" si="73"/>
        <v>0</v>
      </c>
      <c r="AK196" s="308">
        <f t="shared" si="74"/>
        <v>0</v>
      </c>
      <c r="AL196" s="308">
        <f t="shared" si="75"/>
        <v>0</v>
      </c>
      <c r="AN196" s="327">
        <f t="shared" si="79"/>
        <v>49.447228868705253</v>
      </c>
      <c r="AO196" s="331">
        <f t="shared" si="80"/>
        <v>40.324998474121088</v>
      </c>
    </row>
    <row r="197" spans="2:41">
      <c r="B197" s="102">
        <f t="shared" si="76"/>
        <v>2</v>
      </c>
      <c r="C197" s="113">
        <f>PJM_01212000!A181</f>
        <v>40940</v>
      </c>
      <c r="D197" s="315">
        <f>PJM_01212000!C181</f>
        <v>40.324998474121088</v>
      </c>
      <c r="E197" s="133">
        <f t="shared" si="58"/>
        <v>0</v>
      </c>
      <c r="F197" s="133">
        <f t="shared" si="84"/>
        <v>1.1998117566192825</v>
      </c>
      <c r="G197" s="133">
        <f t="shared" si="84"/>
        <v>1.1961600115620716</v>
      </c>
      <c r="H197" s="133">
        <f t="shared" si="84"/>
        <v>0</v>
      </c>
      <c r="I197" s="133">
        <f t="shared" si="84"/>
        <v>0</v>
      </c>
      <c r="J197" s="133">
        <f t="shared" si="84"/>
        <v>0</v>
      </c>
      <c r="K197" s="133">
        <f t="shared" si="84"/>
        <v>0</v>
      </c>
      <c r="L197" s="133">
        <f t="shared" si="84"/>
        <v>0</v>
      </c>
      <c r="M197" s="133">
        <f t="shared" si="84"/>
        <v>0</v>
      </c>
      <c r="N197" s="133">
        <f t="shared" si="84"/>
        <v>0</v>
      </c>
      <c r="O197" s="133">
        <f t="shared" si="84"/>
        <v>0</v>
      </c>
      <c r="P197" s="133">
        <f t="shared" si="84"/>
        <v>1.2818992289435116</v>
      </c>
      <c r="Q197" s="133">
        <f t="shared" si="84"/>
        <v>1.2270000000000001</v>
      </c>
      <c r="R197" s="133">
        <f t="shared" si="84"/>
        <v>0</v>
      </c>
      <c r="S197" s="133">
        <f t="shared" si="84"/>
        <v>0</v>
      </c>
      <c r="T197" s="133">
        <f t="shared" si="84"/>
        <v>0</v>
      </c>
      <c r="U197" s="133">
        <f t="shared" si="77"/>
        <v>0</v>
      </c>
      <c r="W197" s="308">
        <f t="shared" si="78"/>
        <v>0</v>
      </c>
      <c r="X197" s="308">
        <f t="shared" si="61"/>
        <v>48.382407254905111</v>
      </c>
      <c r="Y197" s="308">
        <f t="shared" si="62"/>
        <v>48.235150641045202</v>
      </c>
      <c r="Z197" s="308">
        <f t="shared" si="63"/>
        <v>0</v>
      </c>
      <c r="AA197" s="308">
        <f t="shared" si="64"/>
        <v>0</v>
      </c>
      <c r="AB197" s="308">
        <f t="shared" si="65"/>
        <v>0</v>
      </c>
      <c r="AC197" s="308">
        <f t="shared" si="66"/>
        <v>0</v>
      </c>
      <c r="AD197" s="308">
        <f t="shared" si="67"/>
        <v>0</v>
      </c>
      <c r="AE197" s="308">
        <f t="shared" si="68"/>
        <v>0</v>
      </c>
      <c r="AF197" s="308">
        <f t="shared" si="69"/>
        <v>0</v>
      </c>
      <c r="AG197" s="308">
        <f t="shared" si="70"/>
        <v>0</v>
      </c>
      <c r="AH197" s="308">
        <f t="shared" si="71"/>
        <v>51.692584451124105</v>
      </c>
      <c r="AI197" s="308">
        <f t="shared" si="72"/>
        <v>49.478773127746578</v>
      </c>
      <c r="AJ197" s="308">
        <f t="shared" si="73"/>
        <v>0</v>
      </c>
      <c r="AK197" s="308">
        <f t="shared" si="74"/>
        <v>0</v>
      </c>
      <c r="AL197" s="308">
        <f t="shared" si="75"/>
        <v>0</v>
      </c>
      <c r="AN197" s="327">
        <f t="shared" si="79"/>
        <v>49.447228868705253</v>
      </c>
      <c r="AO197" s="331">
        <f t="shared" si="80"/>
        <v>40.324998474121088</v>
      </c>
    </row>
    <row r="198" spans="2:41">
      <c r="B198" s="102">
        <f t="shared" si="76"/>
        <v>3</v>
      </c>
      <c r="C198" s="113">
        <f>PJM_01212000!A182</f>
        <v>40969</v>
      </c>
      <c r="D198" s="315">
        <f>PJM_01212000!C182</f>
        <v>30.050000762939455</v>
      </c>
      <c r="E198" s="133">
        <f t="shared" si="58"/>
        <v>0</v>
      </c>
      <c r="F198" s="133">
        <f t="shared" si="84"/>
        <v>1.1898</v>
      </c>
      <c r="G198" s="133">
        <f t="shared" si="84"/>
        <v>1.1861999999999999</v>
      </c>
      <c r="H198" s="133">
        <f t="shared" si="84"/>
        <v>0</v>
      </c>
      <c r="I198" s="133">
        <f t="shared" si="84"/>
        <v>0</v>
      </c>
      <c r="J198" s="133">
        <f t="shared" si="84"/>
        <v>0</v>
      </c>
      <c r="K198" s="133">
        <f t="shared" si="84"/>
        <v>0</v>
      </c>
      <c r="L198" s="133">
        <f t="shared" si="84"/>
        <v>0</v>
      </c>
      <c r="M198" s="133">
        <f t="shared" si="84"/>
        <v>0</v>
      </c>
      <c r="N198" s="133">
        <f t="shared" si="84"/>
        <v>0</v>
      </c>
      <c r="O198" s="133">
        <f t="shared" si="84"/>
        <v>0</v>
      </c>
      <c r="P198" s="133">
        <f t="shared" si="84"/>
        <v>1.2719</v>
      </c>
      <c r="Q198" s="133">
        <f t="shared" si="84"/>
        <v>1.2170000000000001</v>
      </c>
      <c r="R198" s="133">
        <f t="shared" si="84"/>
        <v>0</v>
      </c>
      <c r="S198" s="133">
        <f t="shared" si="84"/>
        <v>0</v>
      </c>
      <c r="T198" s="133">
        <f t="shared" si="84"/>
        <v>0</v>
      </c>
      <c r="U198" s="133">
        <f t="shared" si="77"/>
        <v>0</v>
      </c>
      <c r="W198" s="308">
        <f t="shared" si="78"/>
        <v>0</v>
      </c>
      <c r="X198" s="308">
        <f t="shared" si="61"/>
        <v>35.753490907745359</v>
      </c>
      <c r="Y198" s="308">
        <f t="shared" si="62"/>
        <v>35.64531090499878</v>
      </c>
      <c r="Z198" s="308">
        <f t="shared" si="63"/>
        <v>0</v>
      </c>
      <c r="AA198" s="308">
        <f t="shared" si="64"/>
        <v>0</v>
      </c>
      <c r="AB198" s="308">
        <f t="shared" si="65"/>
        <v>0</v>
      </c>
      <c r="AC198" s="308">
        <f t="shared" si="66"/>
        <v>0</v>
      </c>
      <c r="AD198" s="308">
        <f t="shared" si="67"/>
        <v>0</v>
      </c>
      <c r="AE198" s="308">
        <f t="shared" si="68"/>
        <v>0</v>
      </c>
      <c r="AF198" s="308">
        <f t="shared" si="69"/>
        <v>0</v>
      </c>
      <c r="AG198" s="308">
        <f t="shared" si="70"/>
        <v>0</v>
      </c>
      <c r="AH198" s="308">
        <f t="shared" si="71"/>
        <v>38.220595970382696</v>
      </c>
      <c r="AI198" s="308">
        <f t="shared" si="72"/>
        <v>36.570850928497322</v>
      </c>
      <c r="AJ198" s="308">
        <f t="shared" si="73"/>
        <v>0</v>
      </c>
      <c r="AK198" s="308">
        <f t="shared" si="74"/>
        <v>0</v>
      </c>
      <c r="AL198" s="308">
        <f t="shared" si="75"/>
        <v>0</v>
      </c>
      <c r="AN198" s="327">
        <f t="shared" si="79"/>
        <v>36.547562177906038</v>
      </c>
      <c r="AO198" s="331">
        <f t="shared" si="80"/>
        <v>30.050000762939455</v>
      </c>
    </row>
    <row r="199" spans="2:41">
      <c r="B199" s="102">
        <f t="shared" si="76"/>
        <v>4</v>
      </c>
      <c r="C199" s="113">
        <f>PJM_01212000!A183</f>
        <v>41000</v>
      </c>
      <c r="D199" s="315">
        <f>PJM_01212000!C183</f>
        <v>29.825000762939453</v>
      </c>
      <c r="E199" s="133">
        <f t="shared" ref="E199:E262" si="85">VLOOKUP($B199,$C$6:$Z$17,E$22+1)</f>
        <v>1.1232726508202047</v>
      </c>
      <c r="F199" s="133">
        <f t="shared" si="84"/>
        <v>1.1413154461256174</v>
      </c>
      <c r="G199" s="133">
        <f t="shared" si="84"/>
        <v>0</v>
      </c>
      <c r="H199" s="133">
        <f t="shared" si="84"/>
        <v>0</v>
      </c>
      <c r="I199" s="133">
        <f t="shared" si="84"/>
        <v>1.1185245467924647</v>
      </c>
      <c r="J199" s="133">
        <f t="shared" si="84"/>
        <v>0</v>
      </c>
      <c r="K199" s="133">
        <f t="shared" si="84"/>
        <v>0</v>
      </c>
      <c r="L199" s="133">
        <f t="shared" si="84"/>
        <v>0</v>
      </c>
      <c r="M199" s="133">
        <f t="shared" si="84"/>
        <v>0</v>
      </c>
      <c r="N199" s="133">
        <f t="shared" si="84"/>
        <v>0</v>
      </c>
      <c r="O199" s="133">
        <f t="shared" si="84"/>
        <v>0</v>
      </c>
      <c r="P199" s="133">
        <f t="shared" si="84"/>
        <v>0</v>
      </c>
      <c r="Q199" s="133">
        <f t="shared" si="84"/>
        <v>0</v>
      </c>
      <c r="R199" s="133">
        <f t="shared" si="84"/>
        <v>1.1543365178491491</v>
      </c>
      <c r="S199" s="133">
        <f t="shared" si="84"/>
        <v>0</v>
      </c>
      <c r="T199" s="133">
        <f t="shared" si="84"/>
        <v>0</v>
      </c>
      <c r="U199" s="133">
        <f t="shared" si="77"/>
        <v>0</v>
      </c>
      <c r="W199" s="308">
        <f t="shared" si="78"/>
        <v>33.501607667701627</v>
      </c>
      <c r="X199" s="308">
        <f t="shared" si="61"/>
        <v>34.03973405145112</v>
      </c>
      <c r="Y199" s="308">
        <f t="shared" si="62"/>
        <v>0</v>
      </c>
      <c r="Z199" s="308">
        <f t="shared" si="63"/>
        <v>0</v>
      </c>
      <c r="AA199" s="308">
        <f t="shared" si="64"/>
        <v>33.359995461451767</v>
      </c>
      <c r="AB199" s="308">
        <f t="shared" si="65"/>
        <v>0</v>
      </c>
      <c r="AC199" s="308">
        <f t="shared" si="66"/>
        <v>0</v>
      </c>
      <c r="AD199" s="308">
        <f t="shared" si="67"/>
        <v>0</v>
      </c>
      <c r="AE199" s="308">
        <f t="shared" si="68"/>
        <v>0</v>
      </c>
      <c r="AF199" s="308">
        <f t="shared" si="69"/>
        <v>0</v>
      </c>
      <c r="AG199" s="308">
        <f t="shared" si="70"/>
        <v>0</v>
      </c>
      <c r="AH199" s="308">
        <f t="shared" si="71"/>
        <v>0</v>
      </c>
      <c r="AI199" s="308">
        <f t="shared" si="72"/>
        <v>0</v>
      </c>
      <c r="AJ199" s="308">
        <f t="shared" si="73"/>
        <v>34.428087525539745</v>
      </c>
      <c r="AK199" s="308">
        <f t="shared" si="74"/>
        <v>0</v>
      </c>
      <c r="AL199" s="308">
        <f t="shared" si="75"/>
        <v>0</v>
      </c>
      <c r="AN199" s="327">
        <f t="shared" si="79"/>
        <v>33.832356176536067</v>
      </c>
      <c r="AO199" s="331">
        <f t="shared" si="80"/>
        <v>29.825000762939453</v>
      </c>
    </row>
    <row r="200" spans="2:41">
      <c r="B200" s="102">
        <f t="shared" si="76"/>
        <v>5</v>
      </c>
      <c r="C200" s="113">
        <f>PJM_01212000!A184</f>
        <v>41030</v>
      </c>
      <c r="D200" s="315">
        <f>PJM_01212000!C184</f>
        <v>37.825000000000003</v>
      </c>
      <c r="E200" s="133">
        <f t="shared" si="85"/>
        <v>0</v>
      </c>
      <c r="F200" s="133">
        <f t="shared" ref="F200:T209" si="86">VLOOKUP($B200,$C$6:$Z$17,F$22+1)</f>
        <v>0</v>
      </c>
      <c r="G200" s="133">
        <f t="shared" si="86"/>
        <v>1.0610266218026732</v>
      </c>
      <c r="H200" s="133">
        <f t="shared" si="86"/>
        <v>1.1254998619307197</v>
      </c>
      <c r="I200" s="133">
        <f t="shared" si="86"/>
        <v>1.1169907033351396</v>
      </c>
      <c r="J200" s="133">
        <f t="shared" si="86"/>
        <v>0</v>
      </c>
      <c r="K200" s="133">
        <f t="shared" si="86"/>
        <v>0</v>
      </c>
      <c r="L200" s="133">
        <f t="shared" si="86"/>
        <v>0</v>
      </c>
      <c r="M200" s="133">
        <f t="shared" si="86"/>
        <v>0</v>
      </c>
      <c r="N200" s="133">
        <f t="shared" si="86"/>
        <v>0</v>
      </c>
      <c r="O200" s="133">
        <f t="shared" si="86"/>
        <v>0</v>
      </c>
      <c r="P200" s="133">
        <f t="shared" si="86"/>
        <v>0</v>
      </c>
      <c r="Q200" s="133">
        <f t="shared" si="86"/>
        <v>0</v>
      </c>
      <c r="R200" s="133">
        <f t="shared" si="86"/>
        <v>1.0876995612465097</v>
      </c>
      <c r="S200" s="133">
        <f t="shared" si="86"/>
        <v>0</v>
      </c>
      <c r="T200" s="133">
        <f t="shared" si="86"/>
        <v>0</v>
      </c>
      <c r="U200" s="133">
        <f t="shared" si="77"/>
        <v>0</v>
      </c>
      <c r="W200" s="308">
        <f t="shared" si="78"/>
        <v>0</v>
      </c>
      <c r="X200" s="308">
        <f t="shared" si="61"/>
        <v>0</v>
      </c>
      <c r="Y200" s="308">
        <f t="shared" si="62"/>
        <v>40.133331969686118</v>
      </c>
      <c r="Z200" s="308">
        <f t="shared" si="63"/>
        <v>42.572032277529473</v>
      </c>
      <c r="AA200" s="308">
        <f t="shared" si="64"/>
        <v>42.250173353651661</v>
      </c>
      <c r="AB200" s="308">
        <f t="shared" si="65"/>
        <v>0</v>
      </c>
      <c r="AC200" s="308">
        <f t="shared" si="66"/>
        <v>0</v>
      </c>
      <c r="AD200" s="308">
        <f t="shared" si="67"/>
        <v>0</v>
      </c>
      <c r="AE200" s="308">
        <f t="shared" si="68"/>
        <v>0</v>
      </c>
      <c r="AF200" s="308">
        <f t="shared" si="69"/>
        <v>0</v>
      </c>
      <c r="AG200" s="308">
        <f t="shared" si="70"/>
        <v>0</v>
      </c>
      <c r="AH200" s="308">
        <f t="shared" si="71"/>
        <v>0</v>
      </c>
      <c r="AI200" s="308">
        <f t="shared" si="72"/>
        <v>0</v>
      </c>
      <c r="AJ200" s="308">
        <f t="shared" si="73"/>
        <v>41.142235904149231</v>
      </c>
      <c r="AK200" s="308">
        <f t="shared" si="74"/>
        <v>0</v>
      </c>
      <c r="AL200" s="308">
        <f t="shared" si="75"/>
        <v>0</v>
      </c>
      <c r="AN200" s="327">
        <f t="shared" si="79"/>
        <v>41.524443376254119</v>
      </c>
      <c r="AO200" s="331">
        <f t="shared" si="80"/>
        <v>37.825000000000003</v>
      </c>
    </row>
    <row r="201" spans="2:41">
      <c r="B201" s="102">
        <f t="shared" si="76"/>
        <v>6</v>
      </c>
      <c r="C201" s="113">
        <f>PJM_01212000!A185</f>
        <v>41061</v>
      </c>
      <c r="D201" s="315">
        <f>PJM_01212000!C185</f>
        <v>63.849998474121094</v>
      </c>
      <c r="E201" s="133">
        <f t="shared" si="85"/>
        <v>0</v>
      </c>
      <c r="F201" s="133">
        <f t="shared" si="86"/>
        <v>0</v>
      </c>
      <c r="G201" s="133">
        <f t="shared" si="86"/>
        <v>0</v>
      </c>
      <c r="H201" s="133">
        <f t="shared" si="86"/>
        <v>0</v>
      </c>
      <c r="I201" s="133">
        <f t="shared" si="86"/>
        <v>0</v>
      </c>
      <c r="J201" s="133">
        <f t="shared" si="86"/>
        <v>0</v>
      </c>
      <c r="K201" s="133">
        <f t="shared" si="86"/>
        <v>1.2209201862181771</v>
      </c>
      <c r="L201" s="133">
        <f t="shared" si="86"/>
        <v>1.2303149771421382</v>
      </c>
      <c r="M201" s="133">
        <f t="shared" si="86"/>
        <v>1.2323281466258438</v>
      </c>
      <c r="N201" s="133">
        <f t="shared" si="86"/>
        <v>1.2523256301639896</v>
      </c>
      <c r="O201" s="133">
        <f t="shared" si="86"/>
        <v>0</v>
      </c>
      <c r="P201" s="133">
        <f t="shared" si="86"/>
        <v>0</v>
      </c>
      <c r="Q201" s="133">
        <f t="shared" si="86"/>
        <v>0</v>
      </c>
      <c r="R201" s="133">
        <f t="shared" si="86"/>
        <v>0</v>
      </c>
      <c r="S201" s="133">
        <f t="shared" si="86"/>
        <v>0</v>
      </c>
      <c r="T201" s="133">
        <f t="shared" si="86"/>
        <v>0</v>
      </c>
      <c r="U201" s="133">
        <f t="shared" si="77"/>
        <v>0</v>
      </c>
      <c r="W201" s="308">
        <f t="shared" si="78"/>
        <v>0</v>
      </c>
      <c r="X201" s="308">
        <f t="shared" si="61"/>
        <v>0</v>
      </c>
      <c r="Y201" s="308">
        <f t="shared" si="62"/>
        <v>0</v>
      </c>
      <c r="Z201" s="308">
        <f t="shared" si="63"/>
        <v>0</v>
      </c>
      <c r="AA201" s="308">
        <f t="shared" si="64"/>
        <v>0</v>
      </c>
      <c r="AB201" s="308">
        <f t="shared" si="65"/>
        <v>0</v>
      </c>
      <c r="AC201" s="308">
        <f t="shared" si="66"/>
        <v>77.955752027054245</v>
      </c>
      <c r="AD201" s="308">
        <f t="shared" si="67"/>
        <v>78.555609413213858</v>
      </c>
      <c r="AE201" s="308">
        <f t="shared" si="68"/>
        <v>78.684150281676594</v>
      </c>
      <c r="AF201" s="308">
        <f t="shared" si="69"/>
        <v>79.960989575073469</v>
      </c>
      <c r="AG201" s="308">
        <f t="shared" si="70"/>
        <v>0</v>
      </c>
      <c r="AH201" s="308">
        <f t="shared" si="71"/>
        <v>0</v>
      </c>
      <c r="AI201" s="308">
        <f t="shared" si="72"/>
        <v>0</v>
      </c>
      <c r="AJ201" s="308">
        <f t="shared" si="73"/>
        <v>0</v>
      </c>
      <c r="AK201" s="308">
        <f t="shared" si="74"/>
        <v>0</v>
      </c>
      <c r="AL201" s="308">
        <f t="shared" si="75"/>
        <v>0</v>
      </c>
      <c r="AN201" s="327">
        <f t="shared" si="79"/>
        <v>78.789125324254542</v>
      </c>
      <c r="AO201" s="331">
        <f t="shared" si="80"/>
        <v>63.849998474121094</v>
      </c>
    </row>
    <row r="202" spans="2:41">
      <c r="B202" s="102">
        <f t="shared" si="76"/>
        <v>7</v>
      </c>
      <c r="C202" s="113">
        <f>PJM_01212000!A186</f>
        <v>41091</v>
      </c>
      <c r="D202" s="315">
        <f>PJM_01212000!C186</f>
        <v>111.44999694824219</v>
      </c>
      <c r="E202" s="133">
        <f t="shared" si="85"/>
        <v>0</v>
      </c>
      <c r="F202" s="133">
        <f t="shared" si="86"/>
        <v>0</v>
      </c>
      <c r="G202" s="133">
        <f t="shared" si="86"/>
        <v>0</v>
      </c>
      <c r="H202" s="133">
        <f t="shared" si="86"/>
        <v>0</v>
      </c>
      <c r="I202" s="133">
        <f t="shared" si="86"/>
        <v>0</v>
      </c>
      <c r="J202" s="133">
        <f t="shared" si="86"/>
        <v>0</v>
      </c>
      <c r="K202" s="133">
        <f t="shared" si="86"/>
        <v>0</v>
      </c>
      <c r="L202" s="133">
        <f t="shared" si="86"/>
        <v>1.2506946851612968</v>
      </c>
      <c r="M202" s="133">
        <f t="shared" si="86"/>
        <v>1.3273401940004199</v>
      </c>
      <c r="N202" s="133">
        <f t="shared" si="86"/>
        <v>1.3538888162792144</v>
      </c>
      <c r="O202" s="133">
        <f t="shared" si="86"/>
        <v>1.3203393586734773</v>
      </c>
      <c r="P202" s="133">
        <f t="shared" si="86"/>
        <v>0</v>
      </c>
      <c r="Q202" s="133">
        <f t="shared" si="86"/>
        <v>0</v>
      </c>
      <c r="R202" s="133">
        <f t="shared" si="86"/>
        <v>0</v>
      </c>
      <c r="S202" s="133">
        <f t="shared" si="86"/>
        <v>0</v>
      </c>
      <c r="T202" s="133">
        <f t="shared" si="86"/>
        <v>0</v>
      </c>
      <c r="U202" s="133">
        <f t="shared" si="77"/>
        <v>0</v>
      </c>
      <c r="W202" s="308">
        <f t="shared" si="78"/>
        <v>0</v>
      </c>
      <c r="X202" s="308">
        <f t="shared" si="61"/>
        <v>0</v>
      </c>
      <c r="Y202" s="308">
        <f t="shared" si="62"/>
        <v>0</v>
      </c>
      <c r="Z202" s="308">
        <f t="shared" si="63"/>
        <v>0</v>
      </c>
      <c r="AA202" s="308">
        <f t="shared" si="64"/>
        <v>0</v>
      </c>
      <c r="AB202" s="308">
        <f t="shared" si="65"/>
        <v>0</v>
      </c>
      <c r="AC202" s="308">
        <f t="shared" si="66"/>
        <v>0</v>
      </c>
      <c r="AD202" s="308">
        <f t="shared" si="67"/>
        <v>139.38991884440924</v>
      </c>
      <c r="AE202" s="308">
        <f t="shared" si="68"/>
        <v>147.93206057062599</v>
      </c>
      <c r="AF202" s="308">
        <f t="shared" si="69"/>
        <v>150.89090444257766</v>
      </c>
      <c r="AG202" s="308">
        <f t="shared" si="70"/>
        <v>147.15181749480308</v>
      </c>
      <c r="AH202" s="308">
        <f t="shared" si="71"/>
        <v>0</v>
      </c>
      <c r="AI202" s="308">
        <f t="shared" si="72"/>
        <v>0</v>
      </c>
      <c r="AJ202" s="308">
        <f t="shared" si="73"/>
        <v>0</v>
      </c>
      <c r="AK202" s="308">
        <f t="shared" si="74"/>
        <v>0</v>
      </c>
      <c r="AL202" s="308">
        <f t="shared" si="75"/>
        <v>0</v>
      </c>
      <c r="AN202" s="327">
        <f t="shared" si="79"/>
        <v>146.34117533810399</v>
      </c>
      <c r="AO202" s="331">
        <f t="shared" si="80"/>
        <v>111.44999694824219</v>
      </c>
    </row>
    <row r="203" spans="2:41">
      <c r="B203" s="102">
        <f t="shared" si="76"/>
        <v>8</v>
      </c>
      <c r="C203" s="113">
        <f>PJM_01212000!A187</f>
        <v>41122</v>
      </c>
      <c r="D203" s="315">
        <f>PJM_01212000!C187</f>
        <v>98.449996948242188</v>
      </c>
      <c r="E203" s="133">
        <f t="shared" si="85"/>
        <v>0</v>
      </c>
      <c r="F203" s="133">
        <f t="shared" si="86"/>
        <v>0</v>
      </c>
      <c r="G203" s="133">
        <f t="shared" si="86"/>
        <v>0</v>
      </c>
      <c r="H203" s="133">
        <f t="shared" si="86"/>
        <v>0</v>
      </c>
      <c r="I203" s="133">
        <f t="shared" si="86"/>
        <v>0</v>
      </c>
      <c r="J203" s="133">
        <f t="shared" si="86"/>
        <v>0</v>
      </c>
      <c r="K203" s="133">
        <f t="shared" si="86"/>
        <v>1.1907290919069531</v>
      </c>
      <c r="L203" s="133">
        <f t="shared" si="86"/>
        <v>1.26057331025457</v>
      </c>
      <c r="M203" s="133">
        <f t="shared" si="86"/>
        <v>1.2430109342677418</v>
      </c>
      <c r="N203" s="133">
        <f t="shared" si="86"/>
        <v>1.2150462278887151</v>
      </c>
      <c r="O203" s="133">
        <f t="shared" si="86"/>
        <v>0</v>
      </c>
      <c r="P203" s="133">
        <f t="shared" si="86"/>
        <v>0</v>
      </c>
      <c r="Q203" s="133">
        <f t="shared" si="86"/>
        <v>0</v>
      </c>
      <c r="R203" s="133">
        <f t="shared" si="86"/>
        <v>0</v>
      </c>
      <c r="S203" s="133">
        <f t="shared" si="86"/>
        <v>0</v>
      </c>
      <c r="T203" s="133">
        <f t="shared" si="86"/>
        <v>0</v>
      </c>
      <c r="U203" s="133">
        <f t="shared" si="77"/>
        <v>0</v>
      </c>
      <c r="W203" s="308">
        <f t="shared" si="78"/>
        <v>0</v>
      </c>
      <c r="X203" s="308">
        <f t="shared" si="61"/>
        <v>0</v>
      </c>
      <c r="Y203" s="308">
        <f t="shared" si="62"/>
        <v>0</v>
      </c>
      <c r="Z203" s="308">
        <f t="shared" si="63"/>
        <v>0</v>
      </c>
      <c r="AA203" s="308">
        <f t="shared" si="64"/>
        <v>0</v>
      </c>
      <c r="AB203" s="308">
        <f t="shared" si="65"/>
        <v>0</v>
      </c>
      <c r="AC203" s="308">
        <f t="shared" si="66"/>
        <v>117.22727546442272</v>
      </c>
      <c r="AD203" s="308">
        <f t="shared" si="67"/>
        <v>124.10343854759796</v>
      </c>
      <c r="AE203" s="308">
        <f t="shared" si="68"/>
        <v>122.37442268529085</v>
      </c>
      <c r="AF203" s="308">
        <f t="shared" si="69"/>
        <v>119.62129742761718</v>
      </c>
      <c r="AG203" s="308">
        <f t="shared" si="70"/>
        <v>0</v>
      </c>
      <c r="AH203" s="308">
        <f t="shared" si="71"/>
        <v>0</v>
      </c>
      <c r="AI203" s="308">
        <f t="shared" si="72"/>
        <v>0</v>
      </c>
      <c r="AJ203" s="308">
        <f t="shared" si="73"/>
        <v>0</v>
      </c>
      <c r="AK203" s="308">
        <f t="shared" si="74"/>
        <v>0</v>
      </c>
      <c r="AL203" s="308">
        <f t="shared" si="75"/>
        <v>0</v>
      </c>
      <c r="AN203" s="327">
        <f t="shared" si="79"/>
        <v>120.83160853123218</v>
      </c>
      <c r="AO203" s="331">
        <f t="shared" si="80"/>
        <v>98.449996948242188</v>
      </c>
    </row>
    <row r="204" spans="2:41">
      <c r="B204" s="102">
        <f t="shared" si="76"/>
        <v>9</v>
      </c>
      <c r="C204" s="113">
        <f>PJM_01212000!A188</f>
        <v>41153</v>
      </c>
      <c r="D204" s="315">
        <f>PJM_01212000!C188</f>
        <v>37.424998474121097</v>
      </c>
      <c r="E204" s="133">
        <f t="shared" si="85"/>
        <v>0</v>
      </c>
      <c r="F204" s="133">
        <f t="shared" si="86"/>
        <v>0</v>
      </c>
      <c r="G204" s="133">
        <f t="shared" si="86"/>
        <v>0</v>
      </c>
      <c r="H204" s="133">
        <f t="shared" si="86"/>
        <v>0</v>
      </c>
      <c r="I204" s="133">
        <f t="shared" si="86"/>
        <v>0</v>
      </c>
      <c r="J204" s="133">
        <f t="shared" si="86"/>
        <v>0</v>
      </c>
      <c r="K204" s="133">
        <f t="shared" si="86"/>
        <v>0</v>
      </c>
      <c r="L204" s="133">
        <f t="shared" si="86"/>
        <v>0</v>
      </c>
      <c r="M204" s="133">
        <f t="shared" si="86"/>
        <v>0</v>
      </c>
      <c r="N204" s="133">
        <f t="shared" si="86"/>
        <v>1.1345284089868721</v>
      </c>
      <c r="O204" s="133">
        <f t="shared" si="86"/>
        <v>1.1066962078625975</v>
      </c>
      <c r="P204" s="133">
        <f t="shared" si="86"/>
        <v>0</v>
      </c>
      <c r="Q204" s="133">
        <f t="shared" si="86"/>
        <v>1.184626371010566</v>
      </c>
      <c r="R204" s="133">
        <f t="shared" si="86"/>
        <v>1.1944408840385996</v>
      </c>
      <c r="S204" s="133">
        <f t="shared" si="86"/>
        <v>0</v>
      </c>
      <c r="T204" s="133">
        <f t="shared" si="86"/>
        <v>0</v>
      </c>
      <c r="U204" s="133">
        <f t="shared" si="77"/>
        <v>0</v>
      </c>
      <c r="W204" s="308">
        <f t="shared" si="78"/>
        <v>0</v>
      </c>
      <c r="X204" s="308">
        <f t="shared" si="61"/>
        <v>0</v>
      </c>
      <c r="Y204" s="308">
        <f t="shared" si="62"/>
        <v>0</v>
      </c>
      <c r="Z204" s="308">
        <f t="shared" si="63"/>
        <v>0</v>
      </c>
      <c r="AA204" s="308">
        <f t="shared" si="64"/>
        <v>0</v>
      </c>
      <c r="AB204" s="308">
        <f t="shared" si="65"/>
        <v>0</v>
      </c>
      <c r="AC204" s="308">
        <f t="shared" si="66"/>
        <v>0</v>
      </c>
      <c r="AD204" s="308">
        <f t="shared" si="67"/>
        <v>0</v>
      </c>
      <c r="AE204" s="308">
        <f t="shared" si="68"/>
        <v>0</v>
      </c>
      <c r="AF204" s="308">
        <f t="shared" si="69"/>
        <v>42.459723975180722</v>
      </c>
      <c r="AG204" s="308">
        <f t="shared" si="70"/>
        <v>41.418103890573313</v>
      </c>
      <c r="AH204" s="308">
        <f t="shared" si="71"/>
        <v>0</v>
      </c>
      <c r="AI204" s="308">
        <f t="shared" si="72"/>
        <v>44.334640127474046</v>
      </c>
      <c r="AJ204" s="308">
        <f t="shared" si="73"/>
        <v>44.701948262572444</v>
      </c>
      <c r="AK204" s="308">
        <f t="shared" si="74"/>
        <v>0</v>
      </c>
      <c r="AL204" s="308">
        <f t="shared" si="75"/>
        <v>0</v>
      </c>
      <c r="AN204" s="327">
        <f t="shared" si="79"/>
        <v>43.228604063950129</v>
      </c>
      <c r="AO204" s="331">
        <f t="shared" si="80"/>
        <v>37.424998474121097</v>
      </c>
    </row>
    <row r="205" spans="2:41">
      <c r="B205" s="102">
        <f t="shared" si="76"/>
        <v>10</v>
      </c>
      <c r="C205" s="113">
        <f>PJM_01212000!A189</f>
        <v>41183</v>
      </c>
      <c r="D205" s="315">
        <f>PJM_01212000!C189</f>
        <v>30.575000381469728</v>
      </c>
      <c r="E205" s="133">
        <f t="shared" si="85"/>
        <v>0</v>
      </c>
      <c r="F205" s="133">
        <f t="shared" si="86"/>
        <v>1.1326000000000001</v>
      </c>
      <c r="G205" s="133">
        <f t="shared" si="86"/>
        <v>0</v>
      </c>
      <c r="H205" s="133">
        <f t="shared" si="86"/>
        <v>0</v>
      </c>
      <c r="I205" s="133">
        <f t="shared" si="86"/>
        <v>0</v>
      </c>
      <c r="J205" s="133">
        <f t="shared" si="86"/>
        <v>0</v>
      </c>
      <c r="K205" s="133">
        <f t="shared" si="86"/>
        <v>0</v>
      </c>
      <c r="L205" s="133">
        <f t="shared" si="86"/>
        <v>0</v>
      </c>
      <c r="M205" s="133">
        <f t="shared" si="86"/>
        <v>0</v>
      </c>
      <c r="N205" s="133">
        <f t="shared" si="86"/>
        <v>0</v>
      </c>
      <c r="O205" s="133">
        <f t="shared" si="86"/>
        <v>1.2000999999999999</v>
      </c>
      <c r="P205" s="133">
        <f t="shared" si="86"/>
        <v>1.2095</v>
      </c>
      <c r="Q205" s="133">
        <f t="shared" si="86"/>
        <v>1.1567000000000001</v>
      </c>
      <c r="R205" s="133">
        <f t="shared" si="86"/>
        <v>0</v>
      </c>
      <c r="S205" s="133">
        <f t="shared" si="86"/>
        <v>0</v>
      </c>
      <c r="T205" s="133">
        <f t="shared" si="86"/>
        <v>0</v>
      </c>
      <c r="U205" s="133">
        <f t="shared" si="77"/>
        <v>0</v>
      </c>
      <c r="W205" s="308">
        <f t="shared" si="78"/>
        <v>0</v>
      </c>
      <c r="X205" s="308">
        <f t="shared" si="61"/>
        <v>34.629245432052613</v>
      </c>
      <c r="Y205" s="308">
        <f t="shared" si="62"/>
        <v>0</v>
      </c>
      <c r="Z205" s="308">
        <f t="shared" si="63"/>
        <v>0</v>
      </c>
      <c r="AA205" s="308">
        <f t="shared" si="64"/>
        <v>0</v>
      </c>
      <c r="AB205" s="308">
        <f t="shared" si="65"/>
        <v>0</v>
      </c>
      <c r="AC205" s="308">
        <f t="shared" si="66"/>
        <v>0</v>
      </c>
      <c r="AD205" s="308">
        <f t="shared" si="67"/>
        <v>0</v>
      </c>
      <c r="AE205" s="308">
        <f t="shared" si="68"/>
        <v>0</v>
      </c>
      <c r="AF205" s="308">
        <f t="shared" si="69"/>
        <v>0</v>
      </c>
      <c r="AG205" s="308">
        <f t="shared" si="70"/>
        <v>36.69305795780182</v>
      </c>
      <c r="AH205" s="308">
        <f t="shared" si="71"/>
        <v>36.980462961387637</v>
      </c>
      <c r="AI205" s="308">
        <f t="shared" si="72"/>
        <v>35.366102941246034</v>
      </c>
      <c r="AJ205" s="308">
        <f t="shared" si="73"/>
        <v>0</v>
      </c>
      <c r="AK205" s="308">
        <f t="shared" si="74"/>
        <v>0</v>
      </c>
      <c r="AL205" s="308">
        <f t="shared" si="75"/>
        <v>0</v>
      </c>
      <c r="AN205" s="327">
        <f t="shared" si="79"/>
        <v>35.917217323122024</v>
      </c>
      <c r="AO205" s="331">
        <f t="shared" si="80"/>
        <v>30.575000381469728</v>
      </c>
    </row>
    <row r="206" spans="2:41">
      <c r="B206" s="102">
        <f t="shared" si="76"/>
        <v>11</v>
      </c>
      <c r="C206" s="113">
        <f>PJM_01212000!A190</f>
        <v>41214</v>
      </c>
      <c r="D206" s="315">
        <f>PJM_01212000!C190</f>
        <v>30.247499084472658</v>
      </c>
      <c r="E206" s="133">
        <f t="shared" si="85"/>
        <v>0</v>
      </c>
      <c r="F206" s="133">
        <f t="shared" si="86"/>
        <v>1.1426000000000001</v>
      </c>
      <c r="G206" s="133">
        <f t="shared" si="86"/>
        <v>0</v>
      </c>
      <c r="H206" s="133">
        <f t="shared" si="86"/>
        <v>0</v>
      </c>
      <c r="I206" s="133">
        <f t="shared" si="86"/>
        <v>0</v>
      </c>
      <c r="J206" s="133">
        <f t="shared" si="86"/>
        <v>0</v>
      </c>
      <c r="K206" s="133">
        <f t="shared" si="86"/>
        <v>0</v>
      </c>
      <c r="L206" s="133">
        <f t="shared" si="86"/>
        <v>0</v>
      </c>
      <c r="M206" s="133">
        <f t="shared" si="86"/>
        <v>0</v>
      </c>
      <c r="N206" s="133">
        <f t="shared" si="86"/>
        <v>0</v>
      </c>
      <c r="O206" s="133">
        <f t="shared" si="86"/>
        <v>1.2171000000000001</v>
      </c>
      <c r="P206" s="133">
        <f t="shared" si="86"/>
        <v>1.2269000000000001</v>
      </c>
      <c r="Q206" s="133">
        <f t="shared" si="86"/>
        <v>1.1767000000000001</v>
      </c>
      <c r="R206" s="133">
        <f t="shared" si="86"/>
        <v>0</v>
      </c>
      <c r="S206" s="133">
        <f t="shared" si="86"/>
        <v>0</v>
      </c>
      <c r="T206" s="133">
        <f t="shared" si="86"/>
        <v>0</v>
      </c>
      <c r="U206" s="133">
        <f t="shared" si="77"/>
        <v>0</v>
      </c>
      <c r="W206" s="308">
        <f t="shared" si="78"/>
        <v>0</v>
      </c>
      <c r="X206" s="308">
        <f t="shared" si="61"/>
        <v>34.560792453918459</v>
      </c>
      <c r="Y206" s="308">
        <f t="shared" si="62"/>
        <v>0</v>
      </c>
      <c r="Z206" s="308">
        <f t="shared" si="63"/>
        <v>0</v>
      </c>
      <c r="AA206" s="308">
        <f t="shared" si="64"/>
        <v>0</v>
      </c>
      <c r="AB206" s="308">
        <f t="shared" si="65"/>
        <v>0</v>
      </c>
      <c r="AC206" s="308">
        <f t="shared" si="66"/>
        <v>0</v>
      </c>
      <c r="AD206" s="308">
        <f t="shared" si="67"/>
        <v>0</v>
      </c>
      <c r="AE206" s="308">
        <f t="shared" si="68"/>
        <v>0</v>
      </c>
      <c r="AF206" s="308">
        <f t="shared" si="69"/>
        <v>0</v>
      </c>
      <c r="AG206" s="308">
        <f t="shared" si="70"/>
        <v>36.814231135711672</v>
      </c>
      <c r="AH206" s="308">
        <f t="shared" si="71"/>
        <v>37.110656626739505</v>
      </c>
      <c r="AI206" s="308">
        <f t="shared" si="72"/>
        <v>35.592232172698978</v>
      </c>
      <c r="AJ206" s="308">
        <f t="shared" si="73"/>
        <v>0</v>
      </c>
      <c r="AK206" s="308">
        <f t="shared" si="74"/>
        <v>0</v>
      </c>
      <c r="AL206" s="308">
        <f t="shared" si="75"/>
        <v>0</v>
      </c>
      <c r="AN206" s="327">
        <f t="shared" si="79"/>
        <v>36.019478097267154</v>
      </c>
      <c r="AO206" s="331">
        <f t="shared" si="80"/>
        <v>30.247499084472658</v>
      </c>
    </row>
    <row r="207" spans="2:41">
      <c r="B207" s="102">
        <f t="shared" si="76"/>
        <v>12</v>
      </c>
      <c r="C207" s="113">
        <f>PJM_01212000!A191</f>
        <v>41244</v>
      </c>
      <c r="D207" s="315">
        <f>PJM_01212000!C191</f>
        <v>31.999999618530275</v>
      </c>
      <c r="E207" s="133">
        <f t="shared" si="85"/>
        <v>0</v>
      </c>
      <c r="F207" s="133">
        <f t="shared" si="86"/>
        <v>1.1637999999999999</v>
      </c>
      <c r="G207" s="133">
        <f t="shared" si="86"/>
        <v>0</v>
      </c>
      <c r="H207" s="133">
        <f t="shared" si="86"/>
        <v>0</v>
      </c>
      <c r="I207" s="133">
        <f t="shared" si="86"/>
        <v>0</v>
      </c>
      <c r="J207" s="133">
        <f t="shared" si="86"/>
        <v>0</v>
      </c>
      <c r="K207" s="133">
        <f t="shared" si="86"/>
        <v>0</v>
      </c>
      <c r="L207" s="133">
        <f t="shared" si="86"/>
        <v>0</v>
      </c>
      <c r="M207" s="133">
        <f t="shared" si="86"/>
        <v>0</v>
      </c>
      <c r="N207" s="133">
        <f t="shared" si="86"/>
        <v>0</v>
      </c>
      <c r="O207" s="133">
        <f t="shared" si="86"/>
        <v>1.2396592528631896</v>
      </c>
      <c r="P207" s="133">
        <f t="shared" si="86"/>
        <v>1.2314000000000001</v>
      </c>
      <c r="Q207" s="133">
        <f t="shared" si="86"/>
        <v>1.1889963083145296</v>
      </c>
      <c r="R207" s="133">
        <f t="shared" si="86"/>
        <v>0</v>
      </c>
      <c r="S207" s="133">
        <f t="shared" si="86"/>
        <v>0</v>
      </c>
      <c r="T207" s="133">
        <f t="shared" si="86"/>
        <v>0</v>
      </c>
      <c r="U207" s="133">
        <f t="shared" si="77"/>
        <v>0</v>
      </c>
      <c r="W207" s="308">
        <f t="shared" si="78"/>
        <v>0</v>
      </c>
      <c r="X207" s="308">
        <f t="shared" si="61"/>
        <v>37.241599556045529</v>
      </c>
      <c r="Y207" s="308">
        <f t="shared" si="62"/>
        <v>0</v>
      </c>
      <c r="Z207" s="308">
        <f t="shared" si="63"/>
        <v>0</v>
      </c>
      <c r="AA207" s="308">
        <f t="shared" si="64"/>
        <v>0</v>
      </c>
      <c r="AB207" s="308">
        <f t="shared" si="65"/>
        <v>0</v>
      </c>
      <c r="AC207" s="308">
        <f t="shared" si="66"/>
        <v>0</v>
      </c>
      <c r="AD207" s="308">
        <f t="shared" si="67"/>
        <v>0</v>
      </c>
      <c r="AE207" s="308">
        <f t="shared" si="68"/>
        <v>0</v>
      </c>
      <c r="AF207" s="308">
        <f t="shared" si="69"/>
        <v>0</v>
      </c>
      <c r="AG207" s="308">
        <f t="shared" si="70"/>
        <v>39.669095618729592</v>
      </c>
      <c r="AH207" s="308">
        <f t="shared" si="71"/>
        <v>39.404799530258181</v>
      </c>
      <c r="AI207" s="308">
        <f t="shared" si="72"/>
        <v>38.047881412498853</v>
      </c>
      <c r="AJ207" s="308">
        <f t="shared" si="73"/>
        <v>0</v>
      </c>
      <c r="AK207" s="308">
        <f t="shared" si="74"/>
        <v>0</v>
      </c>
      <c r="AL207" s="308">
        <f t="shared" si="75"/>
        <v>0</v>
      </c>
      <c r="AN207" s="327">
        <f t="shared" si="79"/>
        <v>38.590844029383035</v>
      </c>
      <c r="AO207" s="331">
        <f t="shared" si="80"/>
        <v>31.999999618530275</v>
      </c>
    </row>
    <row r="208" spans="2:41">
      <c r="B208" s="102">
        <f t="shared" si="76"/>
        <v>1</v>
      </c>
      <c r="C208" s="113">
        <f>PJM_01212000!A192</f>
        <v>41275</v>
      </c>
      <c r="D208" s="315">
        <f>PJM_01212000!C192</f>
        <v>40.574998474121088</v>
      </c>
      <c r="E208" s="133">
        <f t="shared" si="85"/>
        <v>0</v>
      </c>
      <c r="F208" s="133">
        <f t="shared" si="86"/>
        <v>1.1998117566192825</v>
      </c>
      <c r="G208" s="133">
        <f t="shared" si="86"/>
        <v>1.1961600115620716</v>
      </c>
      <c r="H208" s="133">
        <f t="shared" si="86"/>
        <v>0</v>
      </c>
      <c r="I208" s="133">
        <f t="shared" si="86"/>
        <v>0</v>
      </c>
      <c r="J208" s="133">
        <f t="shared" si="86"/>
        <v>0</v>
      </c>
      <c r="K208" s="133">
        <f t="shared" si="86"/>
        <v>0</v>
      </c>
      <c r="L208" s="133">
        <f t="shared" si="86"/>
        <v>0</v>
      </c>
      <c r="M208" s="133">
        <f t="shared" si="86"/>
        <v>0</v>
      </c>
      <c r="N208" s="133">
        <f t="shared" si="86"/>
        <v>0</v>
      </c>
      <c r="O208" s="133">
        <f t="shared" si="86"/>
        <v>0</v>
      </c>
      <c r="P208" s="133">
        <f t="shared" si="86"/>
        <v>1.2818992289435116</v>
      </c>
      <c r="Q208" s="133">
        <f t="shared" si="86"/>
        <v>1.2270000000000001</v>
      </c>
      <c r="R208" s="133">
        <f t="shared" si="86"/>
        <v>0</v>
      </c>
      <c r="S208" s="133">
        <f t="shared" si="86"/>
        <v>0</v>
      </c>
      <c r="T208" s="133">
        <f t="shared" si="86"/>
        <v>0</v>
      </c>
      <c r="U208" s="133">
        <f t="shared" si="77"/>
        <v>0</v>
      </c>
      <c r="W208" s="308">
        <f t="shared" si="78"/>
        <v>0</v>
      </c>
      <c r="X208" s="308">
        <f t="shared" si="61"/>
        <v>48.682360194059932</v>
      </c>
      <c r="Y208" s="308">
        <f t="shared" si="62"/>
        <v>48.534190643935723</v>
      </c>
      <c r="Z208" s="308">
        <f t="shared" si="63"/>
        <v>0</v>
      </c>
      <c r="AA208" s="308">
        <f t="shared" si="64"/>
        <v>0</v>
      </c>
      <c r="AB208" s="308">
        <f t="shared" si="65"/>
        <v>0</v>
      </c>
      <c r="AC208" s="308">
        <f t="shared" si="66"/>
        <v>0</v>
      </c>
      <c r="AD208" s="308">
        <f t="shared" si="67"/>
        <v>0</v>
      </c>
      <c r="AE208" s="308">
        <f t="shared" si="68"/>
        <v>0</v>
      </c>
      <c r="AF208" s="308">
        <f t="shared" si="69"/>
        <v>0</v>
      </c>
      <c r="AG208" s="308">
        <f t="shared" si="70"/>
        <v>0</v>
      </c>
      <c r="AH208" s="308">
        <f t="shared" si="71"/>
        <v>52.013059258359981</v>
      </c>
      <c r="AI208" s="308">
        <f t="shared" si="72"/>
        <v>49.785523127746579</v>
      </c>
      <c r="AJ208" s="308">
        <f t="shared" si="73"/>
        <v>0</v>
      </c>
      <c r="AK208" s="308">
        <f t="shared" si="74"/>
        <v>0</v>
      </c>
      <c r="AL208" s="308">
        <f t="shared" si="75"/>
        <v>0</v>
      </c>
      <c r="AN208" s="327">
        <f t="shared" si="79"/>
        <v>49.753783306025554</v>
      </c>
      <c r="AO208" s="331">
        <f t="shared" si="80"/>
        <v>40.574998474121088</v>
      </c>
    </row>
    <row r="209" spans="2:41">
      <c r="B209" s="102">
        <f t="shared" si="76"/>
        <v>2</v>
      </c>
      <c r="C209" s="113">
        <f>PJM_01212000!A193</f>
        <v>41306</v>
      </c>
      <c r="D209" s="315">
        <f>PJM_01212000!C193</f>
        <v>40.574998474121088</v>
      </c>
      <c r="E209" s="133">
        <f t="shared" si="85"/>
        <v>0</v>
      </c>
      <c r="F209" s="133">
        <f t="shared" si="86"/>
        <v>1.1998117566192825</v>
      </c>
      <c r="G209" s="133">
        <f t="shared" si="86"/>
        <v>1.1961600115620716</v>
      </c>
      <c r="H209" s="133">
        <f t="shared" si="86"/>
        <v>0</v>
      </c>
      <c r="I209" s="133">
        <f t="shared" si="86"/>
        <v>0</v>
      </c>
      <c r="J209" s="133">
        <f t="shared" si="86"/>
        <v>0</v>
      </c>
      <c r="K209" s="133">
        <f t="shared" si="86"/>
        <v>0</v>
      </c>
      <c r="L209" s="133">
        <f t="shared" si="86"/>
        <v>0</v>
      </c>
      <c r="M209" s="133">
        <f t="shared" si="86"/>
        <v>0</v>
      </c>
      <c r="N209" s="133">
        <f t="shared" si="86"/>
        <v>0</v>
      </c>
      <c r="O209" s="133">
        <f t="shared" si="86"/>
        <v>0</v>
      </c>
      <c r="P209" s="133">
        <f t="shared" si="86"/>
        <v>1.2818992289435116</v>
      </c>
      <c r="Q209" s="133">
        <f t="shared" si="86"/>
        <v>1.2270000000000001</v>
      </c>
      <c r="R209" s="133">
        <f t="shared" si="86"/>
        <v>0</v>
      </c>
      <c r="S209" s="133">
        <f t="shared" si="86"/>
        <v>0</v>
      </c>
      <c r="T209" s="133">
        <f t="shared" si="86"/>
        <v>0</v>
      </c>
      <c r="U209" s="133">
        <f t="shared" si="77"/>
        <v>0</v>
      </c>
      <c r="W209" s="308">
        <f t="shared" si="78"/>
        <v>0</v>
      </c>
      <c r="X209" s="308">
        <f t="shared" si="61"/>
        <v>48.682360194059932</v>
      </c>
      <c r="Y209" s="308">
        <f t="shared" si="62"/>
        <v>48.534190643935723</v>
      </c>
      <c r="Z209" s="308">
        <f t="shared" si="63"/>
        <v>0</v>
      </c>
      <c r="AA209" s="308">
        <f t="shared" si="64"/>
        <v>0</v>
      </c>
      <c r="AB209" s="308">
        <f t="shared" si="65"/>
        <v>0</v>
      </c>
      <c r="AC209" s="308">
        <f t="shared" si="66"/>
        <v>0</v>
      </c>
      <c r="AD209" s="308">
        <f t="shared" si="67"/>
        <v>0</v>
      </c>
      <c r="AE209" s="308">
        <f t="shared" si="68"/>
        <v>0</v>
      </c>
      <c r="AF209" s="308">
        <f t="shared" si="69"/>
        <v>0</v>
      </c>
      <c r="AG209" s="308">
        <f t="shared" si="70"/>
        <v>0</v>
      </c>
      <c r="AH209" s="308">
        <f t="shared" si="71"/>
        <v>52.013059258359981</v>
      </c>
      <c r="AI209" s="308">
        <f t="shared" si="72"/>
        <v>49.785523127746579</v>
      </c>
      <c r="AJ209" s="308">
        <f t="shared" si="73"/>
        <v>0</v>
      </c>
      <c r="AK209" s="308">
        <f t="shared" si="74"/>
        <v>0</v>
      </c>
      <c r="AL209" s="308">
        <f t="shared" si="75"/>
        <v>0</v>
      </c>
      <c r="AN209" s="327">
        <f t="shared" si="79"/>
        <v>49.753783306025554</v>
      </c>
      <c r="AO209" s="331">
        <f t="shared" si="80"/>
        <v>40.574998474121088</v>
      </c>
    </row>
    <row r="210" spans="2:41">
      <c r="B210" s="102">
        <f t="shared" si="76"/>
        <v>3</v>
      </c>
      <c r="C210" s="113">
        <f>PJM_01212000!A194</f>
        <v>41334</v>
      </c>
      <c r="D210" s="315">
        <f>PJM_01212000!C194</f>
        <v>30.300000762939455</v>
      </c>
      <c r="E210" s="133">
        <f t="shared" si="85"/>
        <v>0</v>
      </c>
      <c r="F210" s="133">
        <f t="shared" ref="F210:T219" si="87">VLOOKUP($B210,$C$6:$Z$17,F$22+1)</f>
        <v>1.1898</v>
      </c>
      <c r="G210" s="133">
        <f t="shared" si="87"/>
        <v>1.1861999999999999</v>
      </c>
      <c r="H210" s="133">
        <f t="shared" si="87"/>
        <v>0</v>
      </c>
      <c r="I210" s="133">
        <f t="shared" si="87"/>
        <v>0</v>
      </c>
      <c r="J210" s="133">
        <f t="shared" si="87"/>
        <v>0</v>
      </c>
      <c r="K210" s="133">
        <f t="shared" si="87"/>
        <v>0</v>
      </c>
      <c r="L210" s="133">
        <f t="shared" si="87"/>
        <v>0</v>
      </c>
      <c r="M210" s="133">
        <f t="shared" si="87"/>
        <v>0</v>
      </c>
      <c r="N210" s="133">
        <f t="shared" si="87"/>
        <v>0</v>
      </c>
      <c r="O210" s="133">
        <f t="shared" si="87"/>
        <v>0</v>
      </c>
      <c r="P210" s="133">
        <f t="shared" si="87"/>
        <v>1.2719</v>
      </c>
      <c r="Q210" s="133">
        <f t="shared" si="87"/>
        <v>1.2170000000000001</v>
      </c>
      <c r="R210" s="133">
        <f t="shared" si="87"/>
        <v>0</v>
      </c>
      <c r="S210" s="133">
        <f t="shared" si="87"/>
        <v>0</v>
      </c>
      <c r="T210" s="133">
        <f t="shared" si="87"/>
        <v>0</v>
      </c>
      <c r="U210" s="133">
        <f t="shared" si="77"/>
        <v>0</v>
      </c>
      <c r="W210" s="308">
        <f t="shared" si="78"/>
        <v>0</v>
      </c>
      <c r="X210" s="308">
        <f t="shared" si="61"/>
        <v>36.050940907745364</v>
      </c>
      <c r="Y210" s="308">
        <f t="shared" si="62"/>
        <v>35.941860904998777</v>
      </c>
      <c r="Z210" s="308">
        <f t="shared" si="63"/>
        <v>0</v>
      </c>
      <c r="AA210" s="308">
        <f t="shared" si="64"/>
        <v>0</v>
      </c>
      <c r="AB210" s="308">
        <f t="shared" si="65"/>
        <v>0</v>
      </c>
      <c r="AC210" s="308">
        <f t="shared" si="66"/>
        <v>0</v>
      </c>
      <c r="AD210" s="308">
        <f t="shared" si="67"/>
        <v>0</v>
      </c>
      <c r="AE210" s="308">
        <f t="shared" si="68"/>
        <v>0</v>
      </c>
      <c r="AF210" s="308">
        <f t="shared" si="69"/>
        <v>0</v>
      </c>
      <c r="AG210" s="308">
        <f t="shared" si="70"/>
        <v>0</v>
      </c>
      <c r="AH210" s="308">
        <f t="shared" si="71"/>
        <v>38.538570970382693</v>
      </c>
      <c r="AI210" s="308">
        <f t="shared" si="72"/>
        <v>36.875100928497318</v>
      </c>
      <c r="AJ210" s="308">
        <f t="shared" si="73"/>
        <v>0</v>
      </c>
      <c r="AK210" s="308">
        <f t="shared" si="74"/>
        <v>0</v>
      </c>
      <c r="AL210" s="308">
        <f t="shared" si="75"/>
        <v>0</v>
      </c>
      <c r="AN210" s="327">
        <f t="shared" si="79"/>
        <v>36.85161842790604</v>
      </c>
      <c r="AO210" s="331">
        <f t="shared" si="80"/>
        <v>30.300000762939455</v>
      </c>
    </row>
    <row r="211" spans="2:41">
      <c r="B211" s="102">
        <f t="shared" si="76"/>
        <v>4</v>
      </c>
      <c r="C211" s="113">
        <f>PJM_01212000!A195</f>
        <v>41365</v>
      </c>
      <c r="D211" s="315">
        <f>PJM_01212000!C195</f>
        <v>30.075000762939453</v>
      </c>
      <c r="E211" s="133">
        <f t="shared" si="85"/>
        <v>1.1232726508202047</v>
      </c>
      <c r="F211" s="133">
        <f t="shared" si="87"/>
        <v>1.1413154461256174</v>
      </c>
      <c r="G211" s="133">
        <f t="shared" si="87"/>
        <v>0</v>
      </c>
      <c r="H211" s="133">
        <f t="shared" si="87"/>
        <v>0</v>
      </c>
      <c r="I211" s="133">
        <f t="shared" si="87"/>
        <v>1.1185245467924647</v>
      </c>
      <c r="J211" s="133">
        <f t="shared" si="87"/>
        <v>0</v>
      </c>
      <c r="K211" s="133">
        <f t="shared" si="87"/>
        <v>0</v>
      </c>
      <c r="L211" s="133">
        <f t="shared" si="87"/>
        <v>0</v>
      </c>
      <c r="M211" s="133">
        <f t="shared" si="87"/>
        <v>0</v>
      </c>
      <c r="N211" s="133">
        <f t="shared" si="87"/>
        <v>0</v>
      </c>
      <c r="O211" s="133">
        <f t="shared" si="87"/>
        <v>0</v>
      </c>
      <c r="P211" s="133">
        <f t="shared" si="87"/>
        <v>0</v>
      </c>
      <c r="Q211" s="133">
        <f t="shared" si="87"/>
        <v>0</v>
      </c>
      <c r="R211" s="133">
        <f t="shared" si="87"/>
        <v>1.1543365178491491</v>
      </c>
      <c r="S211" s="133">
        <f t="shared" si="87"/>
        <v>0</v>
      </c>
      <c r="T211" s="133">
        <f t="shared" si="87"/>
        <v>0</v>
      </c>
      <c r="U211" s="133">
        <f t="shared" si="77"/>
        <v>0</v>
      </c>
      <c r="W211" s="308">
        <f t="shared" si="78"/>
        <v>33.78242583040668</v>
      </c>
      <c r="X211" s="308">
        <f t="shared" si="61"/>
        <v>34.325062912982524</v>
      </c>
      <c r="Y211" s="308">
        <f t="shared" si="62"/>
        <v>0</v>
      </c>
      <c r="Z211" s="308">
        <f t="shared" si="63"/>
        <v>0</v>
      </c>
      <c r="AA211" s="308">
        <f t="shared" si="64"/>
        <v>33.639626598149881</v>
      </c>
      <c r="AB211" s="308">
        <f t="shared" si="65"/>
        <v>0</v>
      </c>
      <c r="AC211" s="308">
        <f t="shared" si="66"/>
        <v>0</v>
      </c>
      <c r="AD211" s="308">
        <f t="shared" si="67"/>
        <v>0</v>
      </c>
      <c r="AE211" s="308">
        <f t="shared" si="68"/>
        <v>0</v>
      </c>
      <c r="AF211" s="308">
        <f t="shared" si="69"/>
        <v>0</v>
      </c>
      <c r="AG211" s="308">
        <f t="shared" si="70"/>
        <v>0</v>
      </c>
      <c r="AH211" s="308">
        <f t="shared" si="71"/>
        <v>0</v>
      </c>
      <c r="AI211" s="308">
        <f t="shared" si="72"/>
        <v>0</v>
      </c>
      <c r="AJ211" s="308">
        <f t="shared" si="73"/>
        <v>34.716671655002031</v>
      </c>
      <c r="AK211" s="308">
        <f t="shared" si="74"/>
        <v>0</v>
      </c>
      <c r="AL211" s="308">
        <f t="shared" si="75"/>
        <v>0</v>
      </c>
      <c r="AN211" s="327">
        <f t="shared" si="79"/>
        <v>34.115946749135276</v>
      </c>
      <c r="AO211" s="331">
        <f t="shared" si="80"/>
        <v>30.075000762939453</v>
      </c>
    </row>
    <row r="212" spans="2:41">
      <c r="B212" s="102">
        <f t="shared" si="76"/>
        <v>5</v>
      </c>
      <c r="C212" s="113">
        <f>PJM_01212000!A196</f>
        <v>41395</v>
      </c>
      <c r="D212" s="315">
        <f>PJM_01212000!C196</f>
        <v>38.075000000000003</v>
      </c>
      <c r="E212" s="133">
        <f t="shared" si="85"/>
        <v>0</v>
      </c>
      <c r="F212" s="133">
        <f t="shared" si="87"/>
        <v>0</v>
      </c>
      <c r="G212" s="133">
        <f t="shared" si="87"/>
        <v>1.0610266218026732</v>
      </c>
      <c r="H212" s="133">
        <f t="shared" si="87"/>
        <v>1.1254998619307197</v>
      </c>
      <c r="I212" s="133">
        <f t="shared" si="87"/>
        <v>1.1169907033351396</v>
      </c>
      <c r="J212" s="133">
        <f t="shared" si="87"/>
        <v>0</v>
      </c>
      <c r="K212" s="133">
        <f t="shared" si="87"/>
        <v>0</v>
      </c>
      <c r="L212" s="133">
        <f t="shared" si="87"/>
        <v>0</v>
      </c>
      <c r="M212" s="133">
        <f t="shared" si="87"/>
        <v>0</v>
      </c>
      <c r="N212" s="133">
        <f t="shared" si="87"/>
        <v>0</v>
      </c>
      <c r="O212" s="133">
        <f t="shared" si="87"/>
        <v>0</v>
      </c>
      <c r="P212" s="133">
        <f t="shared" si="87"/>
        <v>0</v>
      </c>
      <c r="Q212" s="133">
        <f t="shared" si="87"/>
        <v>0</v>
      </c>
      <c r="R212" s="133">
        <f t="shared" si="87"/>
        <v>1.0876995612465097</v>
      </c>
      <c r="S212" s="133">
        <f t="shared" si="87"/>
        <v>0</v>
      </c>
      <c r="T212" s="133">
        <f t="shared" si="87"/>
        <v>0</v>
      </c>
      <c r="U212" s="133">
        <f t="shared" si="77"/>
        <v>0</v>
      </c>
      <c r="W212" s="308">
        <f t="shared" si="78"/>
        <v>0</v>
      </c>
      <c r="X212" s="308">
        <f t="shared" si="61"/>
        <v>0</v>
      </c>
      <c r="Y212" s="308">
        <f t="shared" si="62"/>
        <v>40.398588625136782</v>
      </c>
      <c r="Z212" s="308">
        <f t="shared" si="63"/>
        <v>42.853407243012157</v>
      </c>
      <c r="AA212" s="308">
        <f t="shared" si="64"/>
        <v>42.529421029485441</v>
      </c>
      <c r="AB212" s="308">
        <f t="shared" si="65"/>
        <v>0</v>
      </c>
      <c r="AC212" s="308">
        <f t="shared" si="66"/>
        <v>0</v>
      </c>
      <c r="AD212" s="308">
        <f t="shared" si="67"/>
        <v>0</v>
      </c>
      <c r="AE212" s="308">
        <f t="shared" si="68"/>
        <v>0</v>
      </c>
      <c r="AF212" s="308">
        <f t="shared" si="69"/>
        <v>0</v>
      </c>
      <c r="AG212" s="308">
        <f t="shared" si="70"/>
        <v>0</v>
      </c>
      <c r="AH212" s="308">
        <f t="shared" si="71"/>
        <v>0</v>
      </c>
      <c r="AI212" s="308">
        <f t="shared" si="72"/>
        <v>0</v>
      </c>
      <c r="AJ212" s="308">
        <f t="shared" si="73"/>
        <v>41.414160794460862</v>
      </c>
      <c r="AK212" s="308">
        <f t="shared" si="74"/>
        <v>0</v>
      </c>
      <c r="AL212" s="308">
        <f t="shared" si="75"/>
        <v>0</v>
      </c>
      <c r="AN212" s="327">
        <f t="shared" si="79"/>
        <v>41.79889442302381</v>
      </c>
      <c r="AO212" s="331">
        <f t="shared" si="80"/>
        <v>38.075000000000003</v>
      </c>
    </row>
    <row r="213" spans="2:41">
      <c r="B213" s="102">
        <f t="shared" si="76"/>
        <v>6</v>
      </c>
      <c r="C213" s="113">
        <f>PJM_01212000!A197</f>
        <v>41426</v>
      </c>
      <c r="D213" s="315">
        <f>PJM_01212000!C197</f>
        <v>64.599998474121094</v>
      </c>
      <c r="E213" s="133">
        <f t="shared" si="85"/>
        <v>0</v>
      </c>
      <c r="F213" s="133">
        <f t="shared" si="87"/>
        <v>0</v>
      </c>
      <c r="G213" s="133">
        <f t="shared" si="87"/>
        <v>0</v>
      </c>
      <c r="H213" s="133">
        <f t="shared" si="87"/>
        <v>0</v>
      </c>
      <c r="I213" s="133">
        <f t="shared" si="87"/>
        <v>0</v>
      </c>
      <c r="J213" s="133">
        <f t="shared" si="87"/>
        <v>0</v>
      </c>
      <c r="K213" s="133">
        <f t="shared" si="87"/>
        <v>1.2209201862181771</v>
      </c>
      <c r="L213" s="133">
        <f t="shared" si="87"/>
        <v>1.2303149771421382</v>
      </c>
      <c r="M213" s="133">
        <f t="shared" si="87"/>
        <v>1.2323281466258438</v>
      </c>
      <c r="N213" s="133">
        <f t="shared" si="87"/>
        <v>1.2523256301639896</v>
      </c>
      <c r="O213" s="133">
        <f t="shared" si="87"/>
        <v>0</v>
      </c>
      <c r="P213" s="133">
        <f t="shared" si="87"/>
        <v>0</v>
      </c>
      <c r="Q213" s="133">
        <f t="shared" si="87"/>
        <v>0</v>
      </c>
      <c r="R213" s="133">
        <f t="shared" si="87"/>
        <v>0</v>
      </c>
      <c r="S213" s="133">
        <f t="shared" si="87"/>
        <v>0</v>
      </c>
      <c r="T213" s="133">
        <f t="shared" si="87"/>
        <v>0</v>
      </c>
      <c r="U213" s="133">
        <f t="shared" si="77"/>
        <v>0</v>
      </c>
      <c r="W213" s="308">
        <f t="shared" si="78"/>
        <v>0</v>
      </c>
      <c r="X213" s="308">
        <f t="shared" si="61"/>
        <v>0</v>
      </c>
      <c r="Y213" s="308">
        <f t="shared" si="62"/>
        <v>0</v>
      </c>
      <c r="Z213" s="308">
        <f t="shared" si="63"/>
        <v>0</v>
      </c>
      <c r="AA213" s="308">
        <f t="shared" si="64"/>
        <v>0</v>
      </c>
      <c r="AB213" s="308">
        <f t="shared" si="65"/>
        <v>0</v>
      </c>
      <c r="AC213" s="308">
        <f t="shared" si="66"/>
        <v>78.871442166717884</v>
      </c>
      <c r="AD213" s="308">
        <f t="shared" si="67"/>
        <v>79.478345646070451</v>
      </c>
      <c r="AE213" s="308">
        <f t="shared" si="68"/>
        <v>79.608396391645982</v>
      </c>
      <c r="AF213" s="308">
        <f t="shared" si="69"/>
        <v>80.900233797696458</v>
      </c>
      <c r="AG213" s="308">
        <f t="shared" si="70"/>
        <v>0</v>
      </c>
      <c r="AH213" s="308">
        <f t="shared" si="71"/>
        <v>0</v>
      </c>
      <c r="AI213" s="308">
        <f t="shared" si="72"/>
        <v>0</v>
      </c>
      <c r="AJ213" s="308">
        <f t="shared" si="73"/>
        <v>0</v>
      </c>
      <c r="AK213" s="308">
        <f t="shared" si="74"/>
        <v>0</v>
      </c>
      <c r="AL213" s="308">
        <f t="shared" si="75"/>
        <v>0</v>
      </c>
      <c r="AN213" s="327">
        <f t="shared" si="79"/>
        <v>79.714604500532701</v>
      </c>
      <c r="AO213" s="331">
        <f t="shared" si="80"/>
        <v>64.599998474121094</v>
      </c>
    </row>
    <row r="214" spans="2:41">
      <c r="B214" s="102">
        <f t="shared" si="76"/>
        <v>7</v>
      </c>
      <c r="C214" s="113">
        <f>PJM_01212000!A198</f>
        <v>41456</v>
      </c>
      <c r="D214" s="315">
        <f>PJM_01212000!C198</f>
        <v>113.69999694824219</v>
      </c>
      <c r="E214" s="133">
        <f t="shared" si="85"/>
        <v>0</v>
      </c>
      <c r="F214" s="133">
        <f t="shared" si="87"/>
        <v>0</v>
      </c>
      <c r="G214" s="133">
        <f t="shared" si="87"/>
        <v>0</v>
      </c>
      <c r="H214" s="133">
        <f t="shared" si="87"/>
        <v>0</v>
      </c>
      <c r="I214" s="133">
        <f t="shared" si="87"/>
        <v>0</v>
      </c>
      <c r="J214" s="133">
        <f t="shared" si="87"/>
        <v>0</v>
      </c>
      <c r="K214" s="133">
        <f t="shared" si="87"/>
        <v>0</v>
      </c>
      <c r="L214" s="133">
        <f t="shared" si="87"/>
        <v>1.2506946851612968</v>
      </c>
      <c r="M214" s="133">
        <f t="shared" si="87"/>
        <v>1.3273401940004199</v>
      </c>
      <c r="N214" s="133">
        <f t="shared" si="87"/>
        <v>1.3538888162792144</v>
      </c>
      <c r="O214" s="133">
        <f t="shared" si="87"/>
        <v>1.3203393586734773</v>
      </c>
      <c r="P214" s="133">
        <f t="shared" si="87"/>
        <v>0</v>
      </c>
      <c r="Q214" s="133">
        <f t="shared" si="87"/>
        <v>0</v>
      </c>
      <c r="R214" s="133">
        <f t="shared" si="87"/>
        <v>0</v>
      </c>
      <c r="S214" s="133">
        <f t="shared" si="87"/>
        <v>0</v>
      </c>
      <c r="T214" s="133">
        <f t="shared" si="87"/>
        <v>0</v>
      </c>
      <c r="U214" s="133">
        <f t="shared" si="77"/>
        <v>0</v>
      </c>
      <c r="W214" s="308">
        <f t="shared" si="78"/>
        <v>0</v>
      </c>
      <c r="X214" s="308">
        <f t="shared" si="61"/>
        <v>0</v>
      </c>
      <c r="Y214" s="308">
        <f t="shared" si="62"/>
        <v>0</v>
      </c>
      <c r="Z214" s="308">
        <f t="shared" si="63"/>
        <v>0</v>
      </c>
      <c r="AA214" s="308">
        <f t="shared" si="64"/>
        <v>0</v>
      </c>
      <c r="AB214" s="308">
        <f t="shared" si="65"/>
        <v>0</v>
      </c>
      <c r="AC214" s="308">
        <f t="shared" si="66"/>
        <v>0</v>
      </c>
      <c r="AD214" s="308">
        <f t="shared" si="67"/>
        <v>142.20398188602218</v>
      </c>
      <c r="AE214" s="308">
        <f t="shared" si="68"/>
        <v>150.91857600712694</v>
      </c>
      <c r="AF214" s="308">
        <f t="shared" si="69"/>
        <v>153.93715427920591</v>
      </c>
      <c r="AG214" s="308">
        <f t="shared" si="70"/>
        <v>150.12258105181843</v>
      </c>
      <c r="AH214" s="308">
        <f t="shared" si="71"/>
        <v>0</v>
      </c>
      <c r="AI214" s="308">
        <f t="shared" si="72"/>
        <v>0</v>
      </c>
      <c r="AJ214" s="308">
        <f t="shared" si="73"/>
        <v>0</v>
      </c>
      <c r="AK214" s="308">
        <f t="shared" si="74"/>
        <v>0</v>
      </c>
      <c r="AL214" s="308">
        <f t="shared" si="75"/>
        <v>0</v>
      </c>
      <c r="AN214" s="327">
        <f t="shared" si="79"/>
        <v>149.29557330604337</v>
      </c>
      <c r="AO214" s="331">
        <f t="shared" si="80"/>
        <v>113.69999694824219</v>
      </c>
    </row>
    <row r="215" spans="2:41">
      <c r="B215" s="102">
        <f t="shared" si="76"/>
        <v>8</v>
      </c>
      <c r="C215" s="113">
        <f>PJM_01212000!A199</f>
        <v>41487</v>
      </c>
      <c r="D215" s="315">
        <f>PJM_01212000!C199</f>
        <v>100.69999694824219</v>
      </c>
      <c r="E215" s="133">
        <f t="shared" si="85"/>
        <v>0</v>
      </c>
      <c r="F215" s="133">
        <f t="shared" si="87"/>
        <v>0</v>
      </c>
      <c r="G215" s="133">
        <f t="shared" si="87"/>
        <v>0</v>
      </c>
      <c r="H215" s="133">
        <f t="shared" si="87"/>
        <v>0</v>
      </c>
      <c r="I215" s="133">
        <f t="shared" si="87"/>
        <v>0</v>
      </c>
      <c r="J215" s="133">
        <f t="shared" si="87"/>
        <v>0</v>
      </c>
      <c r="K215" s="133">
        <f t="shared" si="87"/>
        <v>1.1907290919069531</v>
      </c>
      <c r="L215" s="133">
        <f t="shared" si="87"/>
        <v>1.26057331025457</v>
      </c>
      <c r="M215" s="133">
        <f t="shared" si="87"/>
        <v>1.2430109342677418</v>
      </c>
      <c r="N215" s="133">
        <f t="shared" si="87"/>
        <v>1.2150462278887151</v>
      </c>
      <c r="O215" s="133">
        <f t="shared" si="87"/>
        <v>0</v>
      </c>
      <c r="P215" s="133">
        <f t="shared" si="87"/>
        <v>0</v>
      </c>
      <c r="Q215" s="133">
        <f t="shared" si="87"/>
        <v>0</v>
      </c>
      <c r="R215" s="133">
        <f t="shared" si="87"/>
        <v>0</v>
      </c>
      <c r="S215" s="133">
        <f t="shared" si="87"/>
        <v>0</v>
      </c>
      <c r="T215" s="133">
        <f t="shared" si="87"/>
        <v>0</v>
      </c>
      <c r="U215" s="133">
        <f t="shared" si="77"/>
        <v>0</v>
      </c>
      <c r="W215" s="308">
        <f t="shared" si="78"/>
        <v>0</v>
      </c>
      <c r="X215" s="308">
        <f t="shared" ref="X215:X275" si="88">$D215*F215</f>
        <v>0</v>
      </c>
      <c r="Y215" s="308">
        <f t="shared" ref="Y215:Y275" si="89">$D215*G215</f>
        <v>0</v>
      </c>
      <c r="Z215" s="308">
        <f t="shared" ref="Z215:Z275" si="90">$D215*H215</f>
        <v>0</v>
      </c>
      <c r="AA215" s="308">
        <f t="shared" ref="AA215:AA275" si="91">$D215*I215</f>
        <v>0</v>
      </c>
      <c r="AB215" s="308">
        <f t="shared" ref="AB215:AB275" si="92">$D215*J215</f>
        <v>0</v>
      </c>
      <c r="AC215" s="308">
        <f t="shared" ref="AC215:AC275" si="93">$D215*K215</f>
        <v>119.90641592121337</v>
      </c>
      <c r="AD215" s="308">
        <f t="shared" ref="AD215:AD275" si="94">$D215*L215</f>
        <v>126.93972849567075</v>
      </c>
      <c r="AE215" s="308">
        <f t="shared" ref="AE215:AE275" si="95">$D215*M215</f>
        <v>125.17119728739327</v>
      </c>
      <c r="AF215" s="308">
        <f t="shared" ref="AF215:AF275" si="96">$D215*N215</f>
        <v>122.3551514403668</v>
      </c>
      <c r="AG215" s="308">
        <f t="shared" ref="AG215:AG275" si="97">$D215*O215</f>
        <v>0</v>
      </c>
      <c r="AH215" s="308">
        <f t="shared" ref="AH215:AH275" si="98">$D215*P215</f>
        <v>0</v>
      </c>
      <c r="AI215" s="308">
        <f t="shared" ref="AI215:AI275" si="99">$D215*Q215</f>
        <v>0</v>
      </c>
      <c r="AJ215" s="308">
        <f t="shared" ref="AJ215:AJ275" si="100">$D215*R215</f>
        <v>0</v>
      </c>
      <c r="AK215" s="308">
        <f t="shared" ref="AK215:AK275" si="101">$D215*S215</f>
        <v>0</v>
      </c>
      <c r="AL215" s="308">
        <f t="shared" ref="AL215:AL275" si="102">$D215*T215</f>
        <v>0</v>
      </c>
      <c r="AN215" s="327">
        <f t="shared" si="79"/>
        <v>123.59312328616105</v>
      </c>
      <c r="AO215" s="331">
        <f t="shared" si="80"/>
        <v>100.69999694824219</v>
      </c>
    </row>
    <row r="216" spans="2:41">
      <c r="B216" s="102">
        <f t="shared" ref="B216:B275" si="103">MONTH(C216)</f>
        <v>9</v>
      </c>
      <c r="C216" s="113">
        <f>PJM_01212000!A200</f>
        <v>41518</v>
      </c>
      <c r="D216" s="315">
        <f>PJM_01212000!C200</f>
        <v>37.924998474121097</v>
      </c>
      <c r="E216" s="133">
        <f t="shared" si="85"/>
        <v>0</v>
      </c>
      <c r="F216" s="133">
        <f t="shared" si="87"/>
        <v>0</v>
      </c>
      <c r="G216" s="133">
        <f t="shared" si="87"/>
        <v>0</v>
      </c>
      <c r="H216" s="133">
        <f t="shared" si="87"/>
        <v>0</v>
      </c>
      <c r="I216" s="133">
        <f t="shared" si="87"/>
        <v>0</v>
      </c>
      <c r="J216" s="133">
        <f t="shared" si="87"/>
        <v>0</v>
      </c>
      <c r="K216" s="133">
        <f t="shared" si="87"/>
        <v>0</v>
      </c>
      <c r="L216" s="133">
        <f t="shared" si="87"/>
        <v>0</v>
      </c>
      <c r="M216" s="133">
        <f t="shared" si="87"/>
        <v>0</v>
      </c>
      <c r="N216" s="133">
        <f t="shared" si="87"/>
        <v>1.1345284089868721</v>
      </c>
      <c r="O216" s="133">
        <f t="shared" si="87"/>
        <v>1.1066962078625975</v>
      </c>
      <c r="P216" s="133">
        <f t="shared" si="87"/>
        <v>0</v>
      </c>
      <c r="Q216" s="133">
        <f t="shared" si="87"/>
        <v>1.184626371010566</v>
      </c>
      <c r="R216" s="133">
        <f t="shared" si="87"/>
        <v>1.1944408840385996</v>
      </c>
      <c r="S216" s="133">
        <f t="shared" si="87"/>
        <v>0</v>
      </c>
      <c r="T216" s="133">
        <f t="shared" si="87"/>
        <v>0</v>
      </c>
      <c r="U216" s="133">
        <f t="shared" ref="U216:U275" si="104">VLOOKUP($B216,$C$6:$AB$17,T$22+3)-SUM(E216:T216)</f>
        <v>0</v>
      </c>
      <c r="W216" s="308">
        <f t="shared" ref="W216:W275" si="105">$D216*E216</f>
        <v>0</v>
      </c>
      <c r="X216" s="308">
        <f t="shared" si="88"/>
        <v>0</v>
      </c>
      <c r="Y216" s="308">
        <f t="shared" si="89"/>
        <v>0</v>
      </c>
      <c r="Z216" s="308">
        <f t="shared" si="90"/>
        <v>0</v>
      </c>
      <c r="AA216" s="308">
        <f t="shared" si="91"/>
        <v>0</v>
      </c>
      <c r="AB216" s="308">
        <f t="shared" si="92"/>
        <v>0</v>
      </c>
      <c r="AC216" s="308">
        <f t="shared" si="93"/>
        <v>0</v>
      </c>
      <c r="AD216" s="308">
        <f t="shared" si="94"/>
        <v>0</v>
      </c>
      <c r="AE216" s="308">
        <f t="shared" si="95"/>
        <v>0</v>
      </c>
      <c r="AF216" s="308">
        <f t="shared" si="96"/>
        <v>43.026988179674163</v>
      </c>
      <c r="AG216" s="308">
        <f t="shared" si="97"/>
        <v>41.971451994504612</v>
      </c>
      <c r="AH216" s="308">
        <f t="shared" si="98"/>
        <v>0</v>
      </c>
      <c r="AI216" s="308">
        <f t="shared" si="99"/>
        <v>44.926953312979329</v>
      </c>
      <c r="AJ216" s="308">
        <f t="shared" si="100"/>
        <v>45.299168704591743</v>
      </c>
      <c r="AK216" s="308">
        <f t="shared" si="101"/>
        <v>0</v>
      </c>
      <c r="AL216" s="308">
        <f t="shared" si="102"/>
        <v>0</v>
      </c>
      <c r="AN216" s="327">
        <f t="shared" ref="AN216:AN275" si="106">SUM(W216:AL216)/4</f>
        <v>43.80614054793746</v>
      </c>
      <c r="AO216" s="331">
        <f t="shared" ref="AO216:AO275" si="107">D216</f>
        <v>37.924998474121097</v>
      </c>
    </row>
    <row r="217" spans="2:41">
      <c r="B217" s="102">
        <f t="shared" si="103"/>
        <v>10</v>
      </c>
      <c r="C217" s="113">
        <f>PJM_01212000!A201</f>
        <v>41548</v>
      </c>
      <c r="D217" s="315">
        <f>PJM_01212000!C201</f>
        <v>30.825000381469728</v>
      </c>
      <c r="E217" s="133">
        <f t="shared" si="85"/>
        <v>0</v>
      </c>
      <c r="F217" s="133">
        <f t="shared" si="87"/>
        <v>1.1326000000000001</v>
      </c>
      <c r="G217" s="133">
        <f t="shared" si="87"/>
        <v>0</v>
      </c>
      <c r="H217" s="133">
        <f t="shared" si="87"/>
        <v>0</v>
      </c>
      <c r="I217" s="133">
        <f t="shared" si="87"/>
        <v>0</v>
      </c>
      <c r="J217" s="133">
        <f t="shared" si="87"/>
        <v>0</v>
      </c>
      <c r="K217" s="133">
        <f t="shared" si="87"/>
        <v>0</v>
      </c>
      <c r="L217" s="133">
        <f t="shared" si="87"/>
        <v>0</v>
      </c>
      <c r="M217" s="133">
        <f t="shared" si="87"/>
        <v>0</v>
      </c>
      <c r="N217" s="133">
        <f t="shared" si="87"/>
        <v>0</v>
      </c>
      <c r="O217" s="133">
        <f t="shared" si="87"/>
        <v>1.2000999999999999</v>
      </c>
      <c r="P217" s="133">
        <f t="shared" si="87"/>
        <v>1.2095</v>
      </c>
      <c r="Q217" s="133">
        <f t="shared" si="87"/>
        <v>1.1567000000000001</v>
      </c>
      <c r="R217" s="133">
        <f t="shared" si="87"/>
        <v>0</v>
      </c>
      <c r="S217" s="133">
        <f t="shared" si="87"/>
        <v>0</v>
      </c>
      <c r="T217" s="133">
        <f t="shared" si="87"/>
        <v>0</v>
      </c>
      <c r="U217" s="133">
        <f t="shared" si="104"/>
        <v>0</v>
      </c>
      <c r="W217" s="308">
        <f t="shared" si="105"/>
        <v>0</v>
      </c>
      <c r="X217" s="308">
        <f t="shared" si="88"/>
        <v>34.912395432052612</v>
      </c>
      <c r="Y217" s="308">
        <f t="shared" si="89"/>
        <v>0</v>
      </c>
      <c r="Z217" s="308">
        <f t="shared" si="90"/>
        <v>0</v>
      </c>
      <c r="AA217" s="308">
        <f t="shared" si="91"/>
        <v>0</v>
      </c>
      <c r="AB217" s="308">
        <f t="shared" si="92"/>
        <v>0</v>
      </c>
      <c r="AC217" s="308">
        <f t="shared" si="93"/>
        <v>0</v>
      </c>
      <c r="AD217" s="308">
        <f t="shared" si="94"/>
        <v>0</v>
      </c>
      <c r="AE217" s="308">
        <f t="shared" si="95"/>
        <v>0</v>
      </c>
      <c r="AF217" s="308">
        <f t="shared" si="96"/>
        <v>0</v>
      </c>
      <c r="AG217" s="308">
        <f t="shared" si="97"/>
        <v>36.993082957801818</v>
      </c>
      <c r="AH217" s="308">
        <f t="shared" si="98"/>
        <v>37.282837961387635</v>
      </c>
      <c r="AI217" s="308">
        <f t="shared" si="99"/>
        <v>35.655277941246034</v>
      </c>
      <c r="AJ217" s="308">
        <f t="shared" si="100"/>
        <v>0</v>
      </c>
      <c r="AK217" s="308">
        <f t="shared" si="101"/>
        <v>0</v>
      </c>
      <c r="AL217" s="308">
        <f t="shared" si="102"/>
        <v>0</v>
      </c>
      <c r="AN217" s="327">
        <f t="shared" si="106"/>
        <v>36.210898573122023</v>
      </c>
      <c r="AO217" s="331">
        <f t="shared" si="107"/>
        <v>30.825000381469728</v>
      </c>
    </row>
    <row r="218" spans="2:41">
      <c r="B218" s="102">
        <f t="shared" si="103"/>
        <v>11</v>
      </c>
      <c r="C218" s="113">
        <f>PJM_01212000!A202</f>
        <v>41579</v>
      </c>
      <c r="D218" s="315">
        <f>PJM_01212000!C202</f>
        <v>30.497499084472658</v>
      </c>
      <c r="E218" s="133">
        <f t="shared" si="85"/>
        <v>0</v>
      </c>
      <c r="F218" s="133">
        <f t="shared" si="87"/>
        <v>1.1426000000000001</v>
      </c>
      <c r="G218" s="133">
        <f t="shared" si="87"/>
        <v>0</v>
      </c>
      <c r="H218" s="133">
        <f t="shared" si="87"/>
        <v>0</v>
      </c>
      <c r="I218" s="133">
        <f t="shared" si="87"/>
        <v>0</v>
      </c>
      <c r="J218" s="133">
        <f t="shared" si="87"/>
        <v>0</v>
      </c>
      <c r="K218" s="133">
        <f t="shared" si="87"/>
        <v>0</v>
      </c>
      <c r="L218" s="133">
        <f t="shared" si="87"/>
        <v>0</v>
      </c>
      <c r="M218" s="133">
        <f t="shared" si="87"/>
        <v>0</v>
      </c>
      <c r="N218" s="133">
        <f t="shared" si="87"/>
        <v>0</v>
      </c>
      <c r="O218" s="133">
        <f t="shared" si="87"/>
        <v>1.2171000000000001</v>
      </c>
      <c r="P218" s="133">
        <f t="shared" si="87"/>
        <v>1.2269000000000001</v>
      </c>
      <c r="Q218" s="133">
        <f t="shared" si="87"/>
        <v>1.1767000000000001</v>
      </c>
      <c r="R218" s="133">
        <f t="shared" si="87"/>
        <v>0</v>
      </c>
      <c r="S218" s="133">
        <f t="shared" si="87"/>
        <v>0</v>
      </c>
      <c r="T218" s="133">
        <f t="shared" si="87"/>
        <v>0</v>
      </c>
      <c r="U218" s="133">
        <f t="shared" si="104"/>
        <v>0</v>
      </c>
      <c r="W218" s="308">
        <f t="shared" si="105"/>
        <v>0</v>
      </c>
      <c r="X218" s="308">
        <f t="shared" si="88"/>
        <v>34.846442453918463</v>
      </c>
      <c r="Y218" s="308">
        <f t="shared" si="89"/>
        <v>0</v>
      </c>
      <c r="Z218" s="308">
        <f t="shared" si="90"/>
        <v>0</v>
      </c>
      <c r="AA218" s="308">
        <f t="shared" si="91"/>
        <v>0</v>
      </c>
      <c r="AB218" s="308">
        <f t="shared" si="92"/>
        <v>0</v>
      </c>
      <c r="AC218" s="308">
        <f t="shared" si="93"/>
        <v>0</v>
      </c>
      <c r="AD218" s="308">
        <f t="shared" si="94"/>
        <v>0</v>
      </c>
      <c r="AE218" s="308">
        <f t="shared" si="95"/>
        <v>0</v>
      </c>
      <c r="AF218" s="308">
        <f t="shared" si="96"/>
        <v>0</v>
      </c>
      <c r="AG218" s="308">
        <f t="shared" si="97"/>
        <v>37.118506135711677</v>
      </c>
      <c r="AH218" s="308">
        <f t="shared" si="98"/>
        <v>37.417381626739505</v>
      </c>
      <c r="AI218" s="308">
        <f t="shared" si="99"/>
        <v>35.886407172698981</v>
      </c>
      <c r="AJ218" s="308">
        <f t="shared" si="100"/>
        <v>0</v>
      </c>
      <c r="AK218" s="308">
        <f t="shared" si="101"/>
        <v>0</v>
      </c>
      <c r="AL218" s="308">
        <f t="shared" si="102"/>
        <v>0</v>
      </c>
      <c r="AN218" s="327">
        <f t="shared" si="106"/>
        <v>36.317184347267158</v>
      </c>
      <c r="AO218" s="331">
        <f t="shared" si="107"/>
        <v>30.497499084472658</v>
      </c>
    </row>
    <row r="219" spans="2:41">
      <c r="B219" s="102">
        <f t="shared" si="103"/>
        <v>12</v>
      </c>
      <c r="C219" s="113">
        <f>PJM_01212000!A203</f>
        <v>41609</v>
      </c>
      <c r="D219" s="315">
        <f>PJM_01212000!C203</f>
        <v>32.249999618530275</v>
      </c>
      <c r="E219" s="133">
        <f t="shared" si="85"/>
        <v>0</v>
      </c>
      <c r="F219" s="133">
        <f t="shared" si="87"/>
        <v>1.1637999999999999</v>
      </c>
      <c r="G219" s="133">
        <f t="shared" si="87"/>
        <v>0</v>
      </c>
      <c r="H219" s="133">
        <f t="shared" si="87"/>
        <v>0</v>
      </c>
      <c r="I219" s="133">
        <f t="shared" si="87"/>
        <v>0</v>
      </c>
      <c r="J219" s="133">
        <f t="shared" si="87"/>
        <v>0</v>
      </c>
      <c r="K219" s="133">
        <f t="shared" si="87"/>
        <v>0</v>
      </c>
      <c r="L219" s="133">
        <f t="shared" si="87"/>
        <v>0</v>
      </c>
      <c r="M219" s="133">
        <f t="shared" si="87"/>
        <v>0</v>
      </c>
      <c r="N219" s="133">
        <f t="shared" si="87"/>
        <v>0</v>
      </c>
      <c r="O219" s="133">
        <f t="shared" si="87"/>
        <v>1.2396592528631896</v>
      </c>
      <c r="P219" s="133">
        <f t="shared" si="87"/>
        <v>1.2314000000000001</v>
      </c>
      <c r="Q219" s="133">
        <f t="shared" si="87"/>
        <v>1.1889963083145296</v>
      </c>
      <c r="R219" s="133">
        <f t="shared" si="87"/>
        <v>0</v>
      </c>
      <c r="S219" s="133">
        <f t="shared" si="87"/>
        <v>0</v>
      </c>
      <c r="T219" s="133">
        <f t="shared" si="87"/>
        <v>0</v>
      </c>
      <c r="U219" s="133">
        <f t="shared" si="104"/>
        <v>0</v>
      </c>
      <c r="W219" s="308">
        <f t="shared" si="105"/>
        <v>0</v>
      </c>
      <c r="X219" s="308">
        <f t="shared" si="88"/>
        <v>37.532549556045531</v>
      </c>
      <c r="Y219" s="308">
        <f t="shared" si="89"/>
        <v>0</v>
      </c>
      <c r="Z219" s="308">
        <f t="shared" si="90"/>
        <v>0</v>
      </c>
      <c r="AA219" s="308">
        <f t="shared" si="91"/>
        <v>0</v>
      </c>
      <c r="AB219" s="308">
        <f t="shared" si="92"/>
        <v>0</v>
      </c>
      <c r="AC219" s="308">
        <f t="shared" si="93"/>
        <v>0</v>
      </c>
      <c r="AD219" s="308">
        <f t="shared" si="94"/>
        <v>0</v>
      </c>
      <c r="AE219" s="308">
        <f t="shared" si="95"/>
        <v>0</v>
      </c>
      <c r="AF219" s="308">
        <f t="shared" si="96"/>
        <v>0</v>
      </c>
      <c r="AG219" s="308">
        <f t="shared" si="97"/>
        <v>39.97901043194539</v>
      </c>
      <c r="AH219" s="308">
        <f t="shared" si="98"/>
        <v>39.712649530258183</v>
      </c>
      <c r="AI219" s="308">
        <f t="shared" si="99"/>
        <v>38.345130489577485</v>
      </c>
      <c r="AJ219" s="308">
        <f t="shared" si="100"/>
        <v>0</v>
      </c>
      <c r="AK219" s="308">
        <f t="shared" si="101"/>
        <v>0</v>
      </c>
      <c r="AL219" s="308">
        <f t="shared" si="102"/>
        <v>0</v>
      </c>
      <c r="AN219" s="327">
        <f t="shared" si="106"/>
        <v>38.892335001956646</v>
      </c>
      <c r="AO219" s="331">
        <f t="shared" si="107"/>
        <v>32.249999618530275</v>
      </c>
    </row>
    <row r="220" spans="2:41">
      <c r="B220" s="102">
        <f t="shared" si="103"/>
        <v>1</v>
      </c>
      <c r="C220" s="113">
        <f>PJM_01212000!A204</f>
        <v>41640</v>
      </c>
      <c r="D220" s="315">
        <f>PJM_01212000!C204</f>
        <v>40.824998474121088</v>
      </c>
      <c r="E220" s="133">
        <f t="shared" si="85"/>
        <v>0</v>
      </c>
      <c r="F220" s="133">
        <f t="shared" ref="F220:T229" si="108">VLOOKUP($B220,$C$6:$Z$17,F$22+1)</f>
        <v>1.1998117566192825</v>
      </c>
      <c r="G220" s="133">
        <f t="shared" si="108"/>
        <v>1.1961600115620716</v>
      </c>
      <c r="H220" s="133">
        <f t="shared" si="108"/>
        <v>0</v>
      </c>
      <c r="I220" s="133">
        <f t="shared" si="108"/>
        <v>0</v>
      </c>
      <c r="J220" s="133">
        <f t="shared" si="108"/>
        <v>0</v>
      </c>
      <c r="K220" s="133">
        <f t="shared" si="108"/>
        <v>0</v>
      </c>
      <c r="L220" s="133">
        <f t="shared" si="108"/>
        <v>0</v>
      </c>
      <c r="M220" s="133">
        <f t="shared" si="108"/>
        <v>0</v>
      </c>
      <c r="N220" s="133">
        <f t="shared" si="108"/>
        <v>0</v>
      </c>
      <c r="O220" s="133">
        <f t="shared" si="108"/>
        <v>0</v>
      </c>
      <c r="P220" s="133">
        <f t="shared" si="108"/>
        <v>1.2818992289435116</v>
      </c>
      <c r="Q220" s="133">
        <f t="shared" si="108"/>
        <v>1.2270000000000001</v>
      </c>
      <c r="R220" s="133">
        <f t="shared" si="108"/>
        <v>0</v>
      </c>
      <c r="S220" s="133">
        <f t="shared" si="108"/>
        <v>0</v>
      </c>
      <c r="T220" s="133">
        <f t="shared" si="108"/>
        <v>0</v>
      </c>
      <c r="U220" s="133">
        <f t="shared" si="104"/>
        <v>0</v>
      </c>
      <c r="W220" s="308">
        <f t="shared" si="105"/>
        <v>0</v>
      </c>
      <c r="X220" s="308">
        <f t="shared" si="88"/>
        <v>48.982313133214753</v>
      </c>
      <c r="Y220" s="308">
        <f t="shared" si="89"/>
        <v>48.833230646826237</v>
      </c>
      <c r="Z220" s="308">
        <f t="shared" si="90"/>
        <v>0</v>
      </c>
      <c r="AA220" s="308">
        <f t="shared" si="91"/>
        <v>0</v>
      </c>
      <c r="AB220" s="308">
        <f t="shared" si="92"/>
        <v>0</v>
      </c>
      <c r="AC220" s="308">
        <f t="shared" si="93"/>
        <v>0</v>
      </c>
      <c r="AD220" s="308">
        <f t="shared" si="94"/>
        <v>0</v>
      </c>
      <c r="AE220" s="308">
        <f t="shared" si="95"/>
        <v>0</v>
      </c>
      <c r="AF220" s="308">
        <f t="shared" si="96"/>
        <v>0</v>
      </c>
      <c r="AG220" s="308">
        <f t="shared" si="97"/>
        <v>0</v>
      </c>
      <c r="AH220" s="308">
        <f t="shared" si="98"/>
        <v>52.333534065595863</v>
      </c>
      <c r="AI220" s="308">
        <f t="shared" si="99"/>
        <v>50.09227312774658</v>
      </c>
      <c r="AJ220" s="308">
        <f t="shared" si="100"/>
        <v>0</v>
      </c>
      <c r="AK220" s="308">
        <f t="shared" si="101"/>
        <v>0</v>
      </c>
      <c r="AL220" s="308">
        <f t="shared" si="102"/>
        <v>0</v>
      </c>
      <c r="AN220" s="327">
        <f t="shared" si="106"/>
        <v>50.060337743345862</v>
      </c>
      <c r="AO220" s="331">
        <f t="shared" si="107"/>
        <v>40.824998474121088</v>
      </c>
    </row>
    <row r="221" spans="2:41">
      <c r="B221" s="102">
        <f t="shared" si="103"/>
        <v>2</v>
      </c>
      <c r="C221" s="113">
        <f>PJM_01212000!A205</f>
        <v>41671</v>
      </c>
      <c r="D221" s="315">
        <f>PJM_01212000!C205</f>
        <v>40.824998474121088</v>
      </c>
      <c r="E221" s="133">
        <f t="shared" si="85"/>
        <v>0</v>
      </c>
      <c r="F221" s="133">
        <f t="shared" si="108"/>
        <v>1.1998117566192825</v>
      </c>
      <c r="G221" s="133">
        <f t="shared" si="108"/>
        <v>1.1961600115620716</v>
      </c>
      <c r="H221" s="133">
        <f t="shared" si="108"/>
        <v>0</v>
      </c>
      <c r="I221" s="133">
        <f t="shared" si="108"/>
        <v>0</v>
      </c>
      <c r="J221" s="133">
        <f t="shared" si="108"/>
        <v>0</v>
      </c>
      <c r="K221" s="133">
        <f t="shared" si="108"/>
        <v>0</v>
      </c>
      <c r="L221" s="133">
        <f t="shared" si="108"/>
        <v>0</v>
      </c>
      <c r="M221" s="133">
        <f t="shared" si="108"/>
        <v>0</v>
      </c>
      <c r="N221" s="133">
        <f t="shared" si="108"/>
        <v>0</v>
      </c>
      <c r="O221" s="133">
        <f t="shared" si="108"/>
        <v>0</v>
      </c>
      <c r="P221" s="133">
        <f t="shared" si="108"/>
        <v>1.2818992289435116</v>
      </c>
      <c r="Q221" s="133">
        <f t="shared" si="108"/>
        <v>1.2270000000000001</v>
      </c>
      <c r="R221" s="133">
        <f t="shared" si="108"/>
        <v>0</v>
      </c>
      <c r="S221" s="133">
        <f t="shared" si="108"/>
        <v>0</v>
      </c>
      <c r="T221" s="133">
        <f t="shared" si="108"/>
        <v>0</v>
      </c>
      <c r="U221" s="133">
        <f t="shared" si="104"/>
        <v>0</v>
      </c>
      <c r="W221" s="308">
        <f t="shared" si="105"/>
        <v>0</v>
      </c>
      <c r="X221" s="308">
        <f t="shared" si="88"/>
        <v>48.982313133214753</v>
      </c>
      <c r="Y221" s="308">
        <f t="shared" si="89"/>
        <v>48.833230646826237</v>
      </c>
      <c r="Z221" s="308">
        <f t="shared" si="90"/>
        <v>0</v>
      </c>
      <c r="AA221" s="308">
        <f t="shared" si="91"/>
        <v>0</v>
      </c>
      <c r="AB221" s="308">
        <f t="shared" si="92"/>
        <v>0</v>
      </c>
      <c r="AC221" s="308">
        <f t="shared" si="93"/>
        <v>0</v>
      </c>
      <c r="AD221" s="308">
        <f t="shared" si="94"/>
        <v>0</v>
      </c>
      <c r="AE221" s="308">
        <f t="shared" si="95"/>
        <v>0</v>
      </c>
      <c r="AF221" s="308">
        <f t="shared" si="96"/>
        <v>0</v>
      </c>
      <c r="AG221" s="308">
        <f t="shared" si="97"/>
        <v>0</v>
      </c>
      <c r="AH221" s="308">
        <f t="shared" si="98"/>
        <v>52.333534065595863</v>
      </c>
      <c r="AI221" s="308">
        <f t="shared" si="99"/>
        <v>50.09227312774658</v>
      </c>
      <c r="AJ221" s="308">
        <f t="shared" si="100"/>
        <v>0</v>
      </c>
      <c r="AK221" s="308">
        <f t="shared" si="101"/>
        <v>0</v>
      </c>
      <c r="AL221" s="308">
        <f t="shared" si="102"/>
        <v>0</v>
      </c>
      <c r="AN221" s="327">
        <f t="shared" si="106"/>
        <v>50.060337743345862</v>
      </c>
      <c r="AO221" s="331">
        <f t="shared" si="107"/>
        <v>40.824998474121088</v>
      </c>
    </row>
    <row r="222" spans="2:41">
      <c r="B222" s="102">
        <f t="shared" si="103"/>
        <v>3</v>
      </c>
      <c r="C222" s="113">
        <f>PJM_01212000!A206</f>
        <v>41699</v>
      </c>
      <c r="D222" s="315">
        <f>PJM_01212000!C206</f>
        <v>30.550000762939455</v>
      </c>
      <c r="E222" s="133">
        <f t="shared" si="85"/>
        <v>0</v>
      </c>
      <c r="F222" s="133">
        <f t="shared" si="108"/>
        <v>1.1898</v>
      </c>
      <c r="G222" s="133">
        <f t="shared" si="108"/>
        <v>1.1861999999999999</v>
      </c>
      <c r="H222" s="133">
        <f t="shared" si="108"/>
        <v>0</v>
      </c>
      <c r="I222" s="133">
        <f t="shared" si="108"/>
        <v>0</v>
      </c>
      <c r="J222" s="133">
        <f t="shared" si="108"/>
        <v>0</v>
      </c>
      <c r="K222" s="133">
        <f t="shared" si="108"/>
        <v>0</v>
      </c>
      <c r="L222" s="133">
        <f t="shared" si="108"/>
        <v>0</v>
      </c>
      <c r="M222" s="133">
        <f t="shared" si="108"/>
        <v>0</v>
      </c>
      <c r="N222" s="133">
        <f t="shared" si="108"/>
        <v>0</v>
      </c>
      <c r="O222" s="133">
        <f t="shared" si="108"/>
        <v>0</v>
      </c>
      <c r="P222" s="133">
        <f t="shared" si="108"/>
        <v>1.2719</v>
      </c>
      <c r="Q222" s="133">
        <f t="shared" si="108"/>
        <v>1.2170000000000001</v>
      </c>
      <c r="R222" s="133">
        <f t="shared" si="108"/>
        <v>0</v>
      </c>
      <c r="S222" s="133">
        <f t="shared" si="108"/>
        <v>0</v>
      </c>
      <c r="T222" s="133">
        <f t="shared" si="108"/>
        <v>0</v>
      </c>
      <c r="U222" s="133">
        <f t="shared" si="104"/>
        <v>0</v>
      </c>
      <c r="W222" s="308">
        <f t="shared" si="105"/>
        <v>0</v>
      </c>
      <c r="X222" s="308">
        <f t="shared" si="88"/>
        <v>36.348390907745362</v>
      </c>
      <c r="Y222" s="308">
        <f t="shared" si="89"/>
        <v>36.23841090499878</v>
      </c>
      <c r="Z222" s="308">
        <f t="shared" si="90"/>
        <v>0</v>
      </c>
      <c r="AA222" s="308">
        <f t="shared" si="91"/>
        <v>0</v>
      </c>
      <c r="AB222" s="308">
        <f t="shared" si="92"/>
        <v>0</v>
      </c>
      <c r="AC222" s="308">
        <f t="shared" si="93"/>
        <v>0</v>
      </c>
      <c r="AD222" s="308">
        <f t="shared" si="94"/>
        <v>0</v>
      </c>
      <c r="AE222" s="308">
        <f t="shared" si="95"/>
        <v>0</v>
      </c>
      <c r="AF222" s="308">
        <f t="shared" si="96"/>
        <v>0</v>
      </c>
      <c r="AG222" s="308">
        <f t="shared" si="97"/>
        <v>0</v>
      </c>
      <c r="AH222" s="308">
        <f t="shared" si="98"/>
        <v>38.85654597038269</v>
      </c>
      <c r="AI222" s="308">
        <f t="shared" si="99"/>
        <v>37.179350928497321</v>
      </c>
      <c r="AJ222" s="308">
        <f t="shared" si="100"/>
        <v>0</v>
      </c>
      <c r="AK222" s="308">
        <f t="shared" si="101"/>
        <v>0</v>
      </c>
      <c r="AL222" s="308">
        <f t="shared" si="102"/>
        <v>0</v>
      </c>
      <c r="AN222" s="327">
        <f t="shared" si="106"/>
        <v>37.155674677906035</v>
      </c>
      <c r="AO222" s="331">
        <f t="shared" si="107"/>
        <v>30.550000762939455</v>
      </c>
    </row>
    <row r="223" spans="2:41">
      <c r="B223" s="102">
        <f t="shared" si="103"/>
        <v>4</v>
      </c>
      <c r="C223" s="113">
        <f>PJM_01212000!A207</f>
        <v>41730</v>
      </c>
      <c r="D223" s="315">
        <f>PJM_01212000!C207</f>
        <v>30.325000762939453</v>
      </c>
      <c r="E223" s="133">
        <f t="shared" si="85"/>
        <v>1.1232726508202047</v>
      </c>
      <c r="F223" s="133">
        <f t="shared" si="108"/>
        <v>1.1413154461256174</v>
      </c>
      <c r="G223" s="133">
        <f t="shared" si="108"/>
        <v>0</v>
      </c>
      <c r="H223" s="133">
        <f t="shared" si="108"/>
        <v>0</v>
      </c>
      <c r="I223" s="133">
        <f t="shared" si="108"/>
        <v>1.1185245467924647</v>
      </c>
      <c r="J223" s="133">
        <f t="shared" si="108"/>
        <v>0</v>
      </c>
      <c r="K223" s="133">
        <f t="shared" si="108"/>
        <v>0</v>
      </c>
      <c r="L223" s="133">
        <f t="shared" si="108"/>
        <v>0</v>
      </c>
      <c r="M223" s="133">
        <f t="shared" si="108"/>
        <v>0</v>
      </c>
      <c r="N223" s="133">
        <f t="shared" si="108"/>
        <v>0</v>
      </c>
      <c r="O223" s="133">
        <f t="shared" si="108"/>
        <v>0</v>
      </c>
      <c r="P223" s="133">
        <f t="shared" si="108"/>
        <v>0</v>
      </c>
      <c r="Q223" s="133">
        <f t="shared" si="108"/>
        <v>0</v>
      </c>
      <c r="R223" s="133">
        <f t="shared" si="108"/>
        <v>1.1543365178491491</v>
      </c>
      <c r="S223" s="133">
        <f t="shared" si="108"/>
        <v>0</v>
      </c>
      <c r="T223" s="133">
        <f t="shared" si="108"/>
        <v>0</v>
      </c>
      <c r="U223" s="133">
        <f t="shared" si="104"/>
        <v>0</v>
      </c>
      <c r="W223" s="308">
        <f t="shared" si="105"/>
        <v>34.063243993111726</v>
      </c>
      <c r="X223" s="308">
        <f t="shared" si="88"/>
        <v>34.610391774513928</v>
      </c>
      <c r="Y223" s="308">
        <f t="shared" si="89"/>
        <v>0</v>
      </c>
      <c r="Z223" s="308">
        <f t="shared" si="90"/>
        <v>0</v>
      </c>
      <c r="AA223" s="308">
        <f t="shared" si="91"/>
        <v>33.919257734847996</v>
      </c>
      <c r="AB223" s="308">
        <f t="shared" si="92"/>
        <v>0</v>
      </c>
      <c r="AC223" s="308">
        <f t="shared" si="93"/>
        <v>0</v>
      </c>
      <c r="AD223" s="308">
        <f t="shared" si="94"/>
        <v>0</v>
      </c>
      <c r="AE223" s="308">
        <f t="shared" si="95"/>
        <v>0</v>
      </c>
      <c r="AF223" s="308">
        <f t="shared" si="96"/>
        <v>0</v>
      </c>
      <c r="AG223" s="308">
        <f t="shared" si="97"/>
        <v>0</v>
      </c>
      <c r="AH223" s="308">
        <f t="shared" si="98"/>
        <v>0</v>
      </c>
      <c r="AI223" s="308">
        <f t="shared" si="99"/>
        <v>0</v>
      </c>
      <c r="AJ223" s="308">
        <f t="shared" si="100"/>
        <v>35.005255784464318</v>
      </c>
      <c r="AK223" s="308">
        <f t="shared" si="101"/>
        <v>0</v>
      </c>
      <c r="AL223" s="308">
        <f t="shared" si="102"/>
        <v>0</v>
      </c>
      <c r="AN223" s="327">
        <f t="shared" si="106"/>
        <v>34.399537321734492</v>
      </c>
      <c r="AO223" s="331">
        <f t="shared" si="107"/>
        <v>30.325000762939453</v>
      </c>
    </row>
    <row r="224" spans="2:41">
      <c r="B224" s="102">
        <f t="shared" si="103"/>
        <v>5</v>
      </c>
      <c r="C224" s="113">
        <f>PJM_01212000!A208</f>
        <v>41760</v>
      </c>
      <c r="D224" s="315">
        <f>PJM_01212000!C208</f>
        <v>38.325000000000003</v>
      </c>
      <c r="E224" s="133">
        <f t="shared" si="85"/>
        <v>0</v>
      </c>
      <c r="F224" s="133">
        <f t="shared" si="108"/>
        <v>0</v>
      </c>
      <c r="G224" s="133">
        <f t="shared" si="108"/>
        <v>1.0610266218026732</v>
      </c>
      <c r="H224" s="133">
        <f t="shared" si="108"/>
        <v>1.1254998619307197</v>
      </c>
      <c r="I224" s="133">
        <f t="shared" si="108"/>
        <v>1.1169907033351396</v>
      </c>
      <c r="J224" s="133">
        <f t="shared" si="108"/>
        <v>0</v>
      </c>
      <c r="K224" s="133">
        <f t="shared" si="108"/>
        <v>0</v>
      </c>
      <c r="L224" s="133">
        <f t="shared" si="108"/>
        <v>0</v>
      </c>
      <c r="M224" s="133">
        <f t="shared" si="108"/>
        <v>0</v>
      </c>
      <c r="N224" s="133">
        <f t="shared" si="108"/>
        <v>0</v>
      </c>
      <c r="O224" s="133">
        <f t="shared" si="108"/>
        <v>0</v>
      </c>
      <c r="P224" s="133">
        <f t="shared" si="108"/>
        <v>0</v>
      </c>
      <c r="Q224" s="133">
        <f t="shared" si="108"/>
        <v>0</v>
      </c>
      <c r="R224" s="133">
        <f t="shared" si="108"/>
        <v>1.0876995612465097</v>
      </c>
      <c r="S224" s="133">
        <f t="shared" si="108"/>
        <v>0</v>
      </c>
      <c r="T224" s="133">
        <f t="shared" si="108"/>
        <v>0</v>
      </c>
      <c r="U224" s="133">
        <f t="shared" si="104"/>
        <v>0</v>
      </c>
      <c r="W224" s="308">
        <f t="shared" si="105"/>
        <v>0</v>
      </c>
      <c r="X224" s="308">
        <f t="shared" si="88"/>
        <v>0</v>
      </c>
      <c r="Y224" s="308">
        <f t="shared" si="89"/>
        <v>40.663845280587452</v>
      </c>
      <c r="Z224" s="308">
        <f t="shared" si="90"/>
        <v>43.134782208494833</v>
      </c>
      <c r="AA224" s="308">
        <f t="shared" si="91"/>
        <v>42.808668705319228</v>
      </c>
      <c r="AB224" s="308">
        <f t="shared" si="92"/>
        <v>0</v>
      </c>
      <c r="AC224" s="308">
        <f t="shared" si="93"/>
        <v>0</v>
      </c>
      <c r="AD224" s="308">
        <f t="shared" si="94"/>
        <v>0</v>
      </c>
      <c r="AE224" s="308">
        <f t="shared" si="95"/>
        <v>0</v>
      </c>
      <c r="AF224" s="308">
        <f t="shared" si="96"/>
        <v>0</v>
      </c>
      <c r="AG224" s="308">
        <f t="shared" si="97"/>
        <v>0</v>
      </c>
      <c r="AH224" s="308">
        <f t="shared" si="98"/>
        <v>0</v>
      </c>
      <c r="AI224" s="308">
        <f t="shared" si="99"/>
        <v>0</v>
      </c>
      <c r="AJ224" s="308">
        <f t="shared" si="100"/>
        <v>41.686085684772486</v>
      </c>
      <c r="AK224" s="308">
        <f t="shared" si="101"/>
        <v>0</v>
      </c>
      <c r="AL224" s="308">
        <f t="shared" si="102"/>
        <v>0</v>
      </c>
      <c r="AN224" s="327">
        <f t="shared" si="106"/>
        <v>42.073345469793502</v>
      </c>
      <c r="AO224" s="331">
        <f t="shared" si="107"/>
        <v>38.325000000000003</v>
      </c>
    </row>
    <row r="225" spans="2:41">
      <c r="B225" s="102">
        <f t="shared" si="103"/>
        <v>6</v>
      </c>
      <c r="C225" s="113">
        <f>PJM_01212000!A209</f>
        <v>41791</v>
      </c>
      <c r="D225" s="315">
        <f>PJM_01212000!C209</f>
        <v>65.349998474121094</v>
      </c>
      <c r="E225" s="133">
        <f t="shared" si="85"/>
        <v>0</v>
      </c>
      <c r="F225" s="133">
        <f t="shared" si="108"/>
        <v>0</v>
      </c>
      <c r="G225" s="133">
        <f t="shared" si="108"/>
        <v>0</v>
      </c>
      <c r="H225" s="133">
        <f t="shared" si="108"/>
        <v>0</v>
      </c>
      <c r="I225" s="133">
        <f t="shared" si="108"/>
        <v>0</v>
      </c>
      <c r="J225" s="133">
        <f t="shared" si="108"/>
        <v>0</v>
      </c>
      <c r="K225" s="133">
        <f t="shared" si="108"/>
        <v>1.2209201862181771</v>
      </c>
      <c r="L225" s="133">
        <f t="shared" si="108"/>
        <v>1.2303149771421382</v>
      </c>
      <c r="M225" s="133">
        <f t="shared" si="108"/>
        <v>1.2323281466258438</v>
      </c>
      <c r="N225" s="133">
        <f t="shared" si="108"/>
        <v>1.2523256301639896</v>
      </c>
      <c r="O225" s="133">
        <f t="shared" si="108"/>
        <v>0</v>
      </c>
      <c r="P225" s="133">
        <f t="shared" si="108"/>
        <v>0</v>
      </c>
      <c r="Q225" s="133">
        <f t="shared" si="108"/>
        <v>0</v>
      </c>
      <c r="R225" s="133">
        <f t="shared" si="108"/>
        <v>0</v>
      </c>
      <c r="S225" s="133">
        <f t="shared" si="108"/>
        <v>0</v>
      </c>
      <c r="T225" s="133">
        <f t="shared" si="108"/>
        <v>0</v>
      </c>
      <c r="U225" s="133">
        <f t="shared" si="104"/>
        <v>0</v>
      </c>
      <c r="W225" s="308">
        <f t="shared" si="105"/>
        <v>0</v>
      </c>
      <c r="X225" s="308">
        <f t="shared" si="88"/>
        <v>0</v>
      </c>
      <c r="Y225" s="308">
        <f t="shared" si="89"/>
        <v>0</v>
      </c>
      <c r="Z225" s="308">
        <f t="shared" si="90"/>
        <v>0</v>
      </c>
      <c r="AA225" s="308">
        <f t="shared" si="91"/>
        <v>0</v>
      </c>
      <c r="AB225" s="308">
        <f t="shared" si="92"/>
        <v>0</v>
      </c>
      <c r="AC225" s="308">
        <f t="shared" si="93"/>
        <v>79.787132306381523</v>
      </c>
      <c r="AD225" s="308">
        <f t="shared" si="94"/>
        <v>80.401081878927059</v>
      </c>
      <c r="AE225" s="308">
        <f t="shared" si="95"/>
        <v>80.532642501615371</v>
      </c>
      <c r="AF225" s="308">
        <f t="shared" si="96"/>
        <v>81.839478020319461</v>
      </c>
      <c r="AG225" s="308">
        <f t="shared" si="97"/>
        <v>0</v>
      </c>
      <c r="AH225" s="308">
        <f t="shared" si="98"/>
        <v>0</v>
      </c>
      <c r="AI225" s="308">
        <f t="shared" si="99"/>
        <v>0</v>
      </c>
      <c r="AJ225" s="308">
        <f t="shared" si="100"/>
        <v>0</v>
      </c>
      <c r="AK225" s="308">
        <f t="shared" si="101"/>
        <v>0</v>
      </c>
      <c r="AL225" s="308">
        <f t="shared" si="102"/>
        <v>0</v>
      </c>
      <c r="AN225" s="327">
        <f t="shared" si="106"/>
        <v>80.64008367681086</v>
      </c>
      <c r="AO225" s="331">
        <f t="shared" si="107"/>
        <v>65.349998474121094</v>
      </c>
    </row>
    <row r="226" spans="2:41">
      <c r="B226" s="102">
        <f t="shared" si="103"/>
        <v>7</v>
      </c>
      <c r="C226" s="113">
        <f>PJM_01212000!A210</f>
        <v>41821</v>
      </c>
      <c r="D226" s="315">
        <f>PJM_01212000!C210</f>
        <v>115.94999694824219</v>
      </c>
      <c r="E226" s="133">
        <f t="shared" si="85"/>
        <v>0</v>
      </c>
      <c r="F226" s="133">
        <f t="shared" si="108"/>
        <v>0</v>
      </c>
      <c r="G226" s="133">
        <f t="shared" si="108"/>
        <v>0</v>
      </c>
      <c r="H226" s="133">
        <f t="shared" si="108"/>
        <v>0</v>
      </c>
      <c r="I226" s="133">
        <f t="shared" si="108"/>
        <v>0</v>
      </c>
      <c r="J226" s="133">
        <f t="shared" si="108"/>
        <v>0</v>
      </c>
      <c r="K226" s="133">
        <f t="shared" si="108"/>
        <v>0</v>
      </c>
      <c r="L226" s="133">
        <f t="shared" si="108"/>
        <v>1.2506946851612968</v>
      </c>
      <c r="M226" s="133">
        <f t="shared" si="108"/>
        <v>1.3273401940004199</v>
      </c>
      <c r="N226" s="133">
        <f t="shared" si="108"/>
        <v>1.3538888162792144</v>
      </c>
      <c r="O226" s="133">
        <f t="shared" si="108"/>
        <v>1.3203393586734773</v>
      </c>
      <c r="P226" s="133">
        <f t="shared" si="108"/>
        <v>0</v>
      </c>
      <c r="Q226" s="133">
        <f t="shared" si="108"/>
        <v>0</v>
      </c>
      <c r="R226" s="133">
        <f t="shared" si="108"/>
        <v>0</v>
      </c>
      <c r="S226" s="133">
        <f t="shared" si="108"/>
        <v>0</v>
      </c>
      <c r="T226" s="133">
        <f t="shared" si="108"/>
        <v>0</v>
      </c>
      <c r="U226" s="133">
        <f t="shared" si="104"/>
        <v>0</v>
      </c>
      <c r="W226" s="308">
        <f t="shared" si="105"/>
        <v>0</v>
      </c>
      <c r="X226" s="308">
        <f t="shared" si="88"/>
        <v>0</v>
      </c>
      <c r="Y226" s="308">
        <f t="shared" si="89"/>
        <v>0</v>
      </c>
      <c r="Z226" s="308">
        <f t="shared" si="90"/>
        <v>0</v>
      </c>
      <c r="AA226" s="308">
        <f t="shared" si="91"/>
        <v>0</v>
      </c>
      <c r="AB226" s="308">
        <f t="shared" si="92"/>
        <v>0</v>
      </c>
      <c r="AC226" s="308">
        <f t="shared" si="93"/>
        <v>0</v>
      </c>
      <c r="AD226" s="308">
        <f t="shared" si="94"/>
        <v>145.01804492763509</v>
      </c>
      <c r="AE226" s="308">
        <f t="shared" si="95"/>
        <v>153.9050914436279</v>
      </c>
      <c r="AF226" s="308">
        <f t="shared" si="96"/>
        <v>156.98340411583413</v>
      </c>
      <c r="AG226" s="308">
        <f t="shared" si="97"/>
        <v>153.09334460883375</v>
      </c>
      <c r="AH226" s="308">
        <f t="shared" si="98"/>
        <v>0</v>
      </c>
      <c r="AI226" s="308">
        <f t="shared" si="99"/>
        <v>0</v>
      </c>
      <c r="AJ226" s="308">
        <f t="shared" si="100"/>
        <v>0</v>
      </c>
      <c r="AK226" s="308">
        <f t="shared" si="101"/>
        <v>0</v>
      </c>
      <c r="AL226" s="308">
        <f t="shared" si="102"/>
        <v>0</v>
      </c>
      <c r="AN226" s="327">
        <f t="shared" si="106"/>
        <v>152.24997127398271</v>
      </c>
      <c r="AO226" s="331">
        <f t="shared" si="107"/>
        <v>115.94999694824219</v>
      </c>
    </row>
    <row r="227" spans="2:41">
      <c r="B227" s="102">
        <f t="shared" si="103"/>
        <v>8</v>
      </c>
      <c r="C227" s="113">
        <f>PJM_01212000!A211</f>
        <v>41852</v>
      </c>
      <c r="D227" s="315">
        <f>PJM_01212000!C211</f>
        <v>102.94999694824219</v>
      </c>
      <c r="E227" s="133">
        <f t="shared" si="85"/>
        <v>0</v>
      </c>
      <c r="F227" s="133">
        <f t="shared" si="108"/>
        <v>0</v>
      </c>
      <c r="G227" s="133">
        <f t="shared" si="108"/>
        <v>0</v>
      </c>
      <c r="H227" s="133">
        <f t="shared" si="108"/>
        <v>0</v>
      </c>
      <c r="I227" s="133">
        <f t="shared" si="108"/>
        <v>0</v>
      </c>
      <c r="J227" s="133">
        <f t="shared" si="108"/>
        <v>0</v>
      </c>
      <c r="K227" s="133">
        <f t="shared" si="108"/>
        <v>1.1907290919069531</v>
      </c>
      <c r="L227" s="133">
        <f t="shared" si="108"/>
        <v>1.26057331025457</v>
      </c>
      <c r="M227" s="133">
        <f t="shared" si="108"/>
        <v>1.2430109342677418</v>
      </c>
      <c r="N227" s="133">
        <f t="shared" si="108"/>
        <v>1.2150462278887151</v>
      </c>
      <c r="O227" s="133">
        <f t="shared" si="108"/>
        <v>0</v>
      </c>
      <c r="P227" s="133">
        <f t="shared" si="108"/>
        <v>0</v>
      </c>
      <c r="Q227" s="133">
        <f t="shared" si="108"/>
        <v>0</v>
      </c>
      <c r="R227" s="133">
        <f t="shared" si="108"/>
        <v>0</v>
      </c>
      <c r="S227" s="133">
        <f t="shared" si="108"/>
        <v>0</v>
      </c>
      <c r="T227" s="133">
        <f t="shared" si="108"/>
        <v>0</v>
      </c>
      <c r="U227" s="133">
        <f t="shared" si="104"/>
        <v>0</v>
      </c>
      <c r="W227" s="308">
        <f t="shared" si="105"/>
        <v>0</v>
      </c>
      <c r="X227" s="308">
        <f t="shared" si="88"/>
        <v>0</v>
      </c>
      <c r="Y227" s="308">
        <f t="shared" si="89"/>
        <v>0</v>
      </c>
      <c r="Z227" s="308">
        <f t="shared" si="90"/>
        <v>0</v>
      </c>
      <c r="AA227" s="308">
        <f t="shared" si="91"/>
        <v>0</v>
      </c>
      <c r="AB227" s="308">
        <f t="shared" si="92"/>
        <v>0</v>
      </c>
      <c r="AC227" s="308">
        <f t="shared" si="93"/>
        <v>122.58555637800401</v>
      </c>
      <c r="AD227" s="308">
        <f t="shared" si="94"/>
        <v>129.77601844374354</v>
      </c>
      <c r="AE227" s="308">
        <f t="shared" si="95"/>
        <v>127.96797188949569</v>
      </c>
      <c r="AF227" s="308">
        <f t="shared" si="96"/>
        <v>125.0890054531164</v>
      </c>
      <c r="AG227" s="308">
        <f t="shared" si="97"/>
        <v>0</v>
      </c>
      <c r="AH227" s="308">
        <f t="shared" si="98"/>
        <v>0</v>
      </c>
      <c r="AI227" s="308">
        <f t="shared" si="99"/>
        <v>0</v>
      </c>
      <c r="AJ227" s="308">
        <f t="shared" si="100"/>
        <v>0</v>
      </c>
      <c r="AK227" s="308">
        <f t="shared" si="101"/>
        <v>0</v>
      </c>
      <c r="AL227" s="308">
        <f t="shared" si="102"/>
        <v>0</v>
      </c>
      <c r="AN227" s="327">
        <f t="shared" si="106"/>
        <v>126.3546380410899</v>
      </c>
      <c r="AO227" s="331">
        <f t="shared" si="107"/>
        <v>102.94999694824219</v>
      </c>
    </row>
    <row r="228" spans="2:41">
      <c r="B228" s="102">
        <f t="shared" si="103"/>
        <v>9</v>
      </c>
      <c r="C228" s="113">
        <f>PJM_01212000!A212</f>
        <v>41883</v>
      </c>
      <c r="D228" s="315">
        <f>PJM_01212000!C212</f>
        <v>38.424998474121097</v>
      </c>
      <c r="E228" s="133">
        <f t="shared" si="85"/>
        <v>0</v>
      </c>
      <c r="F228" s="133">
        <f t="shared" si="108"/>
        <v>0</v>
      </c>
      <c r="G228" s="133">
        <f t="shared" si="108"/>
        <v>0</v>
      </c>
      <c r="H228" s="133">
        <f t="shared" si="108"/>
        <v>0</v>
      </c>
      <c r="I228" s="133">
        <f t="shared" si="108"/>
        <v>0</v>
      </c>
      <c r="J228" s="133">
        <f t="shared" si="108"/>
        <v>0</v>
      </c>
      <c r="K228" s="133">
        <f t="shared" si="108"/>
        <v>0</v>
      </c>
      <c r="L228" s="133">
        <f t="shared" si="108"/>
        <v>0</v>
      </c>
      <c r="M228" s="133">
        <f t="shared" si="108"/>
        <v>0</v>
      </c>
      <c r="N228" s="133">
        <f t="shared" si="108"/>
        <v>1.1345284089868721</v>
      </c>
      <c r="O228" s="133">
        <f t="shared" si="108"/>
        <v>1.1066962078625975</v>
      </c>
      <c r="P228" s="133">
        <f t="shared" si="108"/>
        <v>0</v>
      </c>
      <c r="Q228" s="133">
        <f t="shared" si="108"/>
        <v>1.184626371010566</v>
      </c>
      <c r="R228" s="133">
        <f t="shared" si="108"/>
        <v>1.1944408840385996</v>
      </c>
      <c r="S228" s="133">
        <f t="shared" si="108"/>
        <v>0</v>
      </c>
      <c r="T228" s="133">
        <f t="shared" si="108"/>
        <v>0</v>
      </c>
      <c r="U228" s="133">
        <f t="shared" si="104"/>
        <v>0</v>
      </c>
      <c r="W228" s="308">
        <f t="shared" si="105"/>
        <v>0</v>
      </c>
      <c r="X228" s="308">
        <f t="shared" si="88"/>
        <v>0</v>
      </c>
      <c r="Y228" s="308">
        <f t="shared" si="89"/>
        <v>0</v>
      </c>
      <c r="Z228" s="308">
        <f t="shared" si="90"/>
        <v>0</v>
      </c>
      <c r="AA228" s="308">
        <f t="shared" si="91"/>
        <v>0</v>
      </c>
      <c r="AB228" s="308">
        <f t="shared" si="92"/>
        <v>0</v>
      </c>
      <c r="AC228" s="308">
        <f t="shared" si="93"/>
        <v>0</v>
      </c>
      <c r="AD228" s="308">
        <f t="shared" si="94"/>
        <v>0</v>
      </c>
      <c r="AE228" s="308">
        <f t="shared" si="95"/>
        <v>0</v>
      </c>
      <c r="AF228" s="308">
        <f t="shared" si="96"/>
        <v>43.594252384167596</v>
      </c>
      <c r="AG228" s="308">
        <f t="shared" si="97"/>
        <v>42.524800098435911</v>
      </c>
      <c r="AH228" s="308">
        <f t="shared" si="98"/>
        <v>0</v>
      </c>
      <c r="AI228" s="308">
        <f t="shared" si="99"/>
        <v>45.519266498484612</v>
      </c>
      <c r="AJ228" s="308">
        <f t="shared" si="100"/>
        <v>45.896389146611043</v>
      </c>
      <c r="AK228" s="308">
        <f t="shared" si="101"/>
        <v>0</v>
      </c>
      <c r="AL228" s="308">
        <f t="shared" si="102"/>
        <v>0</v>
      </c>
      <c r="AN228" s="327">
        <f t="shared" si="106"/>
        <v>44.38367703192479</v>
      </c>
      <c r="AO228" s="331">
        <f t="shared" si="107"/>
        <v>38.424998474121097</v>
      </c>
    </row>
    <row r="229" spans="2:41">
      <c r="B229" s="102">
        <f t="shared" si="103"/>
        <v>10</v>
      </c>
      <c r="C229" s="113">
        <f>PJM_01212000!A213</f>
        <v>41913</v>
      </c>
      <c r="D229" s="315">
        <f>PJM_01212000!C213</f>
        <v>31.075000381469728</v>
      </c>
      <c r="E229" s="133">
        <f t="shared" si="85"/>
        <v>0</v>
      </c>
      <c r="F229" s="133">
        <f t="shared" si="108"/>
        <v>1.1326000000000001</v>
      </c>
      <c r="G229" s="133">
        <f t="shared" si="108"/>
        <v>0</v>
      </c>
      <c r="H229" s="133">
        <f t="shared" si="108"/>
        <v>0</v>
      </c>
      <c r="I229" s="133">
        <f t="shared" si="108"/>
        <v>0</v>
      </c>
      <c r="J229" s="133">
        <f t="shared" si="108"/>
        <v>0</v>
      </c>
      <c r="K229" s="133">
        <f t="shared" si="108"/>
        <v>0</v>
      </c>
      <c r="L229" s="133">
        <f t="shared" si="108"/>
        <v>0</v>
      </c>
      <c r="M229" s="133">
        <f t="shared" si="108"/>
        <v>0</v>
      </c>
      <c r="N229" s="133">
        <f t="shared" si="108"/>
        <v>0</v>
      </c>
      <c r="O229" s="133">
        <f t="shared" si="108"/>
        <v>1.2000999999999999</v>
      </c>
      <c r="P229" s="133">
        <f t="shared" si="108"/>
        <v>1.2095</v>
      </c>
      <c r="Q229" s="133">
        <f t="shared" si="108"/>
        <v>1.1567000000000001</v>
      </c>
      <c r="R229" s="133">
        <f t="shared" si="108"/>
        <v>0</v>
      </c>
      <c r="S229" s="133">
        <f t="shared" si="108"/>
        <v>0</v>
      </c>
      <c r="T229" s="133">
        <f t="shared" si="108"/>
        <v>0</v>
      </c>
      <c r="U229" s="133">
        <f t="shared" si="104"/>
        <v>0</v>
      </c>
      <c r="W229" s="308">
        <f t="shared" si="105"/>
        <v>0</v>
      </c>
      <c r="X229" s="308">
        <f t="shared" si="88"/>
        <v>35.195545432052619</v>
      </c>
      <c r="Y229" s="308">
        <f t="shared" si="89"/>
        <v>0</v>
      </c>
      <c r="Z229" s="308">
        <f t="shared" si="90"/>
        <v>0</v>
      </c>
      <c r="AA229" s="308">
        <f t="shared" si="91"/>
        <v>0</v>
      </c>
      <c r="AB229" s="308">
        <f t="shared" si="92"/>
        <v>0</v>
      </c>
      <c r="AC229" s="308">
        <f t="shared" si="93"/>
        <v>0</v>
      </c>
      <c r="AD229" s="308">
        <f t="shared" si="94"/>
        <v>0</v>
      </c>
      <c r="AE229" s="308">
        <f t="shared" si="95"/>
        <v>0</v>
      </c>
      <c r="AF229" s="308">
        <f t="shared" si="96"/>
        <v>0</v>
      </c>
      <c r="AG229" s="308">
        <f t="shared" si="97"/>
        <v>37.293107957801816</v>
      </c>
      <c r="AH229" s="308">
        <f t="shared" si="98"/>
        <v>37.58521296138764</v>
      </c>
      <c r="AI229" s="308">
        <f t="shared" si="99"/>
        <v>35.944452941246034</v>
      </c>
      <c r="AJ229" s="308">
        <f t="shared" si="100"/>
        <v>0</v>
      </c>
      <c r="AK229" s="308">
        <f t="shared" si="101"/>
        <v>0</v>
      </c>
      <c r="AL229" s="308">
        <f t="shared" si="102"/>
        <v>0</v>
      </c>
      <c r="AN229" s="327">
        <f t="shared" si="106"/>
        <v>36.504579823122029</v>
      </c>
      <c r="AO229" s="331">
        <f t="shared" si="107"/>
        <v>31.075000381469728</v>
      </c>
    </row>
    <row r="230" spans="2:41">
      <c r="B230" s="102">
        <f t="shared" si="103"/>
        <v>11</v>
      </c>
      <c r="C230" s="113">
        <f>PJM_01212000!A214</f>
        <v>41944</v>
      </c>
      <c r="D230" s="315">
        <f>PJM_01212000!C214</f>
        <v>30.747499084472658</v>
      </c>
      <c r="E230" s="133">
        <f t="shared" si="85"/>
        <v>0</v>
      </c>
      <c r="F230" s="133">
        <f t="shared" ref="F230:T239" si="109">VLOOKUP($B230,$C$6:$Z$17,F$22+1)</f>
        <v>1.1426000000000001</v>
      </c>
      <c r="G230" s="133">
        <f t="shared" si="109"/>
        <v>0</v>
      </c>
      <c r="H230" s="133">
        <f t="shared" si="109"/>
        <v>0</v>
      </c>
      <c r="I230" s="133">
        <f t="shared" si="109"/>
        <v>0</v>
      </c>
      <c r="J230" s="133">
        <f t="shared" si="109"/>
        <v>0</v>
      </c>
      <c r="K230" s="133">
        <f t="shared" si="109"/>
        <v>0</v>
      </c>
      <c r="L230" s="133">
        <f t="shared" si="109"/>
        <v>0</v>
      </c>
      <c r="M230" s="133">
        <f t="shared" si="109"/>
        <v>0</v>
      </c>
      <c r="N230" s="133">
        <f t="shared" si="109"/>
        <v>0</v>
      </c>
      <c r="O230" s="133">
        <f t="shared" si="109"/>
        <v>1.2171000000000001</v>
      </c>
      <c r="P230" s="133">
        <f t="shared" si="109"/>
        <v>1.2269000000000001</v>
      </c>
      <c r="Q230" s="133">
        <f t="shared" si="109"/>
        <v>1.1767000000000001</v>
      </c>
      <c r="R230" s="133">
        <f t="shared" si="109"/>
        <v>0</v>
      </c>
      <c r="S230" s="133">
        <f t="shared" si="109"/>
        <v>0</v>
      </c>
      <c r="T230" s="133">
        <f t="shared" si="109"/>
        <v>0</v>
      </c>
      <c r="U230" s="133">
        <f t="shared" si="104"/>
        <v>0</v>
      </c>
      <c r="W230" s="308">
        <f t="shared" si="105"/>
        <v>0</v>
      </c>
      <c r="X230" s="308">
        <f t="shared" si="88"/>
        <v>35.13209245391846</v>
      </c>
      <c r="Y230" s="308">
        <f t="shared" si="89"/>
        <v>0</v>
      </c>
      <c r="Z230" s="308">
        <f t="shared" si="90"/>
        <v>0</v>
      </c>
      <c r="AA230" s="308">
        <f t="shared" si="91"/>
        <v>0</v>
      </c>
      <c r="AB230" s="308">
        <f t="shared" si="92"/>
        <v>0</v>
      </c>
      <c r="AC230" s="308">
        <f t="shared" si="93"/>
        <v>0</v>
      </c>
      <c r="AD230" s="308">
        <f t="shared" si="94"/>
        <v>0</v>
      </c>
      <c r="AE230" s="308">
        <f t="shared" si="95"/>
        <v>0</v>
      </c>
      <c r="AF230" s="308">
        <f t="shared" si="96"/>
        <v>0</v>
      </c>
      <c r="AG230" s="308">
        <f t="shared" si="97"/>
        <v>37.422781135711674</v>
      </c>
      <c r="AH230" s="308">
        <f t="shared" si="98"/>
        <v>37.724106626739506</v>
      </c>
      <c r="AI230" s="308">
        <f t="shared" si="99"/>
        <v>36.180582172698976</v>
      </c>
      <c r="AJ230" s="308">
        <f t="shared" si="100"/>
        <v>0</v>
      </c>
      <c r="AK230" s="308">
        <f t="shared" si="101"/>
        <v>0</v>
      </c>
      <c r="AL230" s="308">
        <f t="shared" si="102"/>
        <v>0</v>
      </c>
      <c r="AN230" s="327">
        <f t="shared" si="106"/>
        <v>36.614890597267149</v>
      </c>
      <c r="AO230" s="331">
        <f t="shared" si="107"/>
        <v>30.747499084472658</v>
      </c>
    </row>
    <row r="231" spans="2:41">
      <c r="B231" s="102">
        <f t="shared" si="103"/>
        <v>12</v>
      </c>
      <c r="C231" s="113">
        <f>PJM_01212000!A215</f>
        <v>41974</v>
      </c>
      <c r="D231" s="315">
        <f>PJM_01212000!C215</f>
        <v>32.499999618530275</v>
      </c>
      <c r="E231" s="133">
        <f t="shared" si="85"/>
        <v>0</v>
      </c>
      <c r="F231" s="133">
        <f t="shared" si="109"/>
        <v>1.1637999999999999</v>
      </c>
      <c r="G231" s="133">
        <f t="shared" si="109"/>
        <v>0</v>
      </c>
      <c r="H231" s="133">
        <f t="shared" si="109"/>
        <v>0</v>
      </c>
      <c r="I231" s="133">
        <f t="shared" si="109"/>
        <v>0</v>
      </c>
      <c r="J231" s="133">
        <f t="shared" si="109"/>
        <v>0</v>
      </c>
      <c r="K231" s="133">
        <f t="shared" si="109"/>
        <v>0</v>
      </c>
      <c r="L231" s="133">
        <f t="shared" si="109"/>
        <v>0</v>
      </c>
      <c r="M231" s="133">
        <f t="shared" si="109"/>
        <v>0</v>
      </c>
      <c r="N231" s="133">
        <f t="shared" si="109"/>
        <v>0</v>
      </c>
      <c r="O231" s="133">
        <f t="shared" si="109"/>
        <v>1.2396592528631896</v>
      </c>
      <c r="P231" s="133">
        <f t="shared" si="109"/>
        <v>1.2314000000000001</v>
      </c>
      <c r="Q231" s="133">
        <f t="shared" si="109"/>
        <v>1.1889963083145296</v>
      </c>
      <c r="R231" s="133">
        <f t="shared" si="109"/>
        <v>0</v>
      </c>
      <c r="S231" s="133">
        <f t="shared" si="109"/>
        <v>0</v>
      </c>
      <c r="T231" s="133">
        <f t="shared" si="109"/>
        <v>0</v>
      </c>
      <c r="U231" s="133">
        <f t="shared" si="104"/>
        <v>0</v>
      </c>
      <c r="W231" s="308">
        <f t="shared" si="105"/>
        <v>0</v>
      </c>
      <c r="X231" s="308">
        <f t="shared" si="88"/>
        <v>37.823499556045533</v>
      </c>
      <c r="Y231" s="308">
        <f t="shared" si="89"/>
        <v>0</v>
      </c>
      <c r="Z231" s="308">
        <f t="shared" si="90"/>
        <v>0</v>
      </c>
      <c r="AA231" s="308">
        <f t="shared" si="91"/>
        <v>0</v>
      </c>
      <c r="AB231" s="308">
        <f t="shared" si="92"/>
        <v>0</v>
      </c>
      <c r="AC231" s="308">
        <f t="shared" si="93"/>
        <v>0</v>
      </c>
      <c r="AD231" s="308">
        <f t="shared" si="94"/>
        <v>0</v>
      </c>
      <c r="AE231" s="308">
        <f t="shared" si="95"/>
        <v>0</v>
      </c>
      <c r="AF231" s="308">
        <f t="shared" si="96"/>
        <v>0</v>
      </c>
      <c r="AG231" s="308">
        <f t="shared" si="97"/>
        <v>40.288925245161188</v>
      </c>
      <c r="AH231" s="308">
        <f t="shared" si="98"/>
        <v>40.020499530258185</v>
      </c>
      <c r="AI231" s="308">
        <f t="shared" si="99"/>
        <v>38.642379566656118</v>
      </c>
      <c r="AJ231" s="308">
        <f t="shared" si="100"/>
        <v>0</v>
      </c>
      <c r="AK231" s="308">
        <f t="shared" si="101"/>
        <v>0</v>
      </c>
      <c r="AL231" s="308">
        <f t="shared" si="102"/>
        <v>0</v>
      </c>
      <c r="AN231" s="327">
        <f t="shared" si="106"/>
        <v>39.193825974530256</v>
      </c>
      <c r="AO231" s="331">
        <f t="shared" si="107"/>
        <v>32.499999618530275</v>
      </c>
    </row>
    <row r="232" spans="2:41">
      <c r="B232" s="102">
        <f t="shared" si="103"/>
        <v>1</v>
      </c>
      <c r="C232" s="113">
        <f>PJM_01212000!A216</f>
        <v>42005</v>
      </c>
      <c r="D232" s="315">
        <f>PJM_01212000!C216</f>
        <v>41.074998474121088</v>
      </c>
      <c r="E232" s="133">
        <f t="shared" si="85"/>
        <v>0</v>
      </c>
      <c r="F232" s="133">
        <f t="shared" si="109"/>
        <v>1.1998117566192825</v>
      </c>
      <c r="G232" s="133">
        <f t="shared" si="109"/>
        <v>1.1961600115620716</v>
      </c>
      <c r="H232" s="133">
        <f t="shared" si="109"/>
        <v>0</v>
      </c>
      <c r="I232" s="133">
        <f t="shared" si="109"/>
        <v>0</v>
      </c>
      <c r="J232" s="133">
        <f t="shared" si="109"/>
        <v>0</v>
      </c>
      <c r="K232" s="133">
        <f t="shared" si="109"/>
        <v>0</v>
      </c>
      <c r="L232" s="133">
        <f t="shared" si="109"/>
        <v>0</v>
      </c>
      <c r="M232" s="133">
        <f t="shared" si="109"/>
        <v>0</v>
      </c>
      <c r="N232" s="133">
        <f t="shared" si="109"/>
        <v>0</v>
      </c>
      <c r="O232" s="133">
        <f t="shared" si="109"/>
        <v>0</v>
      </c>
      <c r="P232" s="133">
        <f t="shared" si="109"/>
        <v>1.2818992289435116</v>
      </c>
      <c r="Q232" s="133">
        <f t="shared" si="109"/>
        <v>1.2270000000000001</v>
      </c>
      <c r="R232" s="133">
        <f t="shared" si="109"/>
        <v>0</v>
      </c>
      <c r="S232" s="133">
        <f t="shared" si="109"/>
        <v>0</v>
      </c>
      <c r="T232" s="133">
        <f t="shared" si="109"/>
        <v>0</v>
      </c>
      <c r="U232" s="133">
        <f t="shared" si="104"/>
        <v>0</v>
      </c>
      <c r="W232" s="308">
        <f t="shared" si="105"/>
        <v>0</v>
      </c>
      <c r="X232" s="308">
        <f t="shared" si="88"/>
        <v>49.282266072369573</v>
      </c>
      <c r="Y232" s="308">
        <f t="shared" si="89"/>
        <v>49.132270649716759</v>
      </c>
      <c r="Z232" s="308">
        <f t="shared" si="90"/>
        <v>0</v>
      </c>
      <c r="AA232" s="308">
        <f t="shared" si="91"/>
        <v>0</v>
      </c>
      <c r="AB232" s="308">
        <f t="shared" si="92"/>
        <v>0</v>
      </c>
      <c r="AC232" s="308">
        <f t="shared" si="93"/>
        <v>0</v>
      </c>
      <c r="AD232" s="308">
        <f t="shared" si="94"/>
        <v>0</v>
      </c>
      <c r="AE232" s="308">
        <f t="shared" si="95"/>
        <v>0</v>
      </c>
      <c r="AF232" s="308">
        <f t="shared" si="96"/>
        <v>0</v>
      </c>
      <c r="AG232" s="308">
        <f t="shared" si="97"/>
        <v>0</v>
      </c>
      <c r="AH232" s="308">
        <f t="shared" si="98"/>
        <v>52.654008872831739</v>
      </c>
      <c r="AI232" s="308">
        <f t="shared" si="99"/>
        <v>50.399023127746581</v>
      </c>
      <c r="AJ232" s="308">
        <f t="shared" si="100"/>
        <v>0</v>
      </c>
      <c r="AK232" s="308">
        <f t="shared" si="101"/>
        <v>0</v>
      </c>
      <c r="AL232" s="308">
        <f t="shared" si="102"/>
        <v>0</v>
      </c>
      <c r="AN232" s="327">
        <f t="shared" si="106"/>
        <v>50.366892180666163</v>
      </c>
      <c r="AO232" s="331">
        <f t="shared" si="107"/>
        <v>41.074998474121088</v>
      </c>
    </row>
    <row r="233" spans="2:41">
      <c r="B233" s="102">
        <f t="shared" si="103"/>
        <v>2</v>
      </c>
      <c r="C233" s="113">
        <f>PJM_01212000!A217</f>
        <v>42036</v>
      </c>
      <c r="D233" s="315">
        <f>PJM_01212000!C217</f>
        <v>41.074998474121088</v>
      </c>
      <c r="E233" s="133">
        <f t="shared" si="85"/>
        <v>0</v>
      </c>
      <c r="F233" s="133">
        <f t="shared" si="109"/>
        <v>1.1998117566192825</v>
      </c>
      <c r="G233" s="133">
        <f t="shared" si="109"/>
        <v>1.1961600115620716</v>
      </c>
      <c r="H233" s="133">
        <f t="shared" si="109"/>
        <v>0</v>
      </c>
      <c r="I233" s="133">
        <f t="shared" si="109"/>
        <v>0</v>
      </c>
      <c r="J233" s="133">
        <f t="shared" si="109"/>
        <v>0</v>
      </c>
      <c r="K233" s="133">
        <f t="shared" si="109"/>
        <v>0</v>
      </c>
      <c r="L233" s="133">
        <f t="shared" si="109"/>
        <v>0</v>
      </c>
      <c r="M233" s="133">
        <f t="shared" si="109"/>
        <v>0</v>
      </c>
      <c r="N233" s="133">
        <f t="shared" si="109"/>
        <v>0</v>
      </c>
      <c r="O233" s="133">
        <f t="shared" si="109"/>
        <v>0</v>
      </c>
      <c r="P233" s="133">
        <f t="shared" si="109"/>
        <v>1.2818992289435116</v>
      </c>
      <c r="Q233" s="133">
        <f t="shared" si="109"/>
        <v>1.2270000000000001</v>
      </c>
      <c r="R233" s="133">
        <f t="shared" si="109"/>
        <v>0</v>
      </c>
      <c r="S233" s="133">
        <f t="shared" si="109"/>
        <v>0</v>
      </c>
      <c r="T233" s="133">
        <f t="shared" si="109"/>
        <v>0</v>
      </c>
      <c r="U233" s="133">
        <f t="shared" si="104"/>
        <v>0</v>
      </c>
      <c r="W233" s="308">
        <f t="shared" si="105"/>
        <v>0</v>
      </c>
      <c r="X233" s="308">
        <f t="shared" si="88"/>
        <v>49.282266072369573</v>
      </c>
      <c r="Y233" s="308">
        <f t="shared" si="89"/>
        <v>49.132270649716759</v>
      </c>
      <c r="Z233" s="308">
        <f t="shared" si="90"/>
        <v>0</v>
      </c>
      <c r="AA233" s="308">
        <f t="shared" si="91"/>
        <v>0</v>
      </c>
      <c r="AB233" s="308">
        <f t="shared" si="92"/>
        <v>0</v>
      </c>
      <c r="AC233" s="308">
        <f t="shared" si="93"/>
        <v>0</v>
      </c>
      <c r="AD233" s="308">
        <f t="shared" si="94"/>
        <v>0</v>
      </c>
      <c r="AE233" s="308">
        <f t="shared" si="95"/>
        <v>0</v>
      </c>
      <c r="AF233" s="308">
        <f t="shared" si="96"/>
        <v>0</v>
      </c>
      <c r="AG233" s="308">
        <f t="shared" si="97"/>
        <v>0</v>
      </c>
      <c r="AH233" s="308">
        <f t="shared" si="98"/>
        <v>52.654008872831739</v>
      </c>
      <c r="AI233" s="308">
        <f t="shared" si="99"/>
        <v>50.399023127746581</v>
      </c>
      <c r="AJ233" s="308">
        <f t="shared" si="100"/>
        <v>0</v>
      </c>
      <c r="AK233" s="308">
        <f t="shared" si="101"/>
        <v>0</v>
      </c>
      <c r="AL233" s="308">
        <f t="shared" si="102"/>
        <v>0</v>
      </c>
      <c r="AN233" s="327">
        <f t="shared" si="106"/>
        <v>50.366892180666163</v>
      </c>
      <c r="AO233" s="331">
        <f t="shared" si="107"/>
        <v>41.074998474121088</v>
      </c>
    </row>
    <row r="234" spans="2:41">
      <c r="B234" s="102">
        <f t="shared" si="103"/>
        <v>3</v>
      </c>
      <c r="C234" s="113">
        <f>PJM_01212000!A218</f>
        <v>42064</v>
      </c>
      <c r="D234" s="315">
        <f>PJM_01212000!C218</f>
        <v>30.800000762939455</v>
      </c>
      <c r="E234" s="133">
        <f t="shared" si="85"/>
        <v>0</v>
      </c>
      <c r="F234" s="133">
        <f t="shared" si="109"/>
        <v>1.1898</v>
      </c>
      <c r="G234" s="133">
        <f t="shared" si="109"/>
        <v>1.1861999999999999</v>
      </c>
      <c r="H234" s="133">
        <f t="shared" si="109"/>
        <v>0</v>
      </c>
      <c r="I234" s="133">
        <f t="shared" si="109"/>
        <v>0</v>
      </c>
      <c r="J234" s="133">
        <f t="shared" si="109"/>
        <v>0</v>
      </c>
      <c r="K234" s="133">
        <f t="shared" si="109"/>
        <v>0</v>
      </c>
      <c r="L234" s="133">
        <f t="shared" si="109"/>
        <v>0</v>
      </c>
      <c r="M234" s="133">
        <f t="shared" si="109"/>
        <v>0</v>
      </c>
      <c r="N234" s="133">
        <f t="shared" si="109"/>
        <v>0</v>
      </c>
      <c r="O234" s="133">
        <f t="shared" si="109"/>
        <v>0</v>
      </c>
      <c r="P234" s="133">
        <f t="shared" si="109"/>
        <v>1.2719</v>
      </c>
      <c r="Q234" s="133">
        <f t="shared" si="109"/>
        <v>1.2170000000000001</v>
      </c>
      <c r="R234" s="133">
        <f t="shared" si="109"/>
        <v>0</v>
      </c>
      <c r="S234" s="133">
        <f t="shared" si="109"/>
        <v>0</v>
      </c>
      <c r="T234" s="133">
        <f t="shared" si="109"/>
        <v>0</v>
      </c>
      <c r="U234" s="133">
        <f t="shared" si="104"/>
        <v>0</v>
      </c>
      <c r="W234" s="308">
        <f t="shared" si="105"/>
        <v>0</v>
      </c>
      <c r="X234" s="308">
        <f t="shared" si="88"/>
        <v>36.64584090774536</v>
      </c>
      <c r="Y234" s="308">
        <f t="shared" si="89"/>
        <v>36.534960904998776</v>
      </c>
      <c r="Z234" s="308">
        <f t="shared" si="90"/>
        <v>0</v>
      </c>
      <c r="AA234" s="308">
        <f t="shared" si="91"/>
        <v>0</v>
      </c>
      <c r="AB234" s="308">
        <f t="shared" si="92"/>
        <v>0</v>
      </c>
      <c r="AC234" s="308">
        <f t="shared" si="93"/>
        <v>0</v>
      </c>
      <c r="AD234" s="308">
        <f t="shared" si="94"/>
        <v>0</v>
      </c>
      <c r="AE234" s="308">
        <f t="shared" si="95"/>
        <v>0</v>
      </c>
      <c r="AF234" s="308">
        <f t="shared" si="96"/>
        <v>0</v>
      </c>
      <c r="AG234" s="308">
        <f t="shared" si="97"/>
        <v>0</v>
      </c>
      <c r="AH234" s="308">
        <f t="shared" si="98"/>
        <v>39.174520970382694</v>
      </c>
      <c r="AI234" s="308">
        <f t="shared" si="99"/>
        <v>37.483600928497317</v>
      </c>
      <c r="AJ234" s="308">
        <f t="shared" si="100"/>
        <v>0</v>
      </c>
      <c r="AK234" s="308">
        <f t="shared" si="101"/>
        <v>0</v>
      </c>
      <c r="AL234" s="308">
        <f t="shared" si="102"/>
        <v>0</v>
      </c>
      <c r="AN234" s="327">
        <f t="shared" si="106"/>
        <v>37.459730927906037</v>
      </c>
      <c r="AO234" s="331">
        <f t="shared" si="107"/>
        <v>30.800000762939455</v>
      </c>
    </row>
    <row r="235" spans="2:41">
      <c r="B235" s="102">
        <f t="shared" si="103"/>
        <v>4</v>
      </c>
      <c r="C235" s="113">
        <f>PJM_01212000!A219</f>
        <v>42095</v>
      </c>
      <c r="D235" s="315">
        <f>PJM_01212000!C219</f>
        <v>30.575000762939453</v>
      </c>
      <c r="E235" s="133">
        <f t="shared" si="85"/>
        <v>1.1232726508202047</v>
      </c>
      <c r="F235" s="133">
        <f t="shared" si="109"/>
        <v>1.1413154461256174</v>
      </c>
      <c r="G235" s="133">
        <f t="shared" si="109"/>
        <v>0</v>
      </c>
      <c r="H235" s="133">
        <f t="shared" si="109"/>
        <v>0</v>
      </c>
      <c r="I235" s="133">
        <f t="shared" si="109"/>
        <v>1.1185245467924647</v>
      </c>
      <c r="J235" s="133">
        <f t="shared" si="109"/>
        <v>0</v>
      </c>
      <c r="K235" s="133">
        <f t="shared" si="109"/>
        <v>0</v>
      </c>
      <c r="L235" s="133">
        <f t="shared" si="109"/>
        <v>0</v>
      </c>
      <c r="M235" s="133">
        <f t="shared" si="109"/>
        <v>0</v>
      </c>
      <c r="N235" s="133">
        <f t="shared" si="109"/>
        <v>0</v>
      </c>
      <c r="O235" s="133">
        <f t="shared" si="109"/>
        <v>0</v>
      </c>
      <c r="P235" s="133">
        <f t="shared" si="109"/>
        <v>0</v>
      </c>
      <c r="Q235" s="133">
        <f t="shared" si="109"/>
        <v>0</v>
      </c>
      <c r="R235" s="133">
        <f t="shared" si="109"/>
        <v>1.1543365178491491</v>
      </c>
      <c r="S235" s="133">
        <f t="shared" si="109"/>
        <v>0</v>
      </c>
      <c r="T235" s="133">
        <f t="shared" si="109"/>
        <v>0</v>
      </c>
      <c r="U235" s="133">
        <f t="shared" si="104"/>
        <v>0</v>
      </c>
      <c r="W235" s="308">
        <f t="shared" si="105"/>
        <v>34.344062155816779</v>
      </c>
      <c r="X235" s="308">
        <f t="shared" si="88"/>
        <v>34.895720636045333</v>
      </c>
      <c r="Y235" s="308">
        <f t="shared" si="89"/>
        <v>0</v>
      </c>
      <c r="Z235" s="308">
        <f t="shared" si="90"/>
        <v>0</v>
      </c>
      <c r="AA235" s="308">
        <f t="shared" si="91"/>
        <v>34.198888871546117</v>
      </c>
      <c r="AB235" s="308">
        <f t="shared" si="92"/>
        <v>0</v>
      </c>
      <c r="AC235" s="308">
        <f t="shared" si="93"/>
        <v>0</v>
      </c>
      <c r="AD235" s="308">
        <f t="shared" si="94"/>
        <v>0</v>
      </c>
      <c r="AE235" s="308">
        <f t="shared" si="95"/>
        <v>0</v>
      </c>
      <c r="AF235" s="308">
        <f t="shared" si="96"/>
        <v>0</v>
      </c>
      <c r="AG235" s="308">
        <f t="shared" si="97"/>
        <v>0</v>
      </c>
      <c r="AH235" s="308">
        <f t="shared" si="98"/>
        <v>0</v>
      </c>
      <c r="AI235" s="308">
        <f t="shared" si="99"/>
        <v>0</v>
      </c>
      <c r="AJ235" s="308">
        <f t="shared" si="100"/>
        <v>35.293839913926604</v>
      </c>
      <c r="AK235" s="308">
        <f t="shared" si="101"/>
        <v>0</v>
      </c>
      <c r="AL235" s="308">
        <f t="shared" si="102"/>
        <v>0</v>
      </c>
      <c r="AN235" s="327">
        <f t="shared" si="106"/>
        <v>34.683127894333708</v>
      </c>
      <c r="AO235" s="331">
        <f t="shared" si="107"/>
        <v>30.575000762939453</v>
      </c>
    </row>
    <row r="236" spans="2:41">
      <c r="B236" s="102">
        <f t="shared" si="103"/>
        <v>5</v>
      </c>
      <c r="C236" s="113">
        <f>PJM_01212000!A220</f>
        <v>42125</v>
      </c>
      <c r="D236" s="315">
        <f>PJM_01212000!C220</f>
        <v>38.575000000000003</v>
      </c>
      <c r="E236" s="133">
        <f t="shared" si="85"/>
        <v>0</v>
      </c>
      <c r="F236" s="133">
        <f t="shared" si="109"/>
        <v>0</v>
      </c>
      <c r="G236" s="133">
        <f t="shared" si="109"/>
        <v>1.0610266218026732</v>
      </c>
      <c r="H236" s="133">
        <f t="shared" si="109"/>
        <v>1.1254998619307197</v>
      </c>
      <c r="I236" s="133">
        <f t="shared" si="109"/>
        <v>1.1169907033351396</v>
      </c>
      <c r="J236" s="133">
        <f t="shared" si="109"/>
        <v>0</v>
      </c>
      <c r="K236" s="133">
        <f t="shared" si="109"/>
        <v>0</v>
      </c>
      <c r="L236" s="133">
        <f t="shared" si="109"/>
        <v>0</v>
      </c>
      <c r="M236" s="133">
        <f t="shared" si="109"/>
        <v>0</v>
      </c>
      <c r="N236" s="133">
        <f t="shared" si="109"/>
        <v>0</v>
      </c>
      <c r="O236" s="133">
        <f t="shared" si="109"/>
        <v>0</v>
      </c>
      <c r="P236" s="133">
        <f t="shared" si="109"/>
        <v>0</v>
      </c>
      <c r="Q236" s="133">
        <f t="shared" si="109"/>
        <v>0</v>
      </c>
      <c r="R236" s="133">
        <f t="shared" si="109"/>
        <v>1.0876995612465097</v>
      </c>
      <c r="S236" s="133">
        <f t="shared" si="109"/>
        <v>0</v>
      </c>
      <c r="T236" s="133">
        <f t="shared" si="109"/>
        <v>0</v>
      </c>
      <c r="U236" s="133">
        <f t="shared" si="104"/>
        <v>0</v>
      </c>
      <c r="W236" s="308">
        <f t="shared" si="105"/>
        <v>0</v>
      </c>
      <c r="X236" s="308">
        <f t="shared" si="88"/>
        <v>0</v>
      </c>
      <c r="Y236" s="308">
        <f t="shared" si="89"/>
        <v>40.929101936038123</v>
      </c>
      <c r="Z236" s="308">
        <f t="shared" si="90"/>
        <v>43.416157173977517</v>
      </c>
      <c r="AA236" s="308">
        <f t="shared" si="91"/>
        <v>43.087916381153015</v>
      </c>
      <c r="AB236" s="308">
        <f t="shared" si="92"/>
        <v>0</v>
      </c>
      <c r="AC236" s="308">
        <f t="shared" si="93"/>
        <v>0</v>
      </c>
      <c r="AD236" s="308">
        <f t="shared" si="94"/>
        <v>0</v>
      </c>
      <c r="AE236" s="308">
        <f t="shared" si="95"/>
        <v>0</v>
      </c>
      <c r="AF236" s="308">
        <f t="shared" si="96"/>
        <v>0</v>
      </c>
      <c r="AG236" s="308">
        <f t="shared" si="97"/>
        <v>0</v>
      </c>
      <c r="AH236" s="308">
        <f t="shared" si="98"/>
        <v>0</v>
      </c>
      <c r="AI236" s="308">
        <f t="shared" si="99"/>
        <v>0</v>
      </c>
      <c r="AJ236" s="308">
        <f t="shared" si="100"/>
        <v>41.958010575084117</v>
      </c>
      <c r="AK236" s="308">
        <f t="shared" si="101"/>
        <v>0</v>
      </c>
      <c r="AL236" s="308">
        <f t="shared" si="102"/>
        <v>0</v>
      </c>
      <c r="AN236" s="327">
        <f t="shared" si="106"/>
        <v>42.347796516563193</v>
      </c>
      <c r="AO236" s="331">
        <f t="shared" si="107"/>
        <v>38.575000000000003</v>
      </c>
    </row>
    <row r="237" spans="2:41">
      <c r="B237" s="102">
        <f t="shared" si="103"/>
        <v>6</v>
      </c>
      <c r="C237" s="113">
        <f>PJM_01212000!A221</f>
        <v>42156</v>
      </c>
      <c r="D237" s="315">
        <f>PJM_01212000!C221</f>
        <v>66.099998474121094</v>
      </c>
      <c r="E237" s="133">
        <f t="shared" si="85"/>
        <v>0</v>
      </c>
      <c r="F237" s="133">
        <f t="shared" si="109"/>
        <v>0</v>
      </c>
      <c r="G237" s="133">
        <f t="shared" si="109"/>
        <v>0</v>
      </c>
      <c r="H237" s="133">
        <f t="shared" si="109"/>
        <v>0</v>
      </c>
      <c r="I237" s="133">
        <f t="shared" si="109"/>
        <v>0</v>
      </c>
      <c r="J237" s="133">
        <f t="shared" si="109"/>
        <v>0</v>
      </c>
      <c r="K237" s="133">
        <f t="shared" si="109"/>
        <v>1.2209201862181771</v>
      </c>
      <c r="L237" s="133">
        <f t="shared" si="109"/>
        <v>1.2303149771421382</v>
      </c>
      <c r="M237" s="133">
        <f t="shared" si="109"/>
        <v>1.2323281466258438</v>
      </c>
      <c r="N237" s="133">
        <f t="shared" si="109"/>
        <v>1.2523256301639896</v>
      </c>
      <c r="O237" s="133">
        <f t="shared" si="109"/>
        <v>0</v>
      </c>
      <c r="P237" s="133">
        <f t="shared" si="109"/>
        <v>0</v>
      </c>
      <c r="Q237" s="133">
        <f t="shared" si="109"/>
        <v>0</v>
      </c>
      <c r="R237" s="133">
        <f t="shared" si="109"/>
        <v>0</v>
      </c>
      <c r="S237" s="133">
        <f t="shared" si="109"/>
        <v>0</v>
      </c>
      <c r="T237" s="133">
        <f t="shared" si="109"/>
        <v>0</v>
      </c>
      <c r="U237" s="133">
        <f t="shared" si="104"/>
        <v>0</v>
      </c>
      <c r="W237" s="308">
        <f t="shared" si="105"/>
        <v>0</v>
      </c>
      <c r="X237" s="308">
        <f t="shared" si="88"/>
        <v>0</v>
      </c>
      <c r="Y237" s="308">
        <f t="shared" si="89"/>
        <v>0</v>
      </c>
      <c r="Z237" s="308">
        <f t="shared" si="90"/>
        <v>0</v>
      </c>
      <c r="AA237" s="308">
        <f t="shared" si="91"/>
        <v>0</v>
      </c>
      <c r="AB237" s="308">
        <f t="shared" si="92"/>
        <v>0</v>
      </c>
      <c r="AC237" s="308">
        <f t="shared" si="93"/>
        <v>80.702822446045147</v>
      </c>
      <c r="AD237" s="308">
        <f t="shared" si="94"/>
        <v>81.323818111783666</v>
      </c>
      <c r="AE237" s="308">
        <f t="shared" si="95"/>
        <v>81.456888611584745</v>
      </c>
      <c r="AF237" s="308">
        <f t="shared" si="96"/>
        <v>82.77872224294245</v>
      </c>
      <c r="AG237" s="308">
        <f t="shared" si="97"/>
        <v>0</v>
      </c>
      <c r="AH237" s="308">
        <f t="shared" si="98"/>
        <v>0</v>
      </c>
      <c r="AI237" s="308">
        <f t="shared" si="99"/>
        <v>0</v>
      </c>
      <c r="AJ237" s="308">
        <f t="shared" si="100"/>
        <v>0</v>
      </c>
      <c r="AK237" s="308">
        <f t="shared" si="101"/>
        <v>0</v>
      </c>
      <c r="AL237" s="308">
        <f t="shared" si="102"/>
        <v>0</v>
      </c>
      <c r="AN237" s="327">
        <f t="shared" si="106"/>
        <v>81.565562853089006</v>
      </c>
      <c r="AO237" s="331">
        <f t="shared" si="107"/>
        <v>66.099998474121094</v>
      </c>
    </row>
    <row r="238" spans="2:41">
      <c r="B238" s="102">
        <f t="shared" si="103"/>
        <v>7</v>
      </c>
      <c r="C238" s="113">
        <f>PJM_01212000!A222</f>
        <v>42186</v>
      </c>
      <c r="D238" s="315">
        <f>PJM_01212000!C222</f>
        <v>118.19999694824219</v>
      </c>
      <c r="E238" s="133">
        <f t="shared" si="85"/>
        <v>0</v>
      </c>
      <c r="F238" s="133">
        <f t="shared" si="109"/>
        <v>0</v>
      </c>
      <c r="G238" s="133">
        <f t="shared" si="109"/>
        <v>0</v>
      </c>
      <c r="H238" s="133">
        <f t="shared" si="109"/>
        <v>0</v>
      </c>
      <c r="I238" s="133">
        <f t="shared" si="109"/>
        <v>0</v>
      </c>
      <c r="J238" s="133">
        <f t="shared" si="109"/>
        <v>0</v>
      </c>
      <c r="K238" s="133">
        <f t="shared" si="109"/>
        <v>0</v>
      </c>
      <c r="L238" s="133">
        <f t="shared" si="109"/>
        <v>1.2506946851612968</v>
      </c>
      <c r="M238" s="133">
        <f t="shared" si="109"/>
        <v>1.3273401940004199</v>
      </c>
      <c r="N238" s="133">
        <f t="shared" si="109"/>
        <v>1.3538888162792144</v>
      </c>
      <c r="O238" s="133">
        <f t="shared" si="109"/>
        <v>1.3203393586734773</v>
      </c>
      <c r="P238" s="133">
        <f t="shared" si="109"/>
        <v>0</v>
      </c>
      <c r="Q238" s="133">
        <f t="shared" si="109"/>
        <v>0</v>
      </c>
      <c r="R238" s="133">
        <f t="shared" si="109"/>
        <v>0</v>
      </c>
      <c r="S238" s="133">
        <f t="shared" si="109"/>
        <v>0</v>
      </c>
      <c r="T238" s="133">
        <f t="shared" si="109"/>
        <v>0</v>
      </c>
      <c r="U238" s="133">
        <f t="shared" si="104"/>
        <v>0</v>
      </c>
      <c r="W238" s="308">
        <f t="shared" si="105"/>
        <v>0</v>
      </c>
      <c r="X238" s="308">
        <f t="shared" si="88"/>
        <v>0</v>
      </c>
      <c r="Y238" s="308">
        <f t="shared" si="89"/>
        <v>0</v>
      </c>
      <c r="Z238" s="308">
        <f t="shared" si="90"/>
        <v>0</v>
      </c>
      <c r="AA238" s="308">
        <f t="shared" si="91"/>
        <v>0</v>
      </c>
      <c r="AB238" s="308">
        <f t="shared" si="92"/>
        <v>0</v>
      </c>
      <c r="AC238" s="308">
        <f t="shared" si="93"/>
        <v>0</v>
      </c>
      <c r="AD238" s="308">
        <f t="shared" si="94"/>
        <v>147.832107969248</v>
      </c>
      <c r="AE238" s="308">
        <f t="shared" si="95"/>
        <v>156.89160688012882</v>
      </c>
      <c r="AF238" s="308">
        <f t="shared" si="96"/>
        <v>160.02965395246238</v>
      </c>
      <c r="AG238" s="308">
        <f t="shared" si="97"/>
        <v>156.06410816584906</v>
      </c>
      <c r="AH238" s="308">
        <f t="shared" si="98"/>
        <v>0</v>
      </c>
      <c r="AI238" s="308">
        <f t="shared" si="99"/>
        <v>0</v>
      </c>
      <c r="AJ238" s="308">
        <f t="shared" si="100"/>
        <v>0</v>
      </c>
      <c r="AK238" s="308">
        <f t="shared" si="101"/>
        <v>0</v>
      </c>
      <c r="AL238" s="308">
        <f t="shared" si="102"/>
        <v>0</v>
      </c>
      <c r="AN238" s="327">
        <f t="shared" si="106"/>
        <v>155.20436924192205</v>
      </c>
      <c r="AO238" s="331">
        <f t="shared" si="107"/>
        <v>118.19999694824219</v>
      </c>
    </row>
    <row r="239" spans="2:41">
      <c r="B239" s="102">
        <f t="shared" si="103"/>
        <v>8</v>
      </c>
      <c r="C239" s="113">
        <f>PJM_01212000!A223</f>
        <v>42217</v>
      </c>
      <c r="D239" s="315">
        <f>PJM_01212000!C223</f>
        <v>105.19999694824219</v>
      </c>
      <c r="E239" s="133">
        <f t="shared" si="85"/>
        <v>0</v>
      </c>
      <c r="F239" s="133">
        <f t="shared" si="109"/>
        <v>0</v>
      </c>
      <c r="G239" s="133">
        <f t="shared" si="109"/>
        <v>0</v>
      </c>
      <c r="H239" s="133">
        <f t="shared" si="109"/>
        <v>0</v>
      </c>
      <c r="I239" s="133">
        <f t="shared" si="109"/>
        <v>0</v>
      </c>
      <c r="J239" s="133">
        <f t="shared" si="109"/>
        <v>0</v>
      </c>
      <c r="K239" s="133">
        <f t="shared" si="109"/>
        <v>1.1907290919069531</v>
      </c>
      <c r="L239" s="133">
        <f t="shared" si="109"/>
        <v>1.26057331025457</v>
      </c>
      <c r="M239" s="133">
        <f t="shared" si="109"/>
        <v>1.2430109342677418</v>
      </c>
      <c r="N239" s="133">
        <f t="shared" si="109"/>
        <v>1.2150462278887151</v>
      </c>
      <c r="O239" s="133">
        <f t="shared" si="109"/>
        <v>0</v>
      </c>
      <c r="P239" s="133">
        <f t="shared" si="109"/>
        <v>0</v>
      </c>
      <c r="Q239" s="133">
        <f t="shared" si="109"/>
        <v>0</v>
      </c>
      <c r="R239" s="133">
        <f t="shared" si="109"/>
        <v>0</v>
      </c>
      <c r="S239" s="133">
        <f t="shared" si="109"/>
        <v>0</v>
      </c>
      <c r="T239" s="133">
        <f t="shared" si="109"/>
        <v>0</v>
      </c>
      <c r="U239" s="133">
        <f t="shared" si="104"/>
        <v>0</v>
      </c>
      <c r="W239" s="308">
        <f t="shared" si="105"/>
        <v>0</v>
      </c>
      <c r="X239" s="308">
        <f t="shared" si="88"/>
        <v>0</v>
      </c>
      <c r="Y239" s="308">
        <f t="shared" si="89"/>
        <v>0</v>
      </c>
      <c r="Z239" s="308">
        <f t="shared" si="90"/>
        <v>0</v>
      </c>
      <c r="AA239" s="308">
        <f t="shared" si="91"/>
        <v>0</v>
      </c>
      <c r="AB239" s="308">
        <f t="shared" si="92"/>
        <v>0</v>
      </c>
      <c r="AC239" s="308">
        <f t="shared" si="93"/>
        <v>125.26469683479466</v>
      </c>
      <c r="AD239" s="308">
        <f t="shared" si="94"/>
        <v>132.61230839181633</v>
      </c>
      <c r="AE239" s="308">
        <f t="shared" si="95"/>
        <v>130.76474649159812</v>
      </c>
      <c r="AF239" s="308">
        <f t="shared" si="96"/>
        <v>127.822859465866</v>
      </c>
      <c r="AG239" s="308">
        <f t="shared" si="97"/>
        <v>0</v>
      </c>
      <c r="AH239" s="308">
        <f t="shared" si="98"/>
        <v>0</v>
      </c>
      <c r="AI239" s="308">
        <f t="shared" si="99"/>
        <v>0</v>
      </c>
      <c r="AJ239" s="308">
        <f t="shared" si="100"/>
        <v>0</v>
      </c>
      <c r="AK239" s="308">
        <f t="shared" si="101"/>
        <v>0</v>
      </c>
      <c r="AL239" s="308">
        <f t="shared" si="102"/>
        <v>0</v>
      </c>
      <c r="AN239" s="327">
        <f t="shared" si="106"/>
        <v>129.11615279601878</v>
      </c>
      <c r="AO239" s="331">
        <f t="shared" si="107"/>
        <v>105.19999694824219</v>
      </c>
    </row>
    <row r="240" spans="2:41">
      <c r="B240" s="102">
        <f t="shared" si="103"/>
        <v>9</v>
      </c>
      <c r="C240" s="113">
        <f>PJM_01212000!A224</f>
        <v>42248</v>
      </c>
      <c r="D240" s="315">
        <f>PJM_01212000!C224</f>
        <v>38.924998474121097</v>
      </c>
      <c r="E240" s="133">
        <f t="shared" si="85"/>
        <v>0</v>
      </c>
      <c r="F240" s="133">
        <f t="shared" ref="F240:T249" si="110">VLOOKUP($B240,$C$6:$Z$17,F$22+1)</f>
        <v>0</v>
      </c>
      <c r="G240" s="133">
        <f t="shared" si="110"/>
        <v>0</v>
      </c>
      <c r="H240" s="133">
        <f t="shared" si="110"/>
        <v>0</v>
      </c>
      <c r="I240" s="133">
        <f t="shared" si="110"/>
        <v>0</v>
      </c>
      <c r="J240" s="133">
        <f t="shared" si="110"/>
        <v>0</v>
      </c>
      <c r="K240" s="133">
        <f t="shared" si="110"/>
        <v>0</v>
      </c>
      <c r="L240" s="133">
        <f t="shared" si="110"/>
        <v>0</v>
      </c>
      <c r="M240" s="133">
        <f t="shared" si="110"/>
        <v>0</v>
      </c>
      <c r="N240" s="133">
        <f t="shared" si="110"/>
        <v>1.1345284089868721</v>
      </c>
      <c r="O240" s="133">
        <f t="shared" si="110"/>
        <v>1.1066962078625975</v>
      </c>
      <c r="P240" s="133">
        <f t="shared" si="110"/>
        <v>0</v>
      </c>
      <c r="Q240" s="133">
        <f t="shared" si="110"/>
        <v>1.184626371010566</v>
      </c>
      <c r="R240" s="133">
        <f t="shared" si="110"/>
        <v>1.1944408840385996</v>
      </c>
      <c r="S240" s="133">
        <f t="shared" si="110"/>
        <v>0</v>
      </c>
      <c r="T240" s="133">
        <f t="shared" si="110"/>
        <v>0</v>
      </c>
      <c r="U240" s="133">
        <f t="shared" si="104"/>
        <v>0</v>
      </c>
      <c r="W240" s="308">
        <f t="shared" si="105"/>
        <v>0</v>
      </c>
      <c r="X240" s="308">
        <f t="shared" si="88"/>
        <v>0</v>
      </c>
      <c r="Y240" s="308">
        <f t="shared" si="89"/>
        <v>0</v>
      </c>
      <c r="Z240" s="308">
        <f t="shared" si="90"/>
        <v>0</v>
      </c>
      <c r="AA240" s="308">
        <f t="shared" si="91"/>
        <v>0</v>
      </c>
      <c r="AB240" s="308">
        <f t="shared" si="92"/>
        <v>0</v>
      </c>
      <c r="AC240" s="308">
        <f t="shared" si="93"/>
        <v>0</v>
      </c>
      <c r="AD240" s="308">
        <f t="shared" si="94"/>
        <v>0</v>
      </c>
      <c r="AE240" s="308">
        <f t="shared" si="95"/>
        <v>0</v>
      </c>
      <c r="AF240" s="308">
        <f t="shared" si="96"/>
        <v>44.16151658866103</v>
      </c>
      <c r="AG240" s="308">
        <f t="shared" si="97"/>
        <v>43.07814820236721</v>
      </c>
      <c r="AH240" s="308">
        <f t="shared" si="98"/>
        <v>0</v>
      </c>
      <c r="AI240" s="308">
        <f t="shared" si="99"/>
        <v>46.111579683989895</v>
      </c>
      <c r="AJ240" s="308">
        <f t="shared" si="100"/>
        <v>46.493609588630342</v>
      </c>
      <c r="AK240" s="308">
        <f t="shared" si="101"/>
        <v>0</v>
      </c>
      <c r="AL240" s="308">
        <f t="shared" si="102"/>
        <v>0</v>
      </c>
      <c r="AN240" s="327">
        <f t="shared" si="106"/>
        <v>44.961213515912121</v>
      </c>
      <c r="AO240" s="331">
        <f t="shared" si="107"/>
        <v>38.924998474121097</v>
      </c>
    </row>
    <row r="241" spans="2:41">
      <c r="B241" s="102">
        <f t="shared" si="103"/>
        <v>10</v>
      </c>
      <c r="C241" s="113">
        <f>PJM_01212000!A225</f>
        <v>42278</v>
      </c>
      <c r="D241" s="315">
        <f>PJM_01212000!C225</f>
        <v>31.325000381469728</v>
      </c>
      <c r="E241" s="133">
        <f t="shared" si="85"/>
        <v>0</v>
      </c>
      <c r="F241" s="133">
        <f t="shared" si="110"/>
        <v>1.1326000000000001</v>
      </c>
      <c r="G241" s="133">
        <f t="shared" si="110"/>
        <v>0</v>
      </c>
      <c r="H241" s="133">
        <f t="shared" si="110"/>
        <v>0</v>
      </c>
      <c r="I241" s="133">
        <f t="shared" si="110"/>
        <v>0</v>
      </c>
      <c r="J241" s="133">
        <f t="shared" si="110"/>
        <v>0</v>
      </c>
      <c r="K241" s="133">
        <f t="shared" si="110"/>
        <v>0</v>
      </c>
      <c r="L241" s="133">
        <f t="shared" si="110"/>
        <v>0</v>
      </c>
      <c r="M241" s="133">
        <f t="shared" si="110"/>
        <v>0</v>
      </c>
      <c r="N241" s="133">
        <f t="shared" si="110"/>
        <v>0</v>
      </c>
      <c r="O241" s="133">
        <f t="shared" si="110"/>
        <v>1.2000999999999999</v>
      </c>
      <c r="P241" s="133">
        <f t="shared" si="110"/>
        <v>1.2095</v>
      </c>
      <c r="Q241" s="133">
        <f t="shared" si="110"/>
        <v>1.1567000000000001</v>
      </c>
      <c r="R241" s="133">
        <f t="shared" si="110"/>
        <v>0</v>
      </c>
      <c r="S241" s="133">
        <f t="shared" si="110"/>
        <v>0</v>
      </c>
      <c r="T241" s="133">
        <f t="shared" si="110"/>
        <v>0</v>
      </c>
      <c r="U241" s="133">
        <f t="shared" si="104"/>
        <v>0</v>
      </c>
      <c r="W241" s="308">
        <f t="shared" si="105"/>
        <v>0</v>
      </c>
      <c r="X241" s="308">
        <f t="shared" si="88"/>
        <v>35.478695432052618</v>
      </c>
      <c r="Y241" s="308">
        <f t="shared" si="89"/>
        <v>0</v>
      </c>
      <c r="Z241" s="308">
        <f t="shared" si="90"/>
        <v>0</v>
      </c>
      <c r="AA241" s="308">
        <f t="shared" si="91"/>
        <v>0</v>
      </c>
      <c r="AB241" s="308">
        <f t="shared" si="92"/>
        <v>0</v>
      </c>
      <c r="AC241" s="308">
        <f t="shared" si="93"/>
        <v>0</v>
      </c>
      <c r="AD241" s="308">
        <f t="shared" si="94"/>
        <v>0</v>
      </c>
      <c r="AE241" s="308">
        <f t="shared" si="95"/>
        <v>0</v>
      </c>
      <c r="AF241" s="308">
        <f t="shared" si="96"/>
        <v>0</v>
      </c>
      <c r="AG241" s="308">
        <f t="shared" si="97"/>
        <v>37.593132957801821</v>
      </c>
      <c r="AH241" s="308">
        <f t="shared" si="98"/>
        <v>37.887587961387638</v>
      </c>
      <c r="AI241" s="308">
        <f t="shared" si="99"/>
        <v>36.233627941246034</v>
      </c>
      <c r="AJ241" s="308">
        <f t="shared" si="100"/>
        <v>0</v>
      </c>
      <c r="AK241" s="308">
        <f t="shared" si="101"/>
        <v>0</v>
      </c>
      <c r="AL241" s="308">
        <f t="shared" si="102"/>
        <v>0</v>
      </c>
      <c r="AN241" s="327">
        <f t="shared" si="106"/>
        <v>36.798261073122028</v>
      </c>
      <c r="AO241" s="331">
        <f t="shared" si="107"/>
        <v>31.325000381469728</v>
      </c>
    </row>
    <row r="242" spans="2:41">
      <c r="B242" s="102">
        <f t="shared" si="103"/>
        <v>11</v>
      </c>
      <c r="C242" s="113">
        <f>PJM_01212000!A226</f>
        <v>42309</v>
      </c>
      <c r="D242" s="315">
        <f>PJM_01212000!C226</f>
        <v>30.997499084472658</v>
      </c>
      <c r="E242" s="133">
        <f t="shared" si="85"/>
        <v>0</v>
      </c>
      <c r="F242" s="133">
        <f t="shared" si="110"/>
        <v>1.1426000000000001</v>
      </c>
      <c r="G242" s="133">
        <f t="shared" si="110"/>
        <v>0</v>
      </c>
      <c r="H242" s="133">
        <f t="shared" si="110"/>
        <v>0</v>
      </c>
      <c r="I242" s="133">
        <f t="shared" si="110"/>
        <v>0</v>
      </c>
      <c r="J242" s="133">
        <f t="shared" si="110"/>
        <v>0</v>
      </c>
      <c r="K242" s="133">
        <f t="shared" si="110"/>
        <v>0</v>
      </c>
      <c r="L242" s="133">
        <f t="shared" si="110"/>
        <v>0</v>
      </c>
      <c r="M242" s="133">
        <f t="shared" si="110"/>
        <v>0</v>
      </c>
      <c r="N242" s="133">
        <f t="shared" si="110"/>
        <v>0</v>
      </c>
      <c r="O242" s="133">
        <f t="shared" si="110"/>
        <v>1.2171000000000001</v>
      </c>
      <c r="P242" s="133">
        <f t="shared" si="110"/>
        <v>1.2269000000000001</v>
      </c>
      <c r="Q242" s="133">
        <f t="shared" si="110"/>
        <v>1.1767000000000001</v>
      </c>
      <c r="R242" s="133">
        <f t="shared" si="110"/>
        <v>0</v>
      </c>
      <c r="S242" s="133">
        <f t="shared" si="110"/>
        <v>0</v>
      </c>
      <c r="T242" s="133">
        <f t="shared" si="110"/>
        <v>0</v>
      </c>
      <c r="U242" s="133">
        <f t="shared" si="104"/>
        <v>0</v>
      </c>
      <c r="W242" s="308">
        <f t="shared" si="105"/>
        <v>0</v>
      </c>
      <c r="X242" s="308">
        <f t="shared" si="88"/>
        <v>35.417742453918457</v>
      </c>
      <c r="Y242" s="308">
        <f t="shared" si="89"/>
        <v>0</v>
      </c>
      <c r="Z242" s="308">
        <f t="shared" si="90"/>
        <v>0</v>
      </c>
      <c r="AA242" s="308">
        <f t="shared" si="91"/>
        <v>0</v>
      </c>
      <c r="AB242" s="308">
        <f t="shared" si="92"/>
        <v>0</v>
      </c>
      <c r="AC242" s="308">
        <f t="shared" si="93"/>
        <v>0</v>
      </c>
      <c r="AD242" s="308">
        <f t="shared" si="94"/>
        <v>0</v>
      </c>
      <c r="AE242" s="308">
        <f t="shared" si="95"/>
        <v>0</v>
      </c>
      <c r="AF242" s="308">
        <f t="shared" si="96"/>
        <v>0</v>
      </c>
      <c r="AG242" s="308">
        <f t="shared" si="97"/>
        <v>37.72705613571167</v>
      </c>
      <c r="AH242" s="308">
        <f t="shared" si="98"/>
        <v>38.030831626739506</v>
      </c>
      <c r="AI242" s="308">
        <f t="shared" si="99"/>
        <v>36.474757172698979</v>
      </c>
      <c r="AJ242" s="308">
        <f t="shared" si="100"/>
        <v>0</v>
      </c>
      <c r="AK242" s="308">
        <f t="shared" si="101"/>
        <v>0</v>
      </c>
      <c r="AL242" s="308">
        <f t="shared" si="102"/>
        <v>0</v>
      </c>
      <c r="AN242" s="327">
        <f t="shared" si="106"/>
        <v>36.912596847267153</v>
      </c>
      <c r="AO242" s="331">
        <f t="shared" si="107"/>
        <v>30.997499084472658</v>
      </c>
    </row>
    <row r="243" spans="2:41">
      <c r="B243" s="102">
        <f t="shared" si="103"/>
        <v>12</v>
      </c>
      <c r="C243" s="113">
        <f>PJM_01212000!A227</f>
        <v>42339</v>
      </c>
      <c r="D243" s="315">
        <f>PJM_01212000!C227</f>
        <v>32.749999618530275</v>
      </c>
      <c r="E243" s="133">
        <f t="shared" si="85"/>
        <v>0</v>
      </c>
      <c r="F243" s="133">
        <f t="shared" si="110"/>
        <v>1.1637999999999999</v>
      </c>
      <c r="G243" s="133">
        <f t="shared" si="110"/>
        <v>0</v>
      </c>
      <c r="H243" s="133">
        <f t="shared" si="110"/>
        <v>0</v>
      </c>
      <c r="I243" s="133">
        <f t="shared" si="110"/>
        <v>0</v>
      </c>
      <c r="J243" s="133">
        <f t="shared" si="110"/>
        <v>0</v>
      </c>
      <c r="K243" s="133">
        <f t="shared" si="110"/>
        <v>0</v>
      </c>
      <c r="L243" s="133">
        <f t="shared" si="110"/>
        <v>0</v>
      </c>
      <c r="M243" s="133">
        <f t="shared" si="110"/>
        <v>0</v>
      </c>
      <c r="N243" s="133">
        <f t="shared" si="110"/>
        <v>0</v>
      </c>
      <c r="O243" s="133">
        <f t="shared" si="110"/>
        <v>1.2396592528631896</v>
      </c>
      <c r="P243" s="133">
        <f t="shared" si="110"/>
        <v>1.2314000000000001</v>
      </c>
      <c r="Q243" s="133">
        <f t="shared" si="110"/>
        <v>1.1889963083145296</v>
      </c>
      <c r="R243" s="133">
        <f t="shared" si="110"/>
        <v>0</v>
      </c>
      <c r="S243" s="133">
        <f t="shared" si="110"/>
        <v>0</v>
      </c>
      <c r="T243" s="133">
        <f t="shared" si="110"/>
        <v>0</v>
      </c>
      <c r="U243" s="133">
        <f t="shared" si="104"/>
        <v>0</v>
      </c>
      <c r="W243" s="308">
        <f t="shared" si="105"/>
        <v>0</v>
      </c>
      <c r="X243" s="308">
        <f t="shared" si="88"/>
        <v>38.114449556045535</v>
      </c>
      <c r="Y243" s="308">
        <f t="shared" si="89"/>
        <v>0</v>
      </c>
      <c r="Z243" s="308">
        <f t="shared" si="90"/>
        <v>0</v>
      </c>
      <c r="AA243" s="308">
        <f t="shared" si="91"/>
        <v>0</v>
      </c>
      <c r="AB243" s="308">
        <f t="shared" si="92"/>
        <v>0</v>
      </c>
      <c r="AC243" s="308">
        <f t="shared" si="93"/>
        <v>0</v>
      </c>
      <c r="AD243" s="308">
        <f t="shared" si="94"/>
        <v>0</v>
      </c>
      <c r="AE243" s="308">
        <f t="shared" si="95"/>
        <v>0</v>
      </c>
      <c r="AF243" s="308">
        <f t="shared" si="96"/>
        <v>0</v>
      </c>
      <c r="AG243" s="308">
        <f t="shared" si="97"/>
        <v>40.598840058376986</v>
      </c>
      <c r="AH243" s="308">
        <f t="shared" si="98"/>
        <v>40.32834953025818</v>
      </c>
      <c r="AI243" s="308">
        <f t="shared" si="99"/>
        <v>38.93962864373475</v>
      </c>
      <c r="AJ243" s="308">
        <f t="shared" si="100"/>
        <v>0</v>
      </c>
      <c r="AK243" s="308">
        <f t="shared" si="101"/>
        <v>0</v>
      </c>
      <c r="AL243" s="308">
        <f t="shared" si="102"/>
        <v>0</v>
      </c>
      <c r="AN243" s="327">
        <f t="shared" si="106"/>
        <v>39.495316947103859</v>
      </c>
      <c r="AO243" s="331">
        <f t="shared" si="107"/>
        <v>32.749999618530275</v>
      </c>
    </row>
    <row r="244" spans="2:41">
      <c r="B244" s="102">
        <f t="shared" si="103"/>
        <v>1</v>
      </c>
      <c r="C244" s="113">
        <f>PJM_01212000!A228</f>
        <v>42370</v>
      </c>
      <c r="D244" s="315">
        <f>PJM_01212000!C228</f>
        <v>41.324998474121088</v>
      </c>
      <c r="E244" s="133">
        <f t="shared" si="85"/>
        <v>0</v>
      </c>
      <c r="F244" s="133">
        <f t="shared" si="110"/>
        <v>1.1998117566192825</v>
      </c>
      <c r="G244" s="133">
        <f t="shared" si="110"/>
        <v>1.1961600115620716</v>
      </c>
      <c r="H244" s="133">
        <f t="shared" si="110"/>
        <v>0</v>
      </c>
      <c r="I244" s="133">
        <f t="shared" si="110"/>
        <v>0</v>
      </c>
      <c r="J244" s="133">
        <f t="shared" si="110"/>
        <v>0</v>
      </c>
      <c r="K244" s="133">
        <f t="shared" si="110"/>
        <v>0</v>
      </c>
      <c r="L244" s="133">
        <f t="shared" si="110"/>
        <v>0</v>
      </c>
      <c r="M244" s="133">
        <f t="shared" si="110"/>
        <v>0</v>
      </c>
      <c r="N244" s="133">
        <f t="shared" si="110"/>
        <v>0</v>
      </c>
      <c r="O244" s="133">
        <f t="shared" si="110"/>
        <v>0</v>
      </c>
      <c r="P244" s="133">
        <f t="shared" si="110"/>
        <v>1.2818992289435116</v>
      </c>
      <c r="Q244" s="133">
        <f t="shared" si="110"/>
        <v>1.2270000000000001</v>
      </c>
      <c r="R244" s="133">
        <f t="shared" si="110"/>
        <v>0</v>
      </c>
      <c r="S244" s="133">
        <f t="shared" si="110"/>
        <v>0</v>
      </c>
      <c r="T244" s="133">
        <f t="shared" si="110"/>
        <v>0</v>
      </c>
      <c r="U244" s="133">
        <f t="shared" si="104"/>
        <v>0</v>
      </c>
      <c r="W244" s="308">
        <f t="shared" si="105"/>
        <v>0</v>
      </c>
      <c r="X244" s="308">
        <f t="shared" si="88"/>
        <v>49.582219011524394</v>
      </c>
      <c r="Y244" s="308">
        <f t="shared" si="89"/>
        <v>49.431310652607273</v>
      </c>
      <c r="Z244" s="308">
        <f t="shared" si="90"/>
        <v>0</v>
      </c>
      <c r="AA244" s="308">
        <f t="shared" si="91"/>
        <v>0</v>
      </c>
      <c r="AB244" s="308">
        <f t="shared" si="92"/>
        <v>0</v>
      </c>
      <c r="AC244" s="308">
        <f t="shared" si="93"/>
        <v>0</v>
      </c>
      <c r="AD244" s="308">
        <f t="shared" si="94"/>
        <v>0</v>
      </c>
      <c r="AE244" s="308">
        <f t="shared" si="95"/>
        <v>0</v>
      </c>
      <c r="AF244" s="308">
        <f t="shared" si="96"/>
        <v>0</v>
      </c>
      <c r="AG244" s="308">
        <f t="shared" si="97"/>
        <v>0</v>
      </c>
      <c r="AH244" s="308">
        <f t="shared" si="98"/>
        <v>52.974483680067614</v>
      </c>
      <c r="AI244" s="308">
        <f t="shared" si="99"/>
        <v>50.705773127746582</v>
      </c>
      <c r="AJ244" s="308">
        <f t="shared" si="100"/>
        <v>0</v>
      </c>
      <c r="AK244" s="308">
        <f t="shared" si="101"/>
        <v>0</v>
      </c>
      <c r="AL244" s="308">
        <f t="shared" si="102"/>
        <v>0</v>
      </c>
      <c r="AN244" s="327">
        <f t="shared" si="106"/>
        <v>50.673446617986471</v>
      </c>
      <c r="AO244" s="331">
        <f t="shared" si="107"/>
        <v>41.324998474121088</v>
      </c>
    </row>
    <row r="245" spans="2:41">
      <c r="B245" s="102">
        <f t="shared" si="103"/>
        <v>2</v>
      </c>
      <c r="C245" s="113">
        <f>PJM_01212000!A229</f>
        <v>42401</v>
      </c>
      <c r="D245" s="315">
        <f>PJM_01212000!C229</f>
        <v>41.324998474121088</v>
      </c>
      <c r="E245" s="133">
        <f t="shared" si="85"/>
        <v>0</v>
      </c>
      <c r="F245" s="133">
        <f t="shared" si="110"/>
        <v>1.1998117566192825</v>
      </c>
      <c r="G245" s="133">
        <f t="shared" si="110"/>
        <v>1.1961600115620716</v>
      </c>
      <c r="H245" s="133">
        <f t="shared" si="110"/>
        <v>0</v>
      </c>
      <c r="I245" s="133">
        <f t="shared" si="110"/>
        <v>0</v>
      </c>
      <c r="J245" s="133">
        <f t="shared" si="110"/>
        <v>0</v>
      </c>
      <c r="K245" s="133">
        <f t="shared" si="110"/>
        <v>0</v>
      </c>
      <c r="L245" s="133">
        <f t="shared" si="110"/>
        <v>0</v>
      </c>
      <c r="M245" s="133">
        <f t="shared" si="110"/>
        <v>0</v>
      </c>
      <c r="N245" s="133">
        <f t="shared" si="110"/>
        <v>0</v>
      </c>
      <c r="O245" s="133">
        <f t="shared" si="110"/>
        <v>0</v>
      </c>
      <c r="P245" s="133">
        <f t="shared" si="110"/>
        <v>1.2818992289435116</v>
      </c>
      <c r="Q245" s="133">
        <f t="shared" si="110"/>
        <v>1.2270000000000001</v>
      </c>
      <c r="R245" s="133">
        <f t="shared" si="110"/>
        <v>0</v>
      </c>
      <c r="S245" s="133">
        <f t="shared" si="110"/>
        <v>0</v>
      </c>
      <c r="T245" s="133">
        <f t="shared" si="110"/>
        <v>0</v>
      </c>
      <c r="U245" s="133">
        <f t="shared" si="104"/>
        <v>0</v>
      </c>
      <c r="W245" s="308">
        <f t="shared" si="105"/>
        <v>0</v>
      </c>
      <c r="X245" s="308">
        <f t="shared" si="88"/>
        <v>49.582219011524394</v>
      </c>
      <c r="Y245" s="308">
        <f t="shared" si="89"/>
        <v>49.431310652607273</v>
      </c>
      <c r="Z245" s="308">
        <f t="shared" si="90"/>
        <v>0</v>
      </c>
      <c r="AA245" s="308">
        <f t="shared" si="91"/>
        <v>0</v>
      </c>
      <c r="AB245" s="308">
        <f t="shared" si="92"/>
        <v>0</v>
      </c>
      <c r="AC245" s="308">
        <f t="shared" si="93"/>
        <v>0</v>
      </c>
      <c r="AD245" s="308">
        <f t="shared" si="94"/>
        <v>0</v>
      </c>
      <c r="AE245" s="308">
        <f t="shared" si="95"/>
        <v>0</v>
      </c>
      <c r="AF245" s="308">
        <f t="shared" si="96"/>
        <v>0</v>
      </c>
      <c r="AG245" s="308">
        <f t="shared" si="97"/>
        <v>0</v>
      </c>
      <c r="AH245" s="308">
        <f t="shared" si="98"/>
        <v>52.974483680067614</v>
      </c>
      <c r="AI245" s="308">
        <f t="shared" si="99"/>
        <v>50.705773127746582</v>
      </c>
      <c r="AJ245" s="308">
        <f t="shared" si="100"/>
        <v>0</v>
      </c>
      <c r="AK245" s="308">
        <f t="shared" si="101"/>
        <v>0</v>
      </c>
      <c r="AL245" s="308">
        <f t="shared" si="102"/>
        <v>0</v>
      </c>
      <c r="AN245" s="327">
        <f t="shared" si="106"/>
        <v>50.673446617986471</v>
      </c>
      <c r="AO245" s="331">
        <f t="shared" si="107"/>
        <v>41.324998474121088</v>
      </c>
    </row>
    <row r="246" spans="2:41">
      <c r="B246" s="102">
        <f t="shared" si="103"/>
        <v>3</v>
      </c>
      <c r="C246" s="113">
        <f>PJM_01212000!A230</f>
        <v>42430</v>
      </c>
      <c r="D246" s="315">
        <f>PJM_01212000!C230</f>
        <v>31.050000762939455</v>
      </c>
      <c r="E246" s="133">
        <f t="shared" si="85"/>
        <v>0</v>
      </c>
      <c r="F246" s="133">
        <f t="shared" si="110"/>
        <v>1.1898</v>
      </c>
      <c r="G246" s="133">
        <f t="shared" si="110"/>
        <v>1.1861999999999999</v>
      </c>
      <c r="H246" s="133">
        <f t="shared" si="110"/>
        <v>0</v>
      </c>
      <c r="I246" s="133">
        <f t="shared" si="110"/>
        <v>0</v>
      </c>
      <c r="J246" s="133">
        <f t="shared" si="110"/>
        <v>0</v>
      </c>
      <c r="K246" s="133">
        <f t="shared" si="110"/>
        <v>0</v>
      </c>
      <c r="L246" s="133">
        <f t="shared" si="110"/>
        <v>0</v>
      </c>
      <c r="M246" s="133">
        <f t="shared" si="110"/>
        <v>0</v>
      </c>
      <c r="N246" s="133">
        <f t="shared" si="110"/>
        <v>0</v>
      </c>
      <c r="O246" s="133">
        <f t="shared" si="110"/>
        <v>0</v>
      </c>
      <c r="P246" s="133">
        <f t="shared" si="110"/>
        <v>1.2719</v>
      </c>
      <c r="Q246" s="133">
        <f t="shared" si="110"/>
        <v>1.2170000000000001</v>
      </c>
      <c r="R246" s="133">
        <f t="shared" si="110"/>
        <v>0</v>
      </c>
      <c r="S246" s="133">
        <f t="shared" si="110"/>
        <v>0</v>
      </c>
      <c r="T246" s="133">
        <f t="shared" si="110"/>
        <v>0</v>
      </c>
      <c r="U246" s="133">
        <f t="shared" si="104"/>
        <v>0</v>
      </c>
      <c r="W246" s="308">
        <f t="shared" si="105"/>
        <v>0</v>
      </c>
      <c r="X246" s="308">
        <f t="shared" si="88"/>
        <v>36.943290907745364</v>
      </c>
      <c r="Y246" s="308">
        <f t="shared" si="89"/>
        <v>36.83151090499878</v>
      </c>
      <c r="Z246" s="308">
        <f t="shared" si="90"/>
        <v>0</v>
      </c>
      <c r="AA246" s="308">
        <f t="shared" si="91"/>
        <v>0</v>
      </c>
      <c r="AB246" s="308">
        <f t="shared" si="92"/>
        <v>0</v>
      </c>
      <c r="AC246" s="308">
        <f t="shared" si="93"/>
        <v>0</v>
      </c>
      <c r="AD246" s="308">
        <f t="shared" si="94"/>
        <v>0</v>
      </c>
      <c r="AE246" s="308">
        <f t="shared" si="95"/>
        <v>0</v>
      </c>
      <c r="AF246" s="308">
        <f t="shared" si="96"/>
        <v>0</v>
      </c>
      <c r="AG246" s="308">
        <f t="shared" si="97"/>
        <v>0</v>
      </c>
      <c r="AH246" s="308">
        <f t="shared" si="98"/>
        <v>39.492495970382691</v>
      </c>
      <c r="AI246" s="308">
        <f t="shared" si="99"/>
        <v>37.787850928497321</v>
      </c>
      <c r="AJ246" s="308">
        <f t="shared" si="100"/>
        <v>0</v>
      </c>
      <c r="AK246" s="308">
        <f t="shared" si="101"/>
        <v>0</v>
      </c>
      <c r="AL246" s="308">
        <f t="shared" si="102"/>
        <v>0</v>
      </c>
      <c r="AN246" s="327">
        <f t="shared" si="106"/>
        <v>37.763787177906039</v>
      </c>
      <c r="AO246" s="331">
        <f t="shared" si="107"/>
        <v>31.050000762939455</v>
      </c>
    </row>
    <row r="247" spans="2:41">
      <c r="B247" s="102">
        <f t="shared" si="103"/>
        <v>4</v>
      </c>
      <c r="C247" s="113">
        <f>PJM_01212000!A231</f>
        <v>42461</v>
      </c>
      <c r="D247" s="315">
        <f>PJM_01212000!C231</f>
        <v>30.825000762939453</v>
      </c>
      <c r="E247" s="133">
        <f t="shared" si="85"/>
        <v>1.1232726508202047</v>
      </c>
      <c r="F247" s="133">
        <f t="shared" si="110"/>
        <v>1.1413154461256174</v>
      </c>
      <c r="G247" s="133">
        <f t="shared" si="110"/>
        <v>0</v>
      </c>
      <c r="H247" s="133">
        <f t="shared" si="110"/>
        <v>0</v>
      </c>
      <c r="I247" s="133">
        <f t="shared" si="110"/>
        <v>1.1185245467924647</v>
      </c>
      <c r="J247" s="133">
        <f t="shared" si="110"/>
        <v>0</v>
      </c>
      <c r="K247" s="133">
        <f t="shared" si="110"/>
        <v>0</v>
      </c>
      <c r="L247" s="133">
        <f t="shared" si="110"/>
        <v>0</v>
      </c>
      <c r="M247" s="133">
        <f t="shared" si="110"/>
        <v>0</v>
      </c>
      <c r="N247" s="133">
        <f t="shared" si="110"/>
        <v>0</v>
      </c>
      <c r="O247" s="133">
        <f t="shared" si="110"/>
        <v>0</v>
      </c>
      <c r="P247" s="133">
        <f t="shared" si="110"/>
        <v>0</v>
      </c>
      <c r="Q247" s="133">
        <f t="shared" si="110"/>
        <v>0</v>
      </c>
      <c r="R247" s="133">
        <f t="shared" si="110"/>
        <v>1.1543365178491491</v>
      </c>
      <c r="S247" s="133">
        <f t="shared" si="110"/>
        <v>0</v>
      </c>
      <c r="T247" s="133">
        <f t="shared" si="110"/>
        <v>0</v>
      </c>
      <c r="U247" s="133">
        <f t="shared" si="104"/>
        <v>0</v>
      </c>
      <c r="W247" s="308">
        <f t="shared" si="105"/>
        <v>34.624880318521832</v>
      </c>
      <c r="X247" s="308">
        <f t="shared" si="88"/>
        <v>35.181049497576737</v>
      </c>
      <c r="Y247" s="308">
        <f t="shared" si="89"/>
        <v>0</v>
      </c>
      <c r="Z247" s="308">
        <f t="shared" si="90"/>
        <v>0</v>
      </c>
      <c r="AA247" s="308">
        <f t="shared" si="91"/>
        <v>34.478520008244232</v>
      </c>
      <c r="AB247" s="308">
        <f t="shared" si="92"/>
        <v>0</v>
      </c>
      <c r="AC247" s="308">
        <f t="shared" si="93"/>
        <v>0</v>
      </c>
      <c r="AD247" s="308">
        <f t="shared" si="94"/>
        <v>0</v>
      </c>
      <c r="AE247" s="308">
        <f t="shared" si="95"/>
        <v>0</v>
      </c>
      <c r="AF247" s="308">
        <f t="shared" si="96"/>
        <v>0</v>
      </c>
      <c r="AG247" s="308">
        <f t="shared" si="97"/>
        <v>0</v>
      </c>
      <c r="AH247" s="308">
        <f t="shared" si="98"/>
        <v>0</v>
      </c>
      <c r="AI247" s="308">
        <f t="shared" si="99"/>
        <v>0</v>
      </c>
      <c r="AJ247" s="308">
        <f t="shared" si="100"/>
        <v>35.582424043388897</v>
      </c>
      <c r="AK247" s="308">
        <f t="shared" si="101"/>
        <v>0</v>
      </c>
      <c r="AL247" s="308">
        <f t="shared" si="102"/>
        <v>0</v>
      </c>
      <c r="AN247" s="327">
        <f t="shared" si="106"/>
        <v>34.966718466932925</v>
      </c>
      <c r="AO247" s="331">
        <f t="shared" si="107"/>
        <v>30.825000762939453</v>
      </c>
    </row>
    <row r="248" spans="2:41">
      <c r="B248" s="102">
        <f t="shared" si="103"/>
        <v>5</v>
      </c>
      <c r="C248" s="113">
        <f>PJM_01212000!A232</f>
        <v>42491</v>
      </c>
      <c r="D248" s="315">
        <f>PJM_01212000!C232</f>
        <v>38.825000000000003</v>
      </c>
      <c r="E248" s="133">
        <f t="shared" si="85"/>
        <v>0</v>
      </c>
      <c r="F248" s="133">
        <f t="shared" si="110"/>
        <v>0</v>
      </c>
      <c r="G248" s="133">
        <f t="shared" si="110"/>
        <v>1.0610266218026732</v>
      </c>
      <c r="H248" s="133">
        <f t="shared" si="110"/>
        <v>1.1254998619307197</v>
      </c>
      <c r="I248" s="133">
        <f t="shared" si="110"/>
        <v>1.1169907033351396</v>
      </c>
      <c r="J248" s="133">
        <f t="shared" si="110"/>
        <v>0</v>
      </c>
      <c r="K248" s="133">
        <f t="shared" si="110"/>
        <v>0</v>
      </c>
      <c r="L248" s="133">
        <f t="shared" si="110"/>
        <v>0</v>
      </c>
      <c r="M248" s="133">
        <f t="shared" si="110"/>
        <v>0</v>
      </c>
      <c r="N248" s="133">
        <f t="shared" si="110"/>
        <v>0</v>
      </c>
      <c r="O248" s="133">
        <f t="shared" si="110"/>
        <v>0</v>
      </c>
      <c r="P248" s="133">
        <f t="shared" si="110"/>
        <v>0</v>
      </c>
      <c r="Q248" s="133">
        <f t="shared" si="110"/>
        <v>0</v>
      </c>
      <c r="R248" s="133">
        <f t="shared" si="110"/>
        <v>1.0876995612465097</v>
      </c>
      <c r="S248" s="133">
        <f t="shared" si="110"/>
        <v>0</v>
      </c>
      <c r="T248" s="133">
        <f t="shared" si="110"/>
        <v>0</v>
      </c>
      <c r="U248" s="133">
        <f t="shared" si="104"/>
        <v>0</v>
      </c>
      <c r="W248" s="308">
        <f t="shared" si="105"/>
        <v>0</v>
      </c>
      <c r="X248" s="308">
        <f t="shared" si="88"/>
        <v>0</v>
      </c>
      <c r="Y248" s="308">
        <f t="shared" si="89"/>
        <v>41.194358591488786</v>
      </c>
      <c r="Z248" s="308">
        <f t="shared" si="90"/>
        <v>43.697532139460193</v>
      </c>
      <c r="AA248" s="308">
        <f t="shared" si="91"/>
        <v>43.367164056986802</v>
      </c>
      <c r="AB248" s="308">
        <f t="shared" si="92"/>
        <v>0</v>
      </c>
      <c r="AC248" s="308">
        <f t="shared" si="93"/>
        <v>0</v>
      </c>
      <c r="AD248" s="308">
        <f t="shared" si="94"/>
        <v>0</v>
      </c>
      <c r="AE248" s="308">
        <f t="shared" si="95"/>
        <v>0</v>
      </c>
      <c r="AF248" s="308">
        <f t="shared" si="96"/>
        <v>0</v>
      </c>
      <c r="AG248" s="308">
        <f t="shared" si="97"/>
        <v>0</v>
      </c>
      <c r="AH248" s="308">
        <f t="shared" si="98"/>
        <v>0</v>
      </c>
      <c r="AI248" s="308">
        <f t="shared" si="99"/>
        <v>0</v>
      </c>
      <c r="AJ248" s="308">
        <f t="shared" si="100"/>
        <v>42.229935465395741</v>
      </c>
      <c r="AK248" s="308">
        <f t="shared" si="101"/>
        <v>0</v>
      </c>
      <c r="AL248" s="308">
        <f t="shared" si="102"/>
        <v>0</v>
      </c>
      <c r="AN248" s="327">
        <f t="shared" si="106"/>
        <v>42.622247563332877</v>
      </c>
      <c r="AO248" s="331">
        <f t="shared" si="107"/>
        <v>38.825000000000003</v>
      </c>
    </row>
    <row r="249" spans="2:41">
      <c r="B249" s="102">
        <f t="shared" si="103"/>
        <v>6</v>
      </c>
      <c r="C249" s="113">
        <f>PJM_01212000!A233</f>
        <v>42522</v>
      </c>
      <c r="D249" s="315">
        <f>PJM_01212000!C233</f>
        <v>66.849998474121094</v>
      </c>
      <c r="E249" s="133">
        <f t="shared" si="85"/>
        <v>0</v>
      </c>
      <c r="F249" s="133">
        <f t="shared" si="110"/>
        <v>0</v>
      </c>
      <c r="G249" s="133">
        <f t="shared" si="110"/>
        <v>0</v>
      </c>
      <c r="H249" s="133">
        <f t="shared" si="110"/>
        <v>0</v>
      </c>
      <c r="I249" s="133">
        <f t="shared" si="110"/>
        <v>0</v>
      </c>
      <c r="J249" s="133">
        <f t="shared" si="110"/>
        <v>0</v>
      </c>
      <c r="K249" s="133">
        <f t="shared" si="110"/>
        <v>1.2209201862181771</v>
      </c>
      <c r="L249" s="133">
        <f t="shared" si="110"/>
        <v>1.2303149771421382</v>
      </c>
      <c r="M249" s="133">
        <f t="shared" si="110"/>
        <v>1.2323281466258438</v>
      </c>
      <c r="N249" s="133">
        <f t="shared" si="110"/>
        <v>1.2523256301639896</v>
      </c>
      <c r="O249" s="133">
        <f t="shared" si="110"/>
        <v>0</v>
      </c>
      <c r="P249" s="133">
        <f t="shared" si="110"/>
        <v>0</v>
      </c>
      <c r="Q249" s="133">
        <f t="shared" si="110"/>
        <v>0</v>
      </c>
      <c r="R249" s="133">
        <f t="shared" si="110"/>
        <v>0</v>
      </c>
      <c r="S249" s="133">
        <f t="shared" si="110"/>
        <v>0</v>
      </c>
      <c r="T249" s="133">
        <f t="shared" si="110"/>
        <v>0</v>
      </c>
      <c r="U249" s="133">
        <f t="shared" si="104"/>
        <v>0</v>
      </c>
      <c r="W249" s="308">
        <f t="shared" si="105"/>
        <v>0</v>
      </c>
      <c r="X249" s="308">
        <f t="shared" si="88"/>
        <v>0</v>
      </c>
      <c r="Y249" s="308">
        <f t="shared" si="89"/>
        <v>0</v>
      </c>
      <c r="Z249" s="308">
        <f t="shared" si="90"/>
        <v>0</v>
      </c>
      <c r="AA249" s="308">
        <f t="shared" si="91"/>
        <v>0</v>
      </c>
      <c r="AB249" s="308">
        <f t="shared" si="92"/>
        <v>0</v>
      </c>
      <c r="AC249" s="308">
        <f t="shared" si="93"/>
        <v>81.618512585708785</v>
      </c>
      <c r="AD249" s="308">
        <f t="shared" si="94"/>
        <v>82.246554344640273</v>
      </c>
      <c r="AE249" s="308">
        <f t="shared" si="95"/>
        <v>82.381134721554133</v>
      </c>
      <c r="AF249" s="308">
        <f t="shared" si="96"/>
        <v>83.717966465565439</v>
      </c>
      <c r="AG249" s="308">
        <f t="shared" si="97"/>
        <v>0</v>
      </c>
      <c r="AH249" s="308">
        <f t="shared" si="98"/>
        <v>0</v>
      </c>
      <c r="AI249" s="308">
        <f t="shared" si="99"/>
        <v>0</v>
      </c>
      <c r="AJ249" s="308">
        <f t="shared" si="100"/>
        <v>0</v>
      </c>
      <c r="AK249" s="308">
        <f t="shared" si="101"/>
        <v>0</v>
      </c>
      <c r="AL249" s="308">
        <f t="shared" si="102"/>
        <v>0</v>
      </c>
      <c r="AN249" s="327">
        <f t="shared" si="106"/>
        <v>82.491042029367151</v>
      </c>
      <c r="AO249" s="331">
        <f t="shared" si="107"/>
        <v>66.849998474121094</v>
      </c>
    </row>
    <row r="250" spans="2:41">
      <c r="B250" s="102">
        <f t="shared" si="103"/>
        <v>7</v>
      </c>
      <c r="C250" s="113">
        <f>PJM_01212000!A234</f>
        <v>42552</v>
      </c>
      <c r="D250" s="315">
        <f>PJM_01212000!C234</f>
        <v>120.44999694824219</v>
      </c>
      <c r="E250" s="133">
        <f t="shared" si="85"/>
        <v>0</v>
      </c>
      <c r="F250" s="133">
        <f t="shared" ref="F250:T256" si="111">VLOOKUP($B250,$C$6:$Z$17,F$22+1)</f>
        <v>0</v>
      </c>
      <c r="G250" s="133">
        <f t="shared" si="111"/>
        <v>0</v>
      </c>
      <c r="H250" s="133">
        <f t="shared" si="111"/>
        <v>0</v>
      </c>
      <c r="I250" s="133">
        <f t="shared" si="111"/>
        <v>0</v>
      </c>
      <c r="J250" s="133">
        <f t="shared" si="111"/>
        <v>0</v>
      </c>
      <c r="K250" s="133">
        <f t="shared" si="111"/>
        <v>0</v>
      </c>
      <c r="L250" s="133">
        <f t="shared" si="111"/>
        <v>1.2506946851612968</v>
      </c>
      <c r="M250" s="133">
        <f t="shared" si="111"/>
        <v>1.3273401940004199</v>
      </c>
      <c r="N250" s="133">
        <f t="shared" si="111"/>
        <v>1.3538888162792144</v>
      </c>
      <c r="O250" s="133">
        <f t="shared" si="111"/>
        <v>1.3203393586734773</v>
      </c>
      <c r="P250" s="133">
        <f t="shared" si="111"/>
        <v>0</v>
      </c>
      <c r="Q250" s="133">
        <f t="shared" si="111"/>
        <v>0</v>
      </c>
      <c r="R250" s="133">
        <f t="shared" si="111"/>
        <v>0</v>
      </c>
      <c r="S250" s="133">
        <f t="shared" si="111"/>
        <v>0</v>
      </c>
      <c r="T250" s="133">
        <f t="shared" si="111"/>
        <v>0</v>
      </c>
      <c r="U250" s="133">
        <f t="shared" si="104"/>
        <v>0</v>
      </c>
      <c r="W250" s="308">
        <f t="shared" si="105"/>
        <v>0</v>
      </c>
      <c r="X250" s="308">
        <f t="shared" si="88"/>
        <v>0</v>
      </c>
      <c r="Y250" s="308">
        <f t="shared" si="89"/>
        <v>0</v>
      </c>
      <c r="Z250" s="308">
        <f t="shared" si="90"/>
        <v>0</v>
      </c>
      <c r="AA250" s="308">
        <f t="shared" si="91"/>
        <v>0</v>
      </c>
      <c r="AB250" s="308">
        <f t="shared" si="92"/>
        <v>0</v>
      </c>
      <c r="AC250" s="308">
        <f t="shared" si="93"/>
        <v>0</v>
      </c>
      <c r="AD250" s="308">
        <f t="shared" si="94"/>
        <v>150.64617101086091</v>
      </c>
      <c r="AE250" s="308">
        <f t="shared" si="95"/>
        <v>159.87812231662977</v>
      </c>
      <c r="AF250" s="308">
        <f t="shared" si="96"/>
        <v>163.0759037890906</v>
      </c>
      <c r="AG250" s="308">
        <f t="shared" si="97"/>
        <v>159.03487172286438</v>
      </c>
      <c r="AH250" s="308">
        <f t="shared" si="98"/>
        <v>0</v>
      </c>
      <c r="AI250" s="308">
        <f t="shared" si="99"/>
        <v>0</v>
      </c>
      <c r="AJ250" s="308">
        <f t="shared" si="100"/>
        <v>0</v>
      </c>
      <c r="AK250" s="308">
        <f t="shared" si="101"/>
        <v>0</v>
      </c>
      <c r="AL250" s="308">
        <f t="shared" si="102"/>
        <v>0</v>
      </c>
      <c r="AN250" s="327">
        <f t="shared" si="106"/>
        <v>158.15876720986142</v>
      </c>
      <c r="AO250" s="331">
        <f t="shared" si="107"/>
        <v>120.44999694824219</v>
      </c>
    </row>
    <row r="251" spans="2:41">
      <c r="B251" s="102">
        <f t="shared" si="103"/>
        <v>8</v>
      </c>
      <c r="C251" s="113">
        <f>PJM_01212000!A235</f>
        <v>42583</v>
      </c>
      <c r="D251" s="315">
        <f>PJM_01212000!C235</f>
        <v>107.44999694824219</v>
      </c>
      <c r="E251" s="133">
        <f t="shared" si="85"/>
        <v>0</v>
      </c>
      <c r="F251" s="133">
        <f t="shared" si="111"/>
        <v>0</v>
      </c>
      <c r="G251" s="133">
        <f t="shared" si="111"/>
        <v>0</v>
      </c>
      <c r="H251" s="133">
        <f t="shared" si="111"/>
        <v>0</v>
      </c>
      <c r="I251" s="133">
        <f t="shared" si="111"/>
        <v>0</v>
      </c>
      <c r="J251" s="133">
        <f t="shared" si="111"/>
        <v>0</v>
      </c>
      <c r="K251" s="133">
        <f t="shared" si="111"/>
        <v>1.1907290919069531</v>
      </c>
      <c r="L251" s="133">
        <f t="shared" si="111"/>
        <v>1.26057331025457</v>
      </c>
      <c r="M251" s="133">
        <f t="shared" si="111"/>
        <v>1.2430109342677418</v>
      </c>
      <c r="N251" s="133">
        <f t="shared" si="111"/>
        <v>1.2150462278887151</v>
      </c>
      <c r="O251" s="133">
        <f t="shared" si="111"/>
        <v>0</v>
      </c>
      <c r="P251" s="133">
        <f t="shared" si="111"/>
        <v>0</v>
      </c>
      <c r="Q251" s="133">
        <f t="shared" si="111"/>
        <v>0</v>
      </c>
      <c r="R251" s="133">
        <f t="shared" si="111"/>
        <v>0</v>
      </c>
      <c r="S251" s="133">
        <f t="shared" si="111"/>
        <v>0</v>
      </c>
      <c r="T251" s="133">
        <f t="shared" si="111"/>
        <v>0</v>
      </c>
      <c r="U251" s="133">
        <f t="shared" si="104"/>
        <v>0</v>
      </c>
      <c r="W251" s="308">
        <f t="shared" si="105"/>
        <v>0</v>
      </c>
      <c r="X251" s="308">
        <f t="shared" si="88"/>
        <v>0</v>
      </c>
      <c r="Y251" s="308">
        <f t="shared" si="89"/>
        <v>0</v>
      </c>
      <c r="Z251" s="308">
        <f t="shared" si="90"/>
        <v>0</v>
      </c>
      <c r="AA251" s="308">
        <f t="shared" si="91"/>
        <v>0</v>
      </c>
      <c r="AB251" s="308">
        <f t="shared" si="92"/>
        <v>0</v>
      </c>
      <c r="AC251" s="308">
        <f t="shared" si="93"/>
        <v>127.9438372915853</v>
      </c>
      <c r="AD251" s="308">
        <f t="shared" si="94"/>
        <v>135.44859833988909</v>
      </c>
      <c r="AE251" s="308">
        <f t="shared" si="95"/>
        <v>133.56152109370052</v>
      </c>
      <c r="AF251" s="308">
        <f t="shared" si="96"/>
        <v>130.55671347861562</v>
      </c>
      <c r="AG251" s="308">
        <f t="shared" si="97"/>
        <v>0</v>
      </c>
      <c r="AH251" s="308">
        <f t="shared" si="98"/>
        <v>0</v>
      </c>
      <c r="AI251" s="308">
        <f t="shared" si="99"/>
        <v>0</v>
      </c>
      <c r="AJ251" s="308">
        <f t="shared" si="100"/>
        <v>0</v>
      </c>
      <c r="AK251" s="308">
        <f t="shared" si="101"/>
        <v>0</v>
      </c>
      <c r="AL251" s="308">
        <f t="shared" si="102"/>
        <v>0</v>
      </c>
      <c r="AN251" s="327">
        <f t="shared" si="106"/>
        <v>131.87766755094762</v>
      </c>
      <c r="AO251" s="331">
        <f t="shared" si="107"/>
        <v>107.44999694824219</v>
      </c>
    </row>
    <row r="252" spans="2:41">
      <c r="B252" s="102">
        <f t="shared" si="103"/>
        <v>9</v>
      </c>
      <c r="C252" s="113">
        <f>PJM_01212000!A236</f>
        <v>42614</v>
      </c>
      <c r="D252" s="315">
        <f>PJM_01212000!C236</f>
        <v>39.424998474121097</v>
      </c>
      <c r="E252" s="133">
        <f t="shared" si="85"/>
        <v>0</v>
      </c>
      <c r="F252" s="133">
        <f t="shared" si="111"/>
        <v>0</v>
      </c>
      <c r="G252" s="133">
        <f t="shared" si="111"/>
        <v>0</v>
      </c>
      <c r="H252" s="133">
        <f t="shared" si="111"/>
        <v>0</v>
      </c>
      <c r="I252" s="133">
        <f t="shared" si="111"/>
        <v>0</v>
      </c>
      <c r="J252" s="133">
        <f t="shared" si="111"/>
        <v>0</v>
      </c>
      <c r="K252" s="133">
        <f t="shared" si="111"/>
        <v>0</v>
      </c>
      <c r="L252" s="133">
        <f t="shared" si="111"/>
        <v>0</v>
      </c>
      <c r="M252" s="133">
        <f t="shared" si="111"/>
        <v>0</v>
      </c>
      <c r="N252" s="133">
        <f t="shared" si="111"/>
        <v>1.1345284089868721</v>
      </c>
      <c r="O252" s="133">
        <f t="shared" si="111"/>
        <v>1.1066962078625975</v>
      </c>
      <c r="P252" s="133">
        <f t="shared" si="111"/>
        <v>0</v>
      </c>
      <c r="Q252" s="133">
        <f t="shared" si="111"/>
        <v>1.184626371010566</v>
      </c>
      <c r="R252" s="133">
        <f t="shared" si="111"/>
        <v>1.1944408840385996</v>
      </c>
      <c r="S252" s="133">
        <f t="shared" si="111"/>
        <v>0</v>
      </c>
      <c r="T252" s="133">
        <f t="shared" si="111"/>
        <v>0</v>
      </c>
      <c r="U252" s="133">
        <f t="shared" si="104"/>
        <v>0</v>
      </c>
      <c r="W252" s="308">
        <f t="shared" si="105"/>
        <v>0</v>
      </c>
      <c r="X252" s="308">
        <f t="shared" si="88"/>
        <v>0</v>
      </c>
      <c r="Y252" s="308">
        <f t="shared" si="89"/>
        <v>0</v>
      </c>
      <c r="Z252" s="308">
        <f t="shared" si="90"/>
        <v>0</v>
      </c>
      <c r="AA252" s="308">
        <f t="shared" si="91"/>
        <v>0</v>
      </c>
      <c r="AB252" s="308">
        <f t="shared" si="92"/>
        <v>0</v>
      </c>
      <c r="AC252" s="308">
        <f t="shared" si="93"/>
        <v>0</v>
      </c>
      <c r="AD252" s="308">
        <f t="shared" si="94"/>
        <v>0</v>
      </c>
      <c r="AE252" s="308">
        <f t="shared" si="95"/>
        <v>0</v>
      </c>
      <c r="AF252" s="308">
        <f t="shared" si="96"/>
        <v>44.728780793154471</v>
      </c>
      <c r="AG252" s="308">
        <f t="shared" si="97"/>
        <v>43.631496306298509</v>
      </c>
      <c r="AH252" s="308">
        <f t="shared" si="98"/>
        <v>0</v>
      </c>
      <c r="AI252" s="308">
        <f t="shared" si="99"/>
        <v>46.703892869495178</v>
      </c>
      <c r="AJ252" s="308">
        <f t="shared" si="100"/>
        <v>47.090830030649641</v>
      </c>
      <c r="AK252" s="308">
        <f t="shared" si="101"/>
        <v>0</v>
      </c>
      <c r="AL252" s="308">
        <f t="shared" si="102"/>
        <v>0</v>
      </c>
      <c r="AN252" s="327">
        <f t="shared" si="106"/>
        <v>45.538749999899451</v>
      </c>
      <c r="AO252" s="331">
        <f t="shared" si="107"/>
        <v>39.424998474121097</v>
      </c>
    </row>
    <row r="253" spans="2:41">
      <c r="B253" s="102">
        <f t="shared" si="103"/>
        <v>10</v>
      </c>
      <c r="C253" s="113">
        <f>PJM_01212000!A237</f>
        <v>42644</v>
      </c>
      <c r="D253" s="315">
        <f>PJM_01212000!C237</f>
        <v>31.575000381469728</v>
      </c>
      <c r="E253" s="133">
        <f t="shared" si="85"/>
        <v>0</v>
      </c>
      <c r="F253" s="133">
        <f t="shared" si="111"/>
        <v>1.1326000000000001</v>
      </c>
      <c r="G253" s="133">
        <f t="shared" si="111"/>
        <v>0</v>
      </c>
      <c r="H253" s="133">
        <f t="shared" si="111"/>
        <v>0</v>
      </c>
      <c r="I253" s="133">
        <f t="shared" si="111"/>
        <v>0</v>
      </c>
      <c r="J253" s="133">
        <f t="shared" si="111"/>
        <v>0</v>
      </c>
      <c r="K253" s="133">
        <f t="shared" si="111"/>
        <v>0</v>
      </c>
      <c r="L253" s="133">
        <f t="shared" si="111"/>
        <v>0</v>
      </c>
      <c r="M253" s="133">
        <f t="shared" si="111"/>
        <v>0</v>
      </c>
      <c r="N253" s="133">
        <f t="shared" si="111"/>
        <v>0</v>
      </c>
      <c r="O253" s="133">
        <f t="shared" si="111"/>
        <v>1.2000999999999999</v>
      </c>
      <c r="P253" s="133">
        <f t="shared" si="111"/>
        <v>1.2095</v>
      </c>
      <c r="Q253" s="133">
        <f t="shared" si="111"/>
        <v>1.1567000000000001</v>
      </c>
      <c r="R253" s="133">
        <f t="shared" si="111"/>
        <v>0</v>
      </c>
      <c r="S253" s="133">
        <f t="shared" si="111"/>
        <v>0</v>
      </c>
      <c r="T253" s="133">
        <f t="shared" si="111"/>
        <v>0</v>
      </c>
      <c r="U253" s="133">
        <f t="shared" si="104"/>
        <v>0</v>
      </c>
      <c r="W253" s="308">
        <f t="shared" si="105"/>
        <v>0</v>
      </c>
      <c r="X253" s="308">
        <f t="shared" si="88"/>
        <v>35.761845432052617</v>
      </c>
      <c r="Y253" s="308">
        <f t="shared" si="89"/>
        <v>0</v>
      </c>
      <c r="Z253" s="308">
        <f t="shared" si="90"/>
        <v>0</v>
      </c>
      <c r="AA253" s="308">
        <f t="shared" si="91"/>
        <v>0</v>
      </c>
      <c r="AB253" s="308">
        <f t="shared" si="92"/>
        <v>0</v>
      </c>
      <c r="AC253" s="308">
        <f t="shared" si="93"/>
        <v>0</v>
      </c>
      <c r="AD253" s="308">
        <f t="shared" si="94"/>
        <v>0</v>
      </c>
      <c r="AE253" s="308">
        <f t="shared" si="95"/>
        <v>0</v>
      </c>
      <c r="AF253" s="308">
        <f t="shared" si="96"/>
        <v>0</v>
      </c>
      <c r="AG253" s="308">
        <f t="shared" si="97"/>
        <v>37.893157957801819</v>
      </c>
      <c r="AH253" s="308">
        <f t="shared" si="98"/>
        <v>38.189962961387636</v>
      </c>
      <c r="AI253" s="308">
        <f t="shared" si="99"/>
        <v>36.522802941246034</v>
      </c>
      <c r="AJ253" s="308">
        <f t="shared" si="100"/>
        <v>0</v>
      </c>
      <c r="AK253" s="308">
        <f t="shared" si="101"/>
        <v>0</v>
      </c>
      <c r="AL253" s="308">
        <f t="shared" si="102"/>
        <v>0</v>
      </c>
      <c r="AN253" s="327">
        <f t="shared" si="106"/>
        <v>37.091942323122026</v>
      </c>
      <c r="AO253" s="331">
        <f t="shared" si="107"/>
        <v>31.575000381469728</v>
      </c>
    </row>
    <row r="254" spans="2:41">
      <c r="B254" s="102">
        <f t="shared" si="103"/>
        <v>11</v>
      </c>
      <c r="C254" s="113">
        <f>PJM_01212000!A238</f>
        <v>42675</v>
      </c>
      <c r="D254" s="315">
        <f>PJM_01212000!C238</f>
        <v>31.247499084472658</v>
      </c>
      <c r="E254" s="133">
        <f t="shared" si="85"/>
        <v>0</v>
      </c>
      <c r="F254" s="133">
        <f t="shared" si="111"/>
        <v>1.1426000000000001</v>
      </c>
      <c r="G254" s="133">
        <f t="shared" si="111"/>
        <v>0</v>
      </c>
      <c r="H254" s="133">
        <f t="shared" si="111"/>
        <v>0</v>
      </c>
      <c r="I254" s="133">
        <f t="shared" si="111"/>
        <v>0</v>
      </c>
      <c r="J254" s="133">
        <f t="shared" si="111"/>
        <v>0</v>
      </c>
      <c r="K254" s="133">
        <f t="shared" si="111"/>
        <v>0</v>
      </c>
      <c r="L254" s="133">
        <f t="shared" si="111"/>
        <v>0</v>
      </c>
      <c r="M254" s="133">
        <f t="shared" si="111"/>
        <v>0</v>
      </c>
      <c r="N254" s="133">
        <f t="shared" si="111"/>
        <v>0</v>
      </c>
      <c r="O254" s="133">
        <f t="shared" si="111"/>
        <v>1.2171000000000001</v>
      </c>
      <c r="P254" s="133">
        <f t="shared" si="111"/>
        <v>1.2269000000000001</v>
      </c>
      <c r="Q254" s="133">
        <f t="shared" si="111"/>
        <v>1.1767000000000001</v>
      </c>
      <c r="R254" s="133">
        <f t="shared" si="111"/>
        <v>0</v>
      </c>
      <c r="S254" s="133">
        <f t="shared" si="111"/>
        <v>0</v>
      </c>
      <c r="T254" s="133">
        <f t="shared" si="111"/>
        <v>0</v>
      </c>
      <c r="U254" s="133">
        <f t="shared" si="104"/>
        <v>0</v>
      </c>
      <c r="W254" s="308">
        <f t="shared" si="105"/>
        <v>0</v>
      </c>
      <c r="X254" s="308">
        <f t="shared" si="88"/>
        <v>35.703392453918461</v>
      </c>
      <c r="Y254" s="308">
        <f t="shared" si="89"/>
        <v>0</v>
      </c>
      <c r="Z254" s="308">
        <f t="shared" si="90"/>
        <v>0</v>
      </c>
      <c r="AA254" s="308">
        <f t="shared" si="91"/>
        <v>0</v>
      </c>
      <c r="AB254" s="308">
        <f t="shared" si="92"/>
        <v>0</v>
      </c>
      <c r="AC254" s="308">
        <f t="shared" si="93"/>
        <v>0</v>
      </c>
      <c r="AD254" s="308">
        <f t="shared" si="94"/>
        <v>0</v>
      </c>
      <c r="AE254" s="308">
        <f t="shared" si="95"/>
        <v>0</v>
      </c>
      <c r="AF254" s="308">
        <f t="shared" si="96"/>
        <v>0</v>
      </c>
      <c r="AG254" s="308">
        <f t="shared" si="97"/>
        <v>38.031331135711675</v>
      </c>
      <c r="AH254" s="308">
        <f t="shared" si="98"/>
        <v>38.337556626739506</v>
      </c>
      <c r="AI254" s="308">
        <f t="shared" si="99"/>
        <v>36.768932172698982</v>
      </c>
      <c r="AJ254" s="308">
        <f t="shared" si="100"/>
        <v>0</v>
      </c>
      <c r="AK254" s="308">
        <f t="shared" si="101"/>
        <v>0</v>
      </c>
      <c r="AL254" s="308">
        <f t="shared" si="102"/>
        <v>0</v>
      </c>
      <c r="AN254" s="327">
        <f t="shared" si="106"/>
        <v>37.210303097267158</v>
      </c>
      <c r="AO254" s="331">
        <f t="shared" si="107"/>
        <v>31.247499084472658</v>
      </c>
    </row>
    <row r="255" spans="2:41">
      <c r="B255" s="102">
        <f t="shared" si="103"/>
        <v>12</v>
      </c>
      <c r="C255" s="113">
        <f>PJM_01212000!A239</f>
        <v>42705</v>
      </c>
      <c r="D255" s="315">
        <f>PJM_01212000!C239</f>
        <v>32.999999618530275</v>
      </c>
      <c r="E255" s="133">
        <f t="shared" si="85"/>
        <v>0</v>
      </c>
      <c r="F255" s="133">
        <f t="shared" si="111"/>
        <v>1.1637999999999999</v>
      </c>
      <c r="G255" s="133">
        <f t="shared" si="111"/>
        <v>0</v>
      </c>
      <c r="H255" s="133">
        <f t="shared" si="111"/>
        <v>0</v>
      </c>
      <c r="I255" s="133">
        <f t="shared" si="111"/>
        <v>0</v>
      </c>
      <c r="J255" s="133">
        <f t="shared" si="111"/>
        <v>0</v>
      </c>
      <c r="K255" s="133">
        <f t="shared" si="111"/>
        <v>0</v>
      </c>
      <c r="L255" s="133">
        <f t="shared" si="111"/>
        <v>0</v>
      </c>
      <c r="M255" s="133">
        <f t="shared" si="111"/>
        <v>0</v>
      </c>
      <c r="N255" s="133">
        <f t="shared" si="111"/>
        <v>0</v>
      </c>
      <c r="O255" s="133">
        <f t="shared" si="111"/>
        <v>1.2396592528631896</v>
      </c>
      <c r="P255" s="133">
        <f t="shared" si="111"/>
        <v>1.2314000000000001</v>
      </c>
      <c r="Q255" s="133">
        <f t="shared" si="111"/>
        <v>1.1889963083145296</v>
      </c>
      <c r="R255" s="133">
        <f t="shared" si="111"/>
        <v>0</v>
      </c>
      <c r="S255" s="133">
        <f t="shared" si="111"/>
        <v>0</v>
      </c>
      <c r="T255" s="133">
        <f t="shared" si="111"/>
        <v>0</v>
      </c>
      <c r="U255" s="133">
        <f t="shared" si="104"/>
        <v>0</v>
      </c>
      <c r="W255" s="308">
        <f t="shared" si="105"/>
        <v>0</v>
      </c>
      <c r="X255" s="308">
        <f t="shared" si="88"/>
        <v>38.405399556045531</v>
      </c>
      <c r="Y255" s="308">
        <f t="shared" si="89"/>
        <v>0</v>
      </c>
      <c r="Z255" s="308">
        <f t="shared" si="90"/>
        <v>0</v>
      </c>
      <c r="AA255" s="308">
        <f t="shared" si="91"/>
        <v>0</v>
      </c>
      <c r="AB255" s="308">
        <f t="shared" si="92"/>
        <v>0</v>
      </c>
      <c r="AC255" s="308">
        <f t="shared" si="93"/>
        <v>0</v>
      </c>
      <c r="AD255" s="308">
        <f t="shared" si="94"/>
        <v>0</v>
      </c>
      <c r="AE255" s="308">
        <f t="shared" si="95"/>
        <v>0</v>
      </c>
      <c r="AF255" s="308">
        <f t="shared" si="96"/>
        <v>0</v>
      </c>
      <c r="AG255" s="308">
        <f t="shared" si="97"/>
        <v>40.908754871592784</v>
      </c>
      <c r="AH255" s="308">
        <f t="shared" si="98"/>
        <v>40.636199530258182</v>
      </c>
      <c r="AI255" s="308">
        <f t="shared" si="99"/>
        <v>39.236877720813382</v>
      </c>
      <c r="AJ255" s="308">
        <f t="shared" si="100"/>
        <v>0</v>
      </c>
      <c r="AK255" s="308">
        <f t="shared" si="101"/>
        <v>0</v>
      </c>
      <c r="AL255" s="308">
        <f t="shared" si="102"/>
        <v>0</v>
      </c>
      <c r="AN255" s="327">
        <f t="shared" si="106"/>
        <v>39.79680791967747</v>
      </c>
      <c r="AO255" s="331">
        <f t="shared" si="107"/>
        <v>32.999999618530275</v>
      </c>
    </row>
    <row r="256" spans="2:41">
      <c r="B256" s="102">
        <f t="shared" si="103"/>
        <v>1</v>
      </c>
      <c r="C256" s="113">
        <f>PJM_01212000!A240</f>
        <v>42736</v>
      </c>
      <c r="D256" s="315">
        <f>PJM_01212000!C240</f>
        <v>41.574998474121088</v>
      </c>
      <c r="E256" s="133">
        <f t="shared" si="85"/>
        <v>0</v>
      </c>
      <c r="F256" s="133">
        <f t="shared" si="111"/>
        <v>1.1998117566192825</v>
      </c>
      <c r="G256" s="133">
        <f t="shared" si="111"/>
        <v>1.1961600115620716</v>
      </c>
      <c r="H256" s="133">
        <f t="shared" si="111"/>
        <v>0</v>
      </c>
      <c r="I256" s="133">
        <f t="shared" si="111"/>
        <v>0</v>
      </c>
      <c r="J256" s="133">
        <f t="shared" si="111"/>
        <v>0</v>
      </c>
      <c r="K256" s="133">
        <f t="shared" si="111"/>
        <v>0</v>
      </c>
      <c r="L256" s="133">
        <f t="shared" si="111"/>
        <v>0</v>
      </c>
      <c r="M256" s="133">
        <f t="shared" si="111"/>
        <v>0</v>
      </c>
      <c r="N256" s="133">
        <f t="shared" si="111"/>
        <v>0</v>
      </c>
      <c r="O256" s="133">
        <f t="shared" si="111"/>
        <v>0</v>
      </c>
      <c r="P256" s="133">
        <f t="shared" si="111"/>
        <v>1.2818992289435116</v>
      </c>
      <c r="Q256" s="133">
        <f t="shared" si="111"/>
        <v>1.2270000000000001</v>
      </c>
      <c r="R256" s="133">
        <f t="shared" si="111"/>
        <v>0</v>
      </c>
      <c r="S256" s="133">
        <f t="shared" si="111"/>
        <v>0</v>
      </c>
      <c r="T256" s="133">
        <f t="shared" si="111"/>
        <v>0</v>
      </c>
      <c r="U256" s="133">
        <f t="shared" si="104"/>
        <v>0</v>
      </c>
      <c r="W256" s="308">
        <f t="shared" si="105"/>
        <v>0</v>
      </c>
      <c r="X256" s="308">
        <f t="shared" si="88"/>
        <v>49.882171950679215</v>
      </c>
      <c r="Y256" s="308">
        <f t="shared" si="89"/>
        <v>49.730350655497794</v>
      </c>
      <c r="Z256" s="308">
        <f t="shared" si="90"/>
        <v>0</v>
      </c>
      <c r="AA256" s="308">
        <f t="shared" si="91"/>
        <v>0</v>
      </c>
      <c r="AB256" s="308">
        <f t="shared" si="92"/>
        <v>0</v>
      </c>
      <c r="AC256" s="308">
        <f t="shared" si="93"/>
        <v>0</v>
      </c>
      <c r="AD256" s="308">
        <f t="shared" si="94"/>
        <v>0</v>
      </c>
      <c r="AE256" s="308">
        <f t="shared" si="95"/>
        <v>0</v>
      </c>
      <c r="AF256" s="308">
        <f t="shared" si="96"/>
        <v>0</v>
      </c>
      <c r="AG256" s="308">
        <f t="shared" si="97"/>
        <v>0</v>
      </c>
      <c r="AH256" s="308">
        <f t="shared" si="98"/>
        <v>53.294958487303496</v>
      </c>
      <c r="AI256" s="308">
        <f t="shared" si="99"/>
        <v>51.012523127746576</v>
      </c>
      <c r="AJ256" s="308">
        <f t="shared" si="100"/>
        <v>0</v>
      </c>
      <c r="AK256" s="308">
        <f t="shared" si="101"/>
        <v>0</v>
      </c>
      <c r="AL256" s="308">
        <f t="shared" si="102"/>
        <v>0</v>
      </c>
      <c r="AN256" s="327">
        <f t="shared" si="106"/>
        <v>50.980001055306772</v>
      </c>
      <c r="AO256" s="331">
        <f t="shared" si="107"/>
        <v>41.574998474121088</v>
      </c>
    </row>
    <row r="257" spans="2:41">
      <c r="B257" s="102">
        <f t="shared" si="103"/>
        <v>2</v>
      </c>
      <c r="C257" s="113">
        <f>PJM_01212000!A241</f>
        <v>42767</v>
      </c>
      <c r="D257" s="315">
        <f>PJM_01212000!C241</f>
        <v>41.574998474121088</v>
      </c>
      <c r="E257" s="133">
        <f t="shared" si="85"/>
        <v>0</v>
      </c>
      <c r="F257" s="133">
        <f t="shared" ref="F257:S257" si="112">VLOOKUP($B257,$C$6:$Z$17,F$22+1)</f>
        <v>1.1998117566192825</v>
      </c>
      <c r="G257" s="133">
        <f t="shared" si="112"/>
        <v>1.1961600115620716</v>
      </c>
      <c r="H257" s="133">
        <f t="shared" si="112"/>
        <v>0</v>
      </c>
      <c r="I257" s="133">
        <f t="shared" si="112"/>
        <v>0</v>
      </c>
      <c r="J257" s="133">
        <f t="shared" si="112"/>
        <v>0</v>
      </c>
      <c r="K257" s="133">
        <f t="shared" si="112"/>
        <v>0</v>
      </c>
      <c r="L257" s="133">
        <f t="shared" si="112"/>
        <v>0</v>
      </c>
      <c r="M257" s="133">
        <f t="shared" si="112"/>
        <v>0</v>
      </c>
      <c r="N257" s="133">
        <f t="shared" si="112"/>
        <v>0</v>
      </c>
      <c r="O257" s="133">
        <f t="shared" si="112"/>
        <v>0</v>
      </c>
      <c r="P257" s="133">
        <f t="shared" si="112"/>
        <v>1.2818992289435116</v>
      </c>
      <c r="Q257" s="133">
        <f t="shared" si="112"/>
        <v>1.2270000000000001</v>
      </c>
      <c r="R257" s="133">
        <f t="shared" si="112"/>
        <v>0</v>
      </c>
      <c r="S257" s="133">
        <f t="shared" si="112"/>
        <v>0</v>
      </c>
      <c r="T257" s="133">
        <f t="shared" ref="F257:T274" si="113">VLOOKUP($B257,$C$6:$Z$17,T$22+1)</f>
        <v>0</v>
      </c>
      <c r="U257" s="133">
        <f t="shared" si="104"/>
        <v>0</v>
      </c>
      <c r="W257" s="308">
        <f t="shared" si="105"/>
        <v>0</v>
      </c>
      <c r="X257" s="308">
        <f t="shared" si="88"/>
        <v>49.882171950679215</v>
      </c>
      <c r="Y257" s="308">
        <f t="shared" si="89"/>
        <v>49.730350655497794</v>
      </c>
      <c r="Z257" s="308">
        <f t="shared" si="90"/>
        <v>0</v>
      </c>
      <c r="AA257" s="308">
        <f t="shared" si="91"/>
        <v>0</v>
      </c>
      <c r="AB257" s="308">
        <f t="shared" si="92"/>
        <v>0</v>
      </c>
      <c r="AC257" s="308">
        <f t="shared" si="93"/>
        <v>0</v>
      </c>
      <c r="AD257" s="308">
        <f t="shared" si="94"/>
        <v>0</v>
      </c>
      <c r="AE257" s="308">
        <f t="shared" si="95"/>
        <v>0</v>
      </c>
      <c r="AF257" s="308">
        <f t="shared" si="96"/>
        <v>0</v>
      </c>
      <c r="AG257" s="308">
        <f t="shared" si="97"/>
        <v>0</v>
      </c>
      <c r="AH257" s="308">
        <f t="shared" si="98"/>
        <v>53.294958487303496</v>
      </c>
      <c r="AI257" s="308">
        <f t="shared" si="99"/>
        <v>51.012523127746576</v>
      </c>
      <c r="AJ257" s="308">
        <f t="shared" si="100"/>
        <v>0</v>
      </c>
      <c r="AK257" s="308">
        <f t="shared" si="101"/>
        <v>0</v>
      </c>
      <c r="AL257" s="308">
        <f t="shared" si="102"/>
        <v>0</v>
      </c>
      <c r="AN257" s="327">
        <f t="shared" si="106"/>
        <v>50.980001055306772</v>
      </c>
      <c r="AO257" s="331">
        <f t="shared" si="107"/>
        <v>41.574998474121088</v>
      </c>
    </row>
    <row r="258" spans="2:41">
      <c r="B258" s="102">
        <f t="shared" si="103"/>
        <v>3</v>
      </c>
      <c r="C258" s="113">
        <f>PJM_01212000!A242</f>
        <v>42795</v>
      </c>
      <c r="D258" s="315">
        <f>PJM_01212000!C242</f>
        <v>31.300000762939455</v>
      </c>
      <c r="E258" s="133">
        <f t="shared" si="85"/>
        <v>0</v>
      </c>
      <c r="F258" s="133">
        <f t="shared" si="113"/>
        <v>1.1898</v>
      </c>
      <c r="G258" s="133">
        <f t="shared" si="113"/>
        <v>1.1861999999999999</v>
      </c>
      <c r="H258" s="133">
        <f t="shared" si="113"/>
        <v>0</v>
      </c>
      <c r="I258" s="133">
        <f t="shared" si="113"/>
        <v>0</v>
      </c>
      <c r="J258" s="133">
        <f t="shared" si="113"/>
        <v>0</v>
      </c>
      <c r="K258" s="133">
        <f t="shared" si="113"/>
        <v>0</v>
      </c>
      <c r="L258" s="133">
        <f t="shared" si="113"/>
        <v>0</v>
      </c>
      <c r="M258" s="133">
        <f t="shared" si="113"/>
        <v>0</v>
      </c>
      <c r="N258" s="133">
        <f t="shared" si="113"/>
        <v>0</v>
      </c>
      <c r="O258" s="133">
        <f t="shared" si="113"/>
        <v>0</v>
      </c>
      <c r="P258" s="133">
        <f t="shared" si="113"/>
        <v>1.2719</v>
      </c>
      <c r="Q258" s="133">
        <f t="shared" si="113"/>
        <v>1.2170000000000001</v>
      </c>
      <c r="R258" s="133">
        <f t="shared" si="113"/>
        <v>0</v>
      </c>
      <c r="S258" s="133">
        <f t="shared" si="113"/>
        <v>0</v>
      </c>
      <c r="T258" s="133">
        <f t="shared" si="113"/>
        <v>0</v>
      </c>
      <c r="U258" s="133">
        <f t="shared" si="104"/>
        <v>0</v>
      </c>
      <c r="W258" s="308">
        <f t="shared" si="105"/>
        <v>0</v>
      </c>
      <c r="X258" s="308">
        <f t="shared" si="88"/>
        <v>37.240740907745362</v>
      </c>
      <c r="Y258" s="308">
        <f t="shared" si="89"/>
        <v>37.128060904998776</v>
      </c>
      <c r="Z258" s="308">
        <f t="shared" si="90"/>
        <v>0</v>
      </c>
      <c r="AA258" s="308">
        <f t="shared" si="91"/>
        <v>0</v>
      </c>
      <c r="AB258" s="308">
        <f t="shared" si="92"/>
        <v>0</v>
      </c>
      <c r="AC258" s="308">
        <f t="shared" si="93"/>
        <v>0</v>
      </c>
      <c r="AD258" s="308">
        <f t="shared" si="94"/>
        <v>0</v>
      </c>
      <c r="AE258" s="308">
        <f t="shared" si="95"/>
        <v>0</v>
      </c>
      <c r="AF258" s="308">
        <f t="shared" si="96"/>
        <v>0</v>
      </c>
      <c r="AG258" s="308">
        <f t="shared" si="97"/>
        <v>0</v>
      </c>
      <c r="AH258" s="308">
        <f t="shared" si="98"/>
        <v>39.810470970382696</v>
      </c>
      <c r="AI258" s="308">
        <f t="shared" si="99"/>
        <v>38.092100928497317</v>
      </c>
      <c r="AJ258" s="308">
        <f t="shared" si="100"/>
        <v>0</v>
      </c>
      <c r="AK258" s="308">
        <f t="shared" si="101"/>
        <v>0</v>
      </c>
      <c r="AL258" s="308">
        <f t="shared" si="102"/>
        <v>0</v>
      </c>
      <c r="AN258" s="327">
        <f t="shared" si="106"/>
        <v>38.067843427906041</v>
      </c>
      <c r="AO258" s="331">
        <f t="shared" si="107"/>
        <v>31.300000762939455</v>
      </c>
    </row>
    <row r="259" spans="2:41">
      <c r="B259" s="102">
        <f t="shared" si="103"/>
        <v>4</v>
      </c>
      <c r="C259" s="113">
        <f>PJM_01212000!A243</f>
        <v>42826</v>
      </c>
      <c r="D259" s="315">
        <f>PJM_01212000!C243</f>
        <v>31.075000762939453</v>
      </c>
      <c r="E259" s="133">
        <f t="shared" si="85"/>
        <v>1.1232726508202047</v>
      </c>
      <c r="F259" s="133">
        <f t="shared" si="113"/>
        <v>1.1413154461256174</v>
      </c>
      <c r="G259" s="133">
        <f t="shared" si="113"/>
        <v>0</v>
      </c>
      <c r="H259" s="133">
        <f t="shared" si="113"/>
        <v>0</v>
      </c>
      <c r="I259" s="133">
        <f t="shared" si="113"/>
        <v>1.1185245467924647</v>
      </c>
      <c r="J259" s="133">
        <f t="shared" si="113"/>
        <v>0</v>
      </c>
      <c r="K259" s="133">
        <f t="shared" si="113"/>
        <v>0</v>
      </c>
      <c r="L259" s="133">
        <f t="shared" si="113"/>
        <v>0</v>
      </c>
      <c r="M259" s="133">
        <f t="shared" si="113"/>
        <v>0</v>
      </c>
      <c r="N259" s="133">
        <f t="shared" si="113"/>
        <v>0</v>
      </c>
      <c r="O259" s="133">
        <f t="shared" si="113"/>
        <v>0</v>
      </c>
      <c r="P259" s="133">
        <f t="shared" si="113"/>
        <v>0</v>
      </c>
      <c r="Q259" s="133">
        <f t="shared" si="113"/>
        <v>0</v>
      </c>
      <c r="R259" s="133">
        <f t="shared" si="113"/>
        <v>1.1543365178491491</v>
      </c>
      <c r="S259" s="133">
        <f t="shared" si="113"/>
        <v>0</v>
      </c>
      <c r="T259" s="133">
        <f t="shared" si="113"/>
        <v>0</v>
      </c>
      <c r="U259" s="133">
        <f t="shared" si="104"/>
        <v>0</v>
      </c>
      <c r="W259" s="308">
        <f t="shared" si="105"/>
        <v>34.905698481226885</v>
      </c>
      <c r="X259" s="308">
        <f t="shared" si="88"/>
        <v>35.466378359108141</v>
      </c>
      <c r="Y259" s="308">
        <f t="shared" si="89"/>
        <v>0</v>
      </c>
      <c r="Z259" s="308">
        <f t="shared" si="90"/>
        <v>0</v>
      </c>
      <c r="AA259" s="308">
        <f t="shared" si="91"/>
        <v>34.758151144942346</v>
      </c>
      <c r="AB259" s="308">
        <f t="shared" si="92"/>
        <v>0</v>
      </c>
      <c r="AC259" s="308">
        <f t="shared" si="93"/>
        <v>0</v>
      </c>
      <c r="AD259" s="308">
        <f t="shared" si="94"/>
        <v>0</v>
      </c>
      <c r="AE259" s="308">
        <f t="shared" si="95"/>
        <v>0</v>
      </c>
      <c r="AF259" s="308">
        <f t="shared" si="96"/>
        <v>0</v>
      </c>
      <c r="AG259" s="308">
        <f t="shared" si="97"/>
        <v>0</v>
      </c>
      <c r="AH259" s="308">
        <f t="shared" si="98"/>
        <v>0</v>
      </c>
      <c r="AI259" s="308">
        <f t="shared" si="99"/>
        <v>0</v>
      </c>
      <c r="AJ259" s="308">
        <f t="shared" si="100"/>
        <v>35.871008172851184</v>
      </c>
      <c r="AK259" s="308">
        <f t="shared" si="101"/>
        <v>0</v>
      </c>
      <c r="AL259" s="308">
        <f t="shared" si="102"/>
        <v>0</v>
      </c>
      <c r="AN259" s="327">
        <f t="shared" si="106"/>
        <v>35.250309039532141</v>
      </c>
      <c r="AO259" s="331">
        <f t="shared" si="107"/>
        <v>31.075000762939453</v>
      </c>
    </row>
    <row r="260" spans="2:41">
      <c r="B260" s="102">
        <f t="shared" si="103"/>
        <v>5</v>
      </c>
      <c r="C260" s="113">
        <f>PJM_01212000!A244</f>
        <v>42856</v>
      </c>
      <c r="D260" s="315">
        <f>PJM_01212000!C244</f>
        <v>39.075000000000003</v>
      </c>
      <c r="E260" s="133">
        <f t="shared" si="85"/>
        <v>0</v>
      </c>
      <c r="F260" s="133">
        <f t="shared" si="113"/>
        <v>0</v>
      </c>
      <c r="G260" s="133">
        <f t="shared" si="113"/>
        <v>1.0610266218026732</v>
      </c>
      <c r="H260" s="133">
        <f t="shared" si="113"/>
        <v>1.1254998619307197</v>
      </c>
      <c r="I260" s="133">
        <f t="shared" si="113"/>
        <v>1.1169907033351396</v>
      </c>
      <c r="J260" s="133">
        <f t="shared" si="113"/>
        <v>0</v>
      </c>
      <c r="K260" s="133">
        <f t="shared" si="113"/>
        <v>0</v>
      </c>
      <c r="L260" s="133">
        <f t="shared" si="113"/>
        <v>0</v>
      </c>
      <c r="M260" s="133">
        <f t="shared" si="113"/>
        <v>0</v>
      </c>
      <c r="N260" s="133">
        <f t="shared" si="113"/>
        <v>0</v>
      </c>
      <c r="O260" s="133">
        <f t="shared" si="113"/>
        <v>0</v>
      </c>
      <c r="P260" s="133">
        <f t="shared" si="113"/>
        <v>0</v>
      </c>
      <c r="Q260" s="133">
        <f t="shared" si="113"/>
        <v>0</v>
      </c>
      <c r="R260" s="133">
        <f t="shared" si="113"/>
        <v>1.0876995612465097</v>
      </c>
      <c r="S260" s="133">
        <f t="shared" si="113"/>
        <v>0</v>
      </c>
      <c r="T260" s="133">
        <f t="shared" si="113"/>
        <v>0</v>
      </c>
      <c r="U260" s="133">
        <f t="shared" si="104"/>
        <v>0</v>
      </c>
      <c r="W260" s="308">
        <f t="shared" si="105"/>
        <v>0</v>
      </c>
      <c r="X260" s="308">
        <f t="shared" si="88"/>
        <v>0</v>
      </c>
      <c r="Y260" s="308">
        <f t="shared" si="89"/>
        <v>41.459615246939457</v>
      </c>
      <c r="Z260" s="308">
        <f t="shared" si="90"/>
        <v>43.978907104942877</v>
      </c>
      <c r="AA260" s="308">
        <f t="shared" si="91"/>
        <v>43.646411732820582</v>
      </c>
      <c r="AB260" s="308">
        <f t="shared" si="92"/>
        <v>0</v>
      </c>
      <c r="AC260" s="308">
        <f t="shared" si="93"/>
        <v>0</v>
      </c>
      <c r="AD260" s="308">
        <f t="shared" si="94"/>
        <v>0</v>
      </c>
      <c r="AE260" s="308">
        <f t="shared" si="95"/>
        <v>0</v>
      </c>
      <c r="AF260" s="308">
        <f t="shared" si="96"/>
        <v>0</v>
      </c>
      <c r="AG260" s="308">
        <f t="shared" si="97"/>
        <v>0</v>
      </c>
      <c r="AH260" s="308">
        <f t="shared" si="98"/>
        <v>0</v>
      </c>
      <c r="AI260" s="308">
        <f t="shared" si="99"/>
        <v>0</v>
      </c>
      <c r="AJ260" s="308">
        <f t="shared" si="100"/>
        <v>42.501860355707372</v>
      </c>
      <c r="AK260" s="308">
        <f t="shared" si="101"/>
        <v>0</v>
      </c>
      <c r="AL260" s="308">
        <f t="shared" si="102"/>
        <v>0</v>
      </c>
      <c r="AN260" s="327">
        <f t="shared" si="106"/>
        <v>42.896698610102575</v>
      </c>
      <c r="AO260" s="331">
        <f t="shared" si="107"/>
        <v>39.075000000000003</v>
      </c>
    </row>
    <row r="261" spans="2:41">
      <c r="B261" s="102">
        <f t="shared" si="103"/>
        <v>6</v>
      </c>
      <c r="C261" s="113">
        <f>PJM_01212000!A245</f>
        <v>42887</v>
      </c>
      <c r="D261" s="315">
        <f>PJM_01212000!C245</f>
        <v>67.599998474121094</v>
      </c>
      <c r="E261" s="133">
        <f t="shared" si="85"/>
        <v>0</v>
      </c>
      <c r="F261" s="133">
        <f t="shared" si="113"/>
        <v>0</v>
      </c>
      <c r="G261" s="133">
        <f t="shared" si="113"/>
        <v>0</v>
      </c>
      <c r="H261" s="133">
        <f t="shared" si="113"/>
        <v>0</v>
      </c>
      <c r="I261" s="133">
        <f t="shared" si="113"/>
        <v>0</v>
      </c>
      <c r="J261" s="133">
        <f t="shared" si="113"/>
        <v>0</v>
      </c>
      <c r="K261" s="133">
        <f t="shared" si="113"/>
        <v>1.2209201862181771</v>
      </c>
      <c r="L261" s="133">
        <f t="shared" si="113"/>
        <v>1.2303149771421382</v>
      </c>
      <c r="M261" s="133">
        <f t="shared" si="113"/>
        <v>1.2323281466258438</v>
      </c>
      <c r="N261" s="133">
        <f t="shared" si="113"/>
        <v>1.2523256301639896</v>
      </c>
      <c r="O261" s="133">
        <f t="shared" si="113"/>
        <v>0</v>
      </c>
      <c r="P261" s="133">
        <f t="shared" si="113"/>
        <v>0</v>
      </c>
      <c r="Q261" s="133">
        <f t="shared" si="113"/>
        <v>0</v>
      </c>
      <c r="R261" s="133">
        <f t="shared" si="113"/>
        <v>0</v>
      </c>
      <c r="S261" s="133">
        <f t="shared" si="113"/>
        <v>0</v>
      </c>
      <c r="T261" s="133">
        <f t="shared" si="113"/>
        <v>0</v>
      </c>
      <c r="U261" s="133">
        <f t="shared" si="104"/>
        <v>0</v>
      </c>
      <c r="W261" s="308">
        <f t="shared" si="105"/>
        <v>0</v>
      </c>
      <c r="X261" s="308">
        <f t="shared" si="88"/>
        <v>0</v>
      </c>
      <c r="Y261" s="308">
        <f t="shared" si="89"/>
        <v>0</v>
      </c>
      <c r="Z261" s="308">
        <f t="shared" si="90"/>
        <v>0</v>
      </c>
      <c r="AA261" s="308">
        <f t="shared" si="91"/>
        <v>0</v>
      </c>
      <c r="AB261" s="308">
        <f t="shared" si="92"/>
        <v>0</v>
      </c>
      <c r="AC261" s="308">
        <f t="shared" si="93"/>
        <v>82.53420272537241</v>
      </c>
      <c r="AD261" s="308">
        <f t="shared" si="94"/>
        <v>83.169290577496866</v>
      </c>
      <c r="AE261" s="308">
        <f t="shared" si="95"/>
        <v>83.305380831523522</v>
      </c>
      <c r="AF261" s="308">
        <f t="shared" si="96"/>
        <v>84.657210688188428</v>
      </c>
      <c r="AG261" s="308">
        <f t="shared" si="97"/>
        <v>0</v>
      </c>
      <c r="AH261" s="308">
        <f t="shared" si="98"/>
        <v>0</v>
      </c>
      <c r="AI261" s="308">
        <f t="shared" si="99"/>
        <v>0</v>
      </c>
      <c r="AJ261" s="308">
        <f t="shared" si="100"/>
        <v>0</v>
      </c>
      <c r="AK261" s="308">
        <f t="shared" si="101"/>
        <v>0</v>
      </c>
      <c r="AL261" s="308">
        <f t="shared" si="102"/>
        <v>0</v>
      </c>
      <c r="AN261" s="327">
        <f t="shared" si="106"/>
        <v>83.416521205645296</v>
      </c>
      <c r="AO261" s="331">
        <f t="shared" si="107"/>
        <v>67.599998474121094</v>
      </c>
    </row>
    <row r="262" spans="2:41">
      <c r="B262" s="102">
        <f t="shared" si="103"/>
        <v>7</v>
      </c>
      <c r="C262" s="113">
        <f>PJM_01212000!A246</f>
        <v>42917</v>
      </c>
      <c r="D262" s="315">
        <f>PJM_01212000!C246</f>
        <v>122.69999694824219</v>
      </c>
      <c r="E262" s="133">
        <f t="shared" si="85"/>
        <v>0</v>
      </c>
      <c r="F262" s="133">
        <f t="shared" si="113"/>
        <v>0</v>
      </c>
      <c r="G262" s="133">
        <f t="shared" si="113"/>
        <v>0</v>
      </c>
      <c r="H262" s="133">
        <f t="shared" si="113"/>
        <v>0</v>
      </c>
      <c r="I262" s="133">
        <f t="shared" si="113"/>
        <v>0</v>
      </c>
      <c r="J262" s="133">
        <f t="shared" si="113"/>
        <v>0</v>
      </c>
      <c r="K262" s="133">
        <f t="shared" si="113"/>
        <v>0</v>
      </c>
      <c r="L262" s="133">
        <f t="shared" si="113"/>
        <v>1.2506946851612968</v>
      </c>
      <c r="M262" s="133">
        <f t="shared" si="113"/>
        <v>1.3273401940004199</v>
      </c>
      <c r="N262" s="133">
        <f t="shared" si="113"/>
        <v>1.3538888162792144</v>
      </c>
      <c r="O262" s="133">
        <f t="shared" si="113"/>
        <v>1.3203393586734773</v>
      </c>
      <c r="P262" s="133">
        <f t="shared" si="113"/>
        <v>0</v>
      </c>
      <c r="Q262" s="133">
        <f t="shared" si="113"/>
        <v>0</v>
      </c>
      <c r="R262" s="133">
        <f t="shared" si="113"/>
        <v>0</v>
      </c>
      <c r="S262" s="133">
        <f t="shared" si="113"/>
        <v>0</v>
      </c>
      <c r="T262" s="133">
        <f t="shared" si="113"/>
        <v>0</v>
      </c>
      <c r="U262" s="133">
        <f t="shared" si="104"/>
        <v>0</v>
      </c>
      <c r="W262" s="308">
        <f t="shared" si="105"/>
        <v>0</v>
      </c>
      <c r="X262" s="308">
        <f t="shared" si="88"/>
        <v>0</v>
      </c>
      <c r="Y262" s="308">
        <f t="shared" si="89"/>
        <v>0</v>
      </c>
      <c r="Z262" s="308">
        <f t="shared" si="90"/>
        <v>0</v>
      </c>
      <c r="AA262" s="308">
        <f t="shared" si="91"/>
        <v>0</v>
      </c>
      <c r="AB262" s="308">
        <f t="shared" si="92"/>
        <v>0</v>
      </c>
      <c r="AC262" s="308">
        <f t="shared" si="93"/>
        <v>0</v>
      </c>
      <c r="AD262" s="308">
        <f t="shared" si="94"/>
        <v>153.46023405247385</v>
      </c>
      <c r="AE262" s="308">
        <f t="shared" si="95"/>
        <v>162.86463775313072</v>
      </c>
      <c r="AF262" s="308">
        <f t="shared" si="96"/>
        <v>166.12215362571882</v>
      </c>
      <c r="AG262" s="308">
        <f t="shared" si="97"/>
        <v>162.0056352798797</v>
      </c>
      <c r="AH262" s="308">
        <f t="shared" si="98"/>
        <v>0</v>
      </c>
      <c r="AI262" s="308">
        <f t="shared" si="99"/>
        <v>0</v>
      </c>
      <c r="AJ262" s="308">
        <f t="shared" si="100"/>
        <v>0</v>
      </c>
      <c r="AK262" s="308">
        <f t="shared" si="101"/>
        <v>0</v>
      </c>
      <c r="AL262" s="308">
        <f t="shared" si="102"/>
        <v>0</v>
      </c>
      <c r="AN262" s="327">
        <f t="shared" si="106"/>
        <v>161.11316517780077</v>
      </c>
      <c r="AO262" s="331">
        <f t="shared" si="107"/>
        <v>122.69999694824219</v>
      </c>
    </row>
    <row r="263" spans="2:41">
      <c r="B263" s="102">
        <f t="shared" si="103"/>
        <v>8</v>
      </c>
      <c r="C263" s="113">
        <f>PJM_01212000!A247</f>
        <v>42948</v>
      </c>
      <c r="D263" s="315">
        <f>PJM_01212000!C247</f>
        <v>109.69999694824219</v>
      </c>
      <c r="E263" s="133">
        <f t="shared" ref="E263:E275" si="114">VLOOKUP($B263,$C$6:$Z$17,E$22+1)</f>
        <v>0</v>
      </c>
      <c r="F263" s="133">
        <f t="shared" si="113"/>
        <v>0</v>
      </c>
      <c r="G263" s="133">
        <f t="shared" si="113"/>
        <v>0</v>
      </c>
      <c r="H263" s="133">
        <f t="shared" si="113"/>
        <v>0</v>
      </c>
      <c r="I263" s="133">
        <f t="shared" si="113"/>
        <v>0</v>
      </c>
      <c r="J263" s="133">
        <f t="shared" si="113"/>
        <v>0</v>
      </c>
      <c r="K263" s="133">
        <f t="shared" si="113"/>
        <v>1.1907290919069531</v>
      </c>
      <c r="L263" s="133">
        <f t="shared" si="113"/>
        <v>1.26057331025457</v>
      </c>
      <c r="M263" s="133">
        <f t="shared" si="113"/>
        <v>1.2430109342677418</v>
      </c>
      <c r="N263" s="133">
        <f t="shared" si="113"/>
        <v>1.2150462278887151</v>
      </c>
      <c r="O263" s="133">
        <f t="shared" si="113"/>
        <v>0</v>
      </c>
      <c r="P263" s="133">
        <f t="shared" si="113"/>
        <v>0</v>
      </c>
      <c r="Q263" s="133">
        <f t="shared" si="113"/>
        <v>0</v>
      </c>
      <c r="R263" s="133">
        <f t="shared" si="113"/>
        <v>0</v>
      </c>
      <c r="S263" s="133">
        <f t="shared" si="113"/>
        <v>0</v>
      </c>
      <c r="T263" s="133">
        <f t="shared" si="113"/>
        <v>0</v>
      </c>
      <c r="U263" s="133">
        <f t="shared" si="104"/>
        <v>0</v>
      </c>
      <c r="W263" s="308">
        <f t="shared" si="105"/>
        <v>0</v>
      </c>
      <c r="X263" s="308">
        <f t="shared" si="88"/>
        <v>0</v>
      </c>
      <c r="Y263" s="308">
        <f t="shared" si="89"/>
        <v>0</v>
      </c>
      <c r="Z263" s="308">
        <f t="shared" si="90"/>
        <v>0</v>
      </c>
      <c r="AA263" s="308">
        <f t="shared" si="91"/>
        <v>0</v>
      </c>
      <c r="AB263" s="308">
        <f t="shared" si="92"/>
        <v>0</v>
      </c>
      <c r="AC263" s="308">
        <f t="shared" si="93"/>
        <v>130.62297774837594</v>
      </c>
      <c r="AD263" s="308">
        <f t="shared" si="94"/>
        <v>138.28488828796188</v>
      </c>
      <c r="AE263" s="308">
        <f t="shared" si="95"/>
        <v>136.35829569580295</v>
      </c>
      <c r="AF263" s="308">
        <f t="shared" si="96"/>
        <v>133.29056749136524</v>
      </c>
      <c r="AG263" s="308">
        <f t="shared" si="97"/>
        <v>0</v>
      </c>
      <c r="AH263" s="308">
        <f t="shared" si="98"/>
        <v>0</v>
      </c>
      <c r="AI263" s="308">
        <f t="shared" si="99"/>
        <v>0</v>
      </c>
      <c r="AJ263" s="308">
        <f t="shared" si="100"/>
        <v>0</v>
      </c>
      <c r="AK263" s="308">
        <f t="shared" si="101"/>
        <v>0</v>
      </c>
      <c r="AL263" s="308">
        <f t="shared" si="102"/>
        <v>0</v>
      </c>
      <c r="AN263" s="327">
        <f t="shared" si="106"/>
        <v>134.63918230587652</v>
      </c>
      <c r="AO263" s="331">
        <f t="shared" si="107"/>
        <v>109.69999694824219</v>
      </c>
    </row>
    <row r="264" spans="2:41">
      <c r="B264" s="102">
        <f t="shared" si="103"/>
        <v>9</v>
      </c>
      <c r="C264" s="113">
        <f>PJM_01212000!A248</f>
        <v>42979</v>
      </c>
      <c r="D264" s="315">
        <f>PJM_01212000!C248</f>
        <v>39.924998474121097</v>
      </c>
      <c r="E264" s="133">
        <f t="shared" si="114"/>
        <v>0</v>
      </c>
      <c r="F264" s="133">
        <f t="shared" si="113"/>
        <v>0</v>
      </c>
      <c r="G264" s="133">
        <f t="shared" si="113"/>
        <v>0</v>
      </c>
      <c r="H264" s="133">
        <f t="shared" si="113"/>
        <v>0</v>
      </c>
      <c r="I264" s="133">
        <f t="shared" si="113"/>
        <v>0</v>
      </c>
      <c r="J264" s="133">
        <f t="shared" si="113"/>
        <v>0</v>
      </c>
      <c r="K264" s="133">
        <f t="shared" si="113"/>
        <v>0</v>
      </c>
      <c r="L264" s="133">
        <f t="shared" si="113"/>
        <v>0</v>
      </c>
      <c r="M264" s="133">
        <f t="shared" si="113"/>
        <v>0</v>
      </c>
      <c r="N264" s="133">
        <f t="shared" si="113"/>
        <v>1.1345284089868721</v>
      </c>
      <c r="O264" s="133">
        <f t="shared" si="113"/>
        <v>1.1066962078625975</v>
      </c>
      <c r="P264" s="133">
        <f t="shared" si="113"/>
        <v>0</v>
      </c>
      <c r="Q264" s="133">
        <f t="shared" si="113"/>
        <v>1.184626371010566</v>
      </c>
      <c r="R264" s="133">
        <f t="shared" si="113"/>
        <v>1.1944408840385996</v>
      </c>
      <c r="S264" s="133">
        <f t="shared" si="113"/>
        <v>0</v>
      </c>
      <c r="T264" s="133">
        <f t="shared" si="113"/>
        <v>0</v>
      </c>
      <c r="U264" s="133">
        <f t="shared" si="104"/>
        <v>0</v>
      </c>
      <c r="W264" s="308">
        <f t="shared" si="105"/>
        <v>0</v>
      </c>
      <c r="X264" s="308">
        <f t="shared" si="88"/>
        <v>0</v>
      </c>
      <c r="Y264" s="308">
        <f t="shared" si="89"/>
        <v>0</v>
      </c>
      <c r="Z264" s="308">
        <f t="shared" si="90"/>
        <v>0</v>
      </c>
      <c r="AA264" s="308">
        <f t="shared" si="91"/>
        <v>0</v>
      </c>
      <c r="AB264" s="308">
        <f t="shared" si="92"/>
        <v>0</v>
      </c>
      <c r="AC264" s="308">
        <f t="shared" si="93"/>
        <v>0</v>
      </c>
      <c r="AD264" s="308">
        <f t="shared" si="94"/>
        <v>0</v>
      </c>
      <c r="AE264" s="308">
        <f t="shared" si="95"/>
        <v>0</v>
      </c>
      <c r="AF264" s="308">
        <f t="shared" si="96"/>
        <v>45.296044997647904</v>
      </c>
      <c r="AG264" s="308">
        <f t="shared" si="97"/>
        <v>44.184844410229807</v>
      </c>
      <c r="AH264" s="308">
        <f t="shared" si="98"/>
        <v>0</v>
      </c>
      <c r="AI264" s="308">
        <f t="shared" si="99"/>
        <v>47.296206055000461</v>
      </c>
      <c r="AJ264" s="308">
        <f t="shared" si="100"/>
        <v>47.688050472668941</v>
      </c>
      <c r="AK264" s="308">
        <f t="shared" si="101"/>
        <v>0</v>
      </c>
      <c r="AL264" s="308">
        <f t="shared" si="102"/>
        <v>0</v>
      </c>
      <c r="AN264" s="327">
        <f t="shared" si="106"/>
        <v>46.116286483886782</v>
      </c>
      <c r="AO264" s="331">
        <f t="shared" si="107"/>
        <v>39.924998474121097</v>
      </c>
    </row>
    <row r="265" spans="2:41">
      <c r="B265" s="102">
        <f t="shared" si="103"/>
        <v>10</v>
      </c>
      <c r="C265" s="113">
        <f>PJM_01212000!A249</f>
        <v>43009</v>
      </c>
      <c r="D265" s="315">
        <f>PJM_01212000!C249</f>
        <v>31.825000381469728</v>
      </c>
      <c r="E265" s="133">
        <f t="shared" si="114"/>
        <v>0</v>
      </c>
      <c r="F265" s="133">
        <f t="shared" si="113"/>
        <v>1.1326000000000001</v>
      </c>
      <c r="G265" s="133">
        <f t="shared" si="113"/>
        <v>0</v>
      </c>
      <c r="H265" s="133">
        <f t="shared" si="113"/>
        <v>0</v>
      </c>
      <c r="I265" s="133">
        <f t="shared" si="113"/>
        <v>0</v>
      </c>
      <c r="J265" s="133">
        <f t="shared" si="113"/>
        <v>0</v>
      </c>
      <c r="K265" s="133">
        <f t="shared" si="113"/>
        <v>0</v>
      </c>
      <c r="L265" s="133">
        <f t="shared" si="113"/>
        <v>0</v>
      </c>
      <c r="M265" s="133">
        <f t="shared" si="113"/>
        <v>0</v>
      </c>
      <c r="N265" s="133">
        <f t="shared" si="113"/>
        <v>0</v>
      </c>
      <c r="O265" s="133">
        <f t="shared" si="113"/>
        <v>1.2000999999999999</v>
      </c>
      <c r="P265" s="133">
        <f t="shared" si="113"/>
        <v>1.2095</v>
      </c>
      <c r="Q265" s="133">
        <f t="shared" si="113"/>
        <v>1.1567000000000001</v>
      </c>
      <c r="R265" s="133">
        <f t="shared" si="113"/>
        <v>0</v>
      </c>
      <c r="S265" s="133">
        <f t="shared" si="113"/>
        <v>0</v>
      </c>
      <c r="T265" s="133">
        <f t="shared" si="113"/>
        <v>0</v>
      </c>
      <c r="U265" s="133">
        <f t="shared" si="104"/>
        <v>0</v>
      </c>
      <c r="W265" s="308">
        <f t="shared" si="105"/>
        <v>0</v>
      </c>
      <c r="X265" s="308">
        <f t="shared" si="88"/>
        <v>36.044995432052616</v>
      </c>
      <c r="Y265" s="308">
        <f t="shared" si="89"/>
        <v>0</v>
      </c>
      <c r="Z265" s="308">
        <f t="shared" si="90"/>
        <v>0</v>
      </c>
      <c r="AA265" s="308">
        <f t="shared" si="91"/>
        <v>0</v>
      </c>
      <c r="AB265" s="308">
        <f t="shared" si="92"/>
        <v>0</v>
      </c>
      <c r="AC265" s="308">
        <f t="shared" si="93"/>
        <v>0</v>
      </c>
      <c r="AD265" s="308">
        <f t="shared" si="94"/>
        <v>0</v>
      </c>
      <c r="AE265" s="308">
        <f t="shared" si="95"/>
        <v>0</v>
      </c>
      <c r="AF265" s="308">
        <f t="shared" si="96"/>
        <v>0</v>
      </c>
      <c r="AG265" s="308">
        <f t="shared" si="97"/>
        <v>38.193182957801817</v>
      </c>
      <c r="AH265" s="308">
        <f t="shared" si="98"/>
        <v>38.492337961387634</v>
      </c>
      <c r="AI265" s="308">
        <f t="shared" si="99"/>
        <v>36.811977941246035</v>
      </c>
      <c r="AJ265" s="308">
        <f t="shared" si="100"/>
        <v>0</v>
      </c>
      <c r="AK265" s="308">
        <f t="shared" si="101"/>
        <v>0</v>
      </c>
      <c r="AL265" s="308">
        <f t="shared" si="102"/>
        <v>0</v>
      </c>
      <c r="AN265" s="327">
        <f t="shared" si="106"/>
        <v>37.385623573122025</v>
      </c>
      <c r="AO265" s="331">
        <f t="shared" si="107"/>
        <v>31.825000381469728</v>
      </c>
    </row>
    <row r="266" spans="2:41">
      <c r="B266" s="102">
        <f t="shared" si="103"/>
        <v>11</v>
      </c>
      <c r="C266" s="113">
        <f>PJM_01212000!A250</f>
        <v>43040</v>
      </c>
      <c r="D266" s="315">
        <f>PJM_01212000!C250</f>
        <v>31.497499084472658</v>
      </c>
      <c r="E266" s="133">
        <f t="shared" si="114"/>
        <v>0</v>
      </c>
      <c r="F266" s="133">
        <f t="shared" si="113"/>
        <v>1.1426000000000001</v>
      </c>
      <c r="G266" s="133">
        <f t="shared" si="113"/>
        <v>0</v>
      </c>
      <c r="H266" s="133">
        <f t="shared" si="113"/>
        <v>0</v>
      </c>
      <c r="I266" s="133">
        <f t="shared" si="113"/>
        <v>0</v>
      </c>
      <c r="J266" s="133">
        <f t="shared" si="113"/>
        <v>0</v>
      </c>
      <c r="K266" s="133">
        <f t="shared" si="113"/>
        <v>0</v>
      </c>
      <c r="L266" s="133">
        <f t="shared" si="113"/>
        <v>0</v>
      </c>
      <c r="M266" s="133">
        <f t="shared" si="113"/>
        <v>0</v>
      </c>
      <c r="N266" s="133">
        <f t="shared" si="113"/>
        <v>0</v>
      </c>
      <c r="O266" s="133">
        <f t="shared" si="113"/>
        <v>1.2171000000000001</v>
      </c>
      <c r="P266" s="133">
        <f t="shared" si="113"/>
        <v>1.2269000000000001</v>
      </c>
      <c r="Q266" s="133">
        <f t="shared" si="113"/>
        <v>1.1767000000000001</v>
      </c>
      <c r="R266" s="133">
        <f t="shared" si="113"/>
        <v>0</v>
      </c>
      <c r="S266" s="133">
        <f t="shared" si="113"/>
        <v>0</v>
      </c>
      <c r="T266" s="133">
        <f t="shared" si="113"/>
        <v>0</v>
      </c>
      <c r="U266" s="133">
        <f t="shared" si="104"/>
        <v>0</v>
      </c>
      <c r="W266" s="308">
        <f t="shared" si="105"/>
        <v>0</v>
      </c>
      <c r="X266" s="308">
        <f t="shared" si="88"/>
        <v>35.989042453918458</v>
      </c>
      <c r="Y266" s="308">
        <f t="shared" si="89"/>
        <v>0</v>
      </c>
      <c r="Z266" s="308">
        <f t="shared" si="90"/>
        <v>0</v>
      </c>
      <c r="AA266" s="308">
        <f t="shared" si="91"/>
        <v>0</v>
      </c>
      <c r="AB266" s="308">
        <f t="shared" si="92"/>
        <v>0</v>
      </c>
      <c r="AC266" s="308">
        <f t="shared" si="93"/>
        <v>0</v>
      </c>
      <c r="AD266" s="308">
        <f t="shared" si="94"/>
        <v>0</v>
      </c>
      <c r="AE266" s="308">
        <f t="shared" si="95"/>
        <v>0</v>
      </c>
      <c r="AF266" s="308">
        <f t="shared" si="96"/>
        <v>0</v>
      </c>
      <c r="AG266" s="308">
        <f t="shared" si="97"/>
        <v>38.335606135711672</v>
      </c>
      <c r="AH266" s="308">
        <f t="shared" si="98"/>
        <v>38.644281626739506</v>
      </c>
      <c r="AI266" s="308">
        <f t="shared" si="99"/>
        <v>37.063107172698977</v>
      </c>
      <c r="AJ266" s="308">
        <f t="shared" si="100"/>
        <v>0</v>
      </c>
      <c r="AK266" s="308">
        <f t="shared" si="101"/>
        <v>0</v>
      </c>
      <c r="AL266" s="308">
        <f t="shared" si="102"/>
        <v>0</v>
      </c>
      <c r="AN266" s="327">
        <f t="shared" si="106"/>
        <v>37.508009347267155</v>
      </c>
      <c r="AO266" s="331">
        <f t="shared" si="107"/>
        <v>31.497499084472658</v>
      </c>
    </row>
    <row r="267" spans="2:41">
      <c r="B267" s="102">
        <f t="shared" si="103"/>
        <v>12</v>
      </c>
      <c r="C267" s="113">
        <f>PJM_01212000!A251</f>
        <v>43070</v>
      </c>
      <c r="D267" s="315">
        <f>PJM_01212000!C251</f>
        <v>33.249999618530275</v>
      </c>
      <c r="E267" s="133">
        <f t="shared" si="114"/>
        <v>0</v>
      </c>
      <c r="F267" s="133">
        <f t="shared" si="113"/>
        <v>1.1637999999999999</v>
      </c>
      <c r="G267" s="133">
        <f t="shared" si="113"/>
        <v>0</v>
      </c>
      <c r="H267" s="133">
        <f t="shared" si="113"/>
        <v>0</v>
      </c>
      <c r="I267" s="133">
        <f t="shared" si="113"/>
        <v>0</v>
      </c>
      <c r="J267" s="133">
        <f t="shared" si="113"/>
        <v>0</v>
      </c>
      <c r="K267" s="133">
        <f t="shared" si="113"/>
        <v>0</v>
      </c>
      <c r="L267" s="133">
        <f t="shared" si="113"/>
        <v>0</v>
      </c>
      <c r="M267" s="133">
        <f t="shared" si="113"/>
        <v>0</v>
      </c>
      <c r="N267" s="133">
        <f t="shared" si="113"/>
        <v>0</v>
      </c>
      <c r="O267" s="133">
        <f t="shared" si="113"/>
        <v>1.2396592528631896</v>
      </c>
      <c r="P267" s="133">
        <f t="shared" si="113"/>
        <v>1.2314000000000001</v>
      </c>
      <c r="Q267" s="133">
        <f t="shared" si="113"/>
        <v>1.1889963083145296</v>
      </c>
      <c r="R267" s="133">
        <f t="shared" si="113"/>
        <v>0</v>
      </c>
      <c r="S267" s="133">
        <f t="shared" si="113"/>
        <v>0</v>
      </c>
      <c r="T267" s="133">
        <f t="shared" si="113"/>
        <v>0</v>
      </c>
      <c r="U267" s="133">
        <f t="shared" si="104"/>
        <v>0</v>
      </c>
      <c r="W267" s="308">
        <f t="shared" si="105"/>
        <v>0</v>
      </c>
      <c r="X267" s="308">
        <f t="shared" si="88"/>
        <v>38.696349556045533</v>
      </c>
      <c r="Y267" s="308">
        <f t="shared" si="89"/>
        <v>0</v>
      </c>
      <c r="Z267" s="308">
        <f t="shared" si="90"/>
        <v>0</v>
      </c>
      <c r="AA267" s="308">
        <f t="shared" si="91"/>
        <v>0</v>
      </c>
      <c r="AB267" s="308">
        <f t="shared" si="92"/>
        <v>0</v>
      </c>
      <c r="AC267" s="308">
        <f t="shared" si="93"/>
        <v>0</v>
      </c>
      <c r="AD267" s="308">
        <f t="shared" si="94"/>
        <v>0</v>
      </c>
      <c r="AE267" s="308">
        <f t="shared" si="95"/>
        <v>0</v>
      </c>
      <c r="AF267" s="308">
        <f t="shared" si="96"/>
        <v>0</v>
      </c>
      <c r="AG267" s="308">
        <f t="shared" si="97"/>
        <v>41.218669684808582</v>
      </c>
      <c r="AH267" s="308">
        <f t="shared" si="98"/>
        <v>40.944049530258184</v>
      </c>
      <c r="AI267" s="308">
        <f t="shared" si="99"/>
        <v>39.534126797892014</v>
      </c>
      <c r="AJ267" s="308">
        <f t="shared" si="100"/>
        <v>0</v>
      </c>
      <c r="AK267" s="308">
        <f t="shared" si="101"/>
        <v>0</v>
      </c>
      <c r="AL267" s="308">
        <f t="shared" si="102"/>
        <v>0</v>
      </c>
      <c r="AN267" s="327">
        <f t="shared" si="106"/>
        <v>40.09829889225108</v>
      </c>
      <c r="AO267" s="331">
        <f t="shared" si="107"/>
        <v>33.249999618530275</v>
      </c>
    </row>
    <row r="268" spans="2:41">
      <c r="B268" s="102">
        <f t="shared" si="103"/>
        <v>1</v>
      </c>
      <c r="C268" s="113">
        <f>PJM_01212000!A252</f>
        <v>43101</v>
      </c>
      <c r="D268" s="315">
        <f>PJM_01212000!C252</f>
        <v>41.824998474121088</v>
      </c>
      <c r="E268" s="133">
        <f t="shared" si="114"/>
        <v>0</v>
      </c>
      <c r="F268" s="133">
        <f t="shared" si="113"/>
        <v>1.1998117566192825</v>
      </c>
      <c r="G268" s="133">
        <f t="shared" si="113"/>
        <v>1.1961600115620716</v>
      </c>
      <c r="H268" s="133">
        <f t="shared" si="113"/>
        <v>0</v>
      </c>
      <c r="I268" s="133">
        <f t="shared" si="113"/>
        <v>0</v>
      </c>
      <c r="J268" s="133">
        <f t="shared" si="113"/>
        <v>0</v>
      </c>
      <c r="K268" s="133">
        <f t="shared" si="113"/>
        <v>0</v>
      </c>
      <c r="L268" s="133">
        <f t="shared" si="113"/>
        <v>0</v>
      </c>
      <c r="M268" s="133">
        <f t="shared" si="113"/>
        <v>0</v>
      </c>
      <c r="N268" s="133">
        <f t="shared" si="113"/>
        <v>0</v>
      </c>
      <c r="O268" s="133">
        <f t="shared" si="113"/>
        <v>0</v>
      </c>
      <c r="P268" s="133">
        <f t="shared" si="113"/>
        <v>1.2818992289435116</v>
      </c>
      <c r="Q268" s="133">
        <f t="shared" si="113"/>
        <v>1.2270000000000001</v>
      </c>
      <c r="R268" s="133">
        <f t="shared" si="113"/>
        <v>0</v>
      </c>
      <c r="S268" s="133">
        <f t="shared" si="113"/>
        <v>0</v>
      </c>
      <c r="T268" s="133">
        <f t="shared" si="113"/>
        <v>0</v>
      </c>
      <c r="U268" s="133">
        <f t="shared" si="104"/>
        <v>0</v>
      </c>
      <c r="W268" s="308">
        <f t="shared" si="105"/>
        <v>0</v>
      </c>
      <c r="X268" s="308">
        <f t="shared" si="88"/>
        <v>50.182124889834036</v>
      </c>
      <c r="Y268" s="308">
        <f t="shared" si="89"/>
        <v>50.029390658388309</v>
      </c>
      <c r="Z268" s="308">
        <f t="shared" si="90"/>
        <v>0</v>
      </c>
      <c r="AA268" s="308">
        <f t="shared" si="91"/>
        <v>0</v>
      </c>
      <c r="AB268" s="308">
        <f t="shared" si="92"/>
        <v>0</v>
      </c>
      <c r="AC268" s="308">
        <f t="shared" si="93"/>
        <v>0</v>
      </c>
      <c r="AD268" s="308">
        <f t="shared" si="94"/>
        <v>0</v>
      </c>
      <c r="AE268" s="308">
        <f t="shared" si="95"/>
        <v>0</v>
      </c>
      <c r="AF268" s="308">
        <f t="shared" si="96"/>
        <v>0</v>
      </c>
      <c r="AG268" s="308">
        <f t="shared" si="97"/>
        <v>0</v>
      </c>
      <c r="AH268" s="308">
        <f t="shared" si="98"/>
        <v>53.615433294539372</v>
      </c>
      <c r="AI268" s="308">
        <f t="shared" si="99"/>
        <v>51.319273127746577</v>
      </c>
      <c r="AJ268" s="308">
        <f t="shared" si="100"/>
        <v>0</v>
      </c>
      <c r="AK268" s="308">
        <f t="shared" si="101"/>
        <v>0</v>
      </c>
      <c r="AL268" s="308">
        <f t="shared" si="102"/>
        <v>0</v>
      </c>
      <c r="AN268" s="327">
        <f t="shared" si="106"/>
        <v>51.286555492627073</v>
      </c>
      <c r="AO268" s="331">
        <f t="shared" si="107"/>
        <v>41.824998474121088</v>
      </c>
    </row>
    <row r="269" spans="2:41">
      <c r="B269" s="102">
        <f t="shared" si="103"/>
        <v>2</v>
      </c>
      <c r="C269" s="113">
        <f>PJM_01212000!A253</f>
        <v>43132</v>
      </c>
      <c r="D269" s="315">
        <f>PJM_01212000!C253</f>
        <v>41.824998474121088</v>
      </c>
      <c r="E269" s="133">
        <f t="shared" si="114"/>
        <v>0</v>
      </c>
      <c r="F269" s="133">
        <f t="shared" si="113"/>
        <v>1.1998117566192825</v>
      </c>
      <c r="G269" s="133">
        <f t="shared" si="113"/>
        <v>1.1961600115620716</v>
      </c>
      <c r="H269" s="133">
        <f t="shared" si="113"/>
        <v>0</v>
      </c>
      <c r="I269" s="133">
        <f t="shared" si="113"/>
        <v>0</v>
      </c>
      <c r="J269" s="133">
        <f t="shared" si="113"/>
        <v>0</v>
      </c>
      <c r="K269" s="133">
        <f t="shared" si="113"/>
        <v>0</v>
      </c>
      <c r="L269" s="133">
        <f t="shared" si="113"/>
        <v>0</v>
      </c>
      <c r="M269" s="133">
        <f t="shared" si="113"/>
        <v>0</v>
      </c>
      <c r="N269" s="133">
        <f t="shared" si="113"/>
        <v>0</v>
      </c>
      <c r="O269" s="133">
        <f t="shared" si="113"/>
        <v>0</v>
      </c>
      <c r="P269" s="133">
        <f t="shared" si="113"/>
        <v>1.2818992289435116</v>
      </c>
      <c r="Q269" s="133">
        <f t="shared" si="113"/>
        <v>1.2270000000000001</v>
      </c>
      <c r="R269" s="133">
        <f t="shared" si="113"/>
        <v>0</v>
      </c>
      <c r="S269" s="133">
        <f t="shared" si="113"/>
        <v>0</v>
      </c>
      <c r="T269" s="133">
        <f t="shared" si="113"/>
        <v>0</v>
      </c>
      <c r="U269" s="133">
        <f t="shared" si="104"/>
        <v>0</v>
      </c>
      <c r="W269" s="308">
        <f t="shared" si="105"/>
        <v>0</v>
      </c>
      <c r="X269" s="308">
        <f t="shared" si="88"/>
        <v>50.182124889834036</v>
      </c>
      <c r="Y269" s="308">
        <f t="shared" si="89"/>
        <v>50.029390658388309</v>
      </c>
      <c r="Z269" s="308">
        <f t="shared" si="90"/>
        <v>0</v>
      </c>
      <c r="AA269" s="308">
        <f t="shared" si="91"/>
        <v>0</v>
      </c>
      <c r="AB269" s="308">
        <f t="shared" si="92"/>
        <v>0</v>
      </c>
      <c r="AC269" s="308">
        <f t="shared" si="93"/>
        <v>0</v>
      </c>
      <c r="AD269" s="308">
        <f t="shared" si="94"/>
        <v>0</v>
      </c>
      <c r="AE269" s="308">
        <f t="shared" si="95"/>
        <v>0</v>
      </c>
      <c r="AF269" s="308">
        <f t="shared" si="96"/>
        <v>0</v>
      </c>
      <c r="AG269" s="308">
        <f t="shared" si="97"/>
        <v>0</v>
      </c>
      <c r="AH269" s="308">
        <f t="shared" si="98"/>
        <v>53.615433294539372</v>
      </c>
      <c r="AI269" s="308">
        <f t="shared" si="99"/>
        <v>51.319273127746577</v>
      </c>
      <c r="AJ269" s="308">
        <f t="shared" si="100"/>
        <v>0</v>
      </c>
      <c r="AK269" s="308">
        <f t="shared" si="101"/>
        <v>0</v>
      </c>
      <c r="AL269" s="308">
        <f t="shared" si="102"/>
        <v>0</v>
      </c>
      <c r="AN269" s="327">
        <f t="shared" si="106"/>
        <v>51.286555492627073</v>
      </c>
      <c r="AO269" s="331">
        <f t="shared" si="107"/>
        <v>41.824998474121088</v>
      </c>
    </row>
    <row r="270" spans="2:41">
      <c r="B270" s="102">
        <f t="shared" si="103"/>
        <v>3</v>
      </c>
      <c r="C270" s="113">
        <f>PJM_01212000!A254</f>
        <v>43160</v>
      </c>
      <c r="D270" s="315">
        <f>PJM_01212000!C254</f>
        <v>31.550000762939455</v>
      </c>
      <c r="E270" s="133">
        <f t="shared" si="114"/>
        <v>0</v>
      </c>
      <c r="F270" s="133">
        <f t="shared" si="113"/>
        <v>1.1898</v>
      </c>
      <c r="G270" s="133">
        <f t="shared" si="113"/>
        <v>1.1861999999999999</v>
      </c>
      <c r="H270" s="133">
        <f t="shared" si="113"/>
        <v>0</v>
      </c>
      <c r="I270" s="133">
        <f t="shared" si="113"/>
        <v>0</v>
      </c>
      <c r="J270" s="133">
        <f t="shared" si="113"/>
        <v>0</v>
      </c>
      <c r="K270" s="133">
        <f t="shared" si="113"/>
        <v>0</v>
      </c>
      <c r="L270" s="133">
        <f t="shared" si="113"/>
        <v>0</v>
      </c>
      <c r="M270" s="133">
        <f t="shared" si="113"/>
        <v>0</v>
      </c>
      <c r="N270" s="133">
        <f t="shared" si="113"/>
        <v>0</v>
      </c>
      <c r="O270" s="133">
        <f t="shared" si="113"/>
        <v>0</v>
      </c>
      <c r="P270" s="133">
        <f t="shared" si="113"/>
        <v>1.2719</v>
      </c>
      <c r="Q270" s="133">
        <f t="shared" si="113"/>
        <v>1.2170000000000001</v>
      </c>
      <c r="R270" s="133">
        <f t="shared" si="113"/>
        <v>0</v>
      </c>
      <c r="S270" s="133">
        <f t="shared" si="113"/>
        <v>0</v>
      </c>
      <c r="T270" s="133">
        <f t="shared" si="113"/>
        <v>0</v>
      </c>
      <c r="U270" s="133">
        <f t="shared" si="104"/>
        <v>0</v>
      </c>
      <c r="W270" s="308">
        <f t="shared" si="105"/>
        <v>0</v>
      </c>
      <c r="X270" s="308">
        <f t="shared" si="88"/>
        <v>37.53819090774536</v>
      </c>
      <c r="Y270" s="308">
        <f t="shared" si="89"/>
        <v>37.424610904998779</v>
      </c>
      <c r="Z270" s="308">
        <f t="shared" si="90"/>
        <v>0</v>
      </c>
      <c r="AA270" s="308">
        <f t="shared" si="91"/>
        <v>0</v>
      </c>
      <c r="AB270" s="308">
        <f t="shared" si="92"/>
        <v>0</v>
      </c>
      <c r="AC270" s="308">
        <f t="shared" si="93"/>
        <v>0</v>
      </c>
      <c r="AD270" s="308">
        <f t="shared" si="94"/>
        <v>0</v>
      </c>
      <c r="AE270" s="308">
        <f t="shared" si="95"/>
        <v>0</v>
      </c>
      <c r="AF270" s="308">
        <f t="shared" si="96"/>
        <v>0</v>
      </c>
      <c r="AG270" s="308">
        <f t="shared" si="97"/>
        <v>0</v>
      </c>
      <c r="AH270" s="308">
        <f t="shared" si="98"/>
        <v>40.128445970382693</v>
      </c>
      <c r="AI270" s="308">
        <f t="shared" si="99"/>
        <v>38.39635092849732</v>
      </c>
      <c r="AJ270" s="308">
        <f t="shared" si="100"/>
        <v>0</v>
      </c>
      <c r="AK270" s="308">
        <f t="shared" si="101"/>
        <v>0</v>
      </c>
      <c r="AL270" s="308">
        <f t="shared" si="102"/>
        <v>0</v>
      </c>
      <c r="AN270" s="327">
        <f t="shared" si="106"/>
        <v>38.371899677906043</v>
      </c>
      <c r="AO270" s="331">
        <f t="shared" si="107"/>
        <v>31.550000762939455</v>
      </c>
    </row>
    <row r="271" spans="2:41">
      <c r="B271" s="102">
        <f t="shared" si="103"/>
        <v>4</v>
      </c>
      <c r="C271" s="113">
        <f>PJM_01212000!A255</f>
        <v>43191</v>
      </c>
      <c r="D271" s="315">
        <f>PJM_01212000!C255</f>
        <v>31.325000762939453</v>
      </c>
      <c r="E271" s="133">
        <f t="shared" si="114"/>
        <v>1.1232726508202047</v>
      </c>
      <c r="F271" s="133">
        <f t="shared" si="113"/>
        <v>1.1413154461256174</v>
      </c>
      <c r="G271" s="133">
        <f t="shared" si="113"/>
        <v>0</v>
      </c>
      <c r="H271" s="133">
        <f t="shared" si="113"/>
        <v>0</v>
      </c>
      <c r="I271" s="133">
        <f t="shared" si="113"/>
        <v>1.1185245467924647</v>
      </c>
      <c r="J271" s="133">
        <f t="shared" si="113"/>
        <v>0</v>
      </c>
      <c r="K271" s="133">
        <f t="shared" si="113"/>
        <v>0</v>
      </c>
      <c r="L271" s="133">
        <f t="shared" si="113"/>
        <v>0</v>
      </c>
      <c r="M271" s="133">
        <f t="shared" si="113"/>
        <v>0</v>
      </c>
      <c r="N271" s="133">
        <f t="shared" si="113"/>
        <v>0</v>
      </c>
      <c r="O271" s="133">
        <f t="shared" si="113"/>
        <v>0</v>
      </c>
      <c r="P271" s="133">
        <f t="shared" si="113"/>
        <v>0</v>
      </c>
      <c r="Q271" s="133">
        <f t="shared" si="113"/>
        <v>0</v>
      </c>
      <c r="R271" s="133">
        <f t="shared" si="113"/>
        <v>1.1543365178491491</v>
      </c>
      <c r="S271" s="133">
        <f t="shared" si="113"/>
        <v>0</v>
      </c>
      <c r="T271" s="133">
        <f t="shared" si="113"/>
        <v>0</v>
      </c>
      <c r="U271" s="133">
        <f t="shared" si="104"/>
        <v>0</v>
      </c>
      <c r="W271" s="308">
        <f t="shared" si="105"/>
        <v>35.186516643931931</v>
      </c>
      <c r="X271" s="308">
        <f t="shared" si="88"/>
        <v>35.751707220639545</v>
      </c>
      <c r="Y271" s="308">
        <f t="shared" si="89"/>
        <v>0</v>
      </c>
      <c r="Z271" s="308">
        <f t="shared" si="90"/>
        <v>0</v>
      </c>
      <c r="AA271" s="308">
        <f t="shared" si="91"/>
        <v>35.03778228164046</v>
      </c>
      <c r="AB271" s="308">
        <f t="shared" si="92"/>
        <v>0</v>
      </c>
      <c r="AC271" s="308">
        <f t="shared" si="93"/>
        <v>0</v>
      </c>
      <c r="AD271" s="308">
        <f t="shared" si="94"/>
        <v>0</v>
      </c>
      <c r="AE271" s="308">
        <f t="shared" si="95"/>
        <v>0</v>
      </c>
      <c r="AF271" s="308">
        <f t="shared" si="96"/>
        <v>0</v>
      </c>
      <c r="AG271" s="308">
        <f t="shared" si="97"/>
        <v>0</v>
      </c>
      <c r="AH271" s="308">
        <f t="shared" si="98"/>
        <v>0</v>
      </c>
      <c r="AI271" s="308">
        <f t="shared" si="99"/>
        <v>0</v>
      </c>
      <c r="AJ271" s="308">
        <f t="shared" si="100"/>
        <v>36.15959230231347</v>
      </c>
      <c r="AK271" s="308">
        <f t="shared" si="101"/>
        <v>0</v>
      </c>
      <c r="AL271" s="308">
        <f t="shared" si="102"/>
        <v>0</v>
      </c>
      <c r="AN271" s="327">
        <f t="shared" si="106"/>
        <v>35.53389961213135</v>
      </c>
      <c r="AO271" s="331">
        <f t="shared" si="107"/>
        <v>31.325000762939453</v>
      </c>
    </row>
    <row r="272" spans="2:41">
      <c r="B272" s="102">
        <f t="shared" si="103"/>
        <v>5</v>
      </c>
      <c r="C272" s="113">
        <f>PJM_01212000!A256</f>
        <v>43221</v>
      </c>
      <c r="D272" s="315">
        <f>PJM_01212000!C256</f>
        <v>39.325000000000003</v>
      </c>
      <c r="E272" s="133">
        <f t="shared" si="114"/>
        <v>0</v>
      </c>
      <c r="F272" s="133">
        <f t="shared" si="113"/>
        <v>0</v>
      </c>
      <c r="G272" s="133">
        <f t="shared" si="113"/>
        <v>1.0610266218026732</v>
      </c>
      <c r="H272" s="133">
        <f t="shared" si="113"/>
        <v>1.1254998619307197</v>
      </c>
      <c r="I272" s="133">
        <f t="shared" si="113"/>
        <v>1.1169907033351396</v>
      </c>
      <c r="J272" s="133">
        <f t="shared" si="113"/>
        <v>0</v>
      </c>
      <c r="K272" s="133">
        <f t="shared" si="113"/>
        <v>0</v>
      </c>
      <c r="L272" s="133">
        <f t="shared" si="113"/>
        <v>0</v>
      </c>
      <c r="M272" s="133">
        <f t="shared" si="113"/>
        <v>0</v>
      </c>
      <c r="N272" s="133">
        <f t="shared" si="113"/>
        <v>0</v>
      </c>
      <c r="O272" s="133">
        <f t="shared" si="113"/>
        <v>0</v>
      </c>
      <c r="P272" s="133">
        <f t="shared" si="113"/>
        <v>0</v>
      </c>
      <c r="Q272" s="133">
        <f t="shared" si="113"/>
        <v>0</v>
      </c>
      <c r="R272" s="133">
        <f t="shared" si="113"/>
        <v>1.0876995612465097</v>
      </c>
      <c r="S272" s="133">
        <f t="shared" si="113"/>
        <v>0</v>
      </c>
      <c r="T272" s="133">
        <f t="shared" si="113"/>
        <v>0</v>
      </c>
      <c r="U272" s="133">
        <f t="shared" si="104"/>
        <v>0</v>
      </c>
      <c r="W272" s="308">
        <f t="shared" si="105"/>
        <v>0</v>
      </c>
      <c r="X272" s="308">
        <f t="shared" si="88"/>
        <v>0</v>
      </c>
      <c r="Y272" s="308">
        <f t="shared" si="89"/>
        <v>41.724871902390127</v>
      </c>
      <c r="Z272" s="308">
        <f t="shared" si="90"/>
        <v>44.260282070425554</v>
      </c>
      <c r="AA272" s="308">
        <f t="shared" si="91"/>
        <v>43.925659408654369</v>
      </c>
      <c r="AB272" s="308">
        <f t="shared" si="92"/>
        <v>0</v>
      </c>
      <c r="AC272" s="308">
        <f t="shared" si="93"/>
        <v>0</v>
      </c>
      <c r="AD272" s="308">
        <f t="shared" si="94"/>
        <v>0</v>
      </c>
      <c r="AE272" s="308">
        <f t="shared" si="95"/>
        <v>0</v>
      </c>
      <c r="AF272" s="308">
        <f t="shared" si="96"/>
        <v>0</v>
      </c>
      <c r="AG272" s="308">
        <f t="shared" si="97"/>
        <v>0</v>
      </c>
      <c r="AH272" s="308">
        <f t="shared" si="98"/>
        <v>0</v>
      </c>
      <c r="AI272" s="308">
        <f t="shared" si="99"/>
        <v>0</v>
      </c>
      <c r="AJ272" s="308">
        <f t="shared" si="100"/>
        <v>42.773785246018996</v>
      </c>
      <c r="AK272" s="308">
        <f t="shared" si="101"/>
        <v>0</v>
      </c>
      <c r="AL272" s="308">
        <f t="shared" si="102"/>
        <v>0</v>
      </c>
      <c r="AN272" s="327">
        <f t="shared" si="106"/>
        <v>43.171149656872267</v>
      </c>
      <c r="AO272" s="331">
        <f t="shared" si="107"/>
        <v>39.325000000000003</v>
      </c>
    </row>
    <row r="273" spans="2:41">
      <c r="B273" s="102">
        <f t="shared" si="103"/>
        <v>6</v>
      </c>
      <c r="C273" s="113">
        <f>PJM_01212000!A257</f>
        <v>43252</v>
      </c>
      <c r="D273" s="315">
        <f>PJM_01212000!C257</f>
        <v>68.349998474121094</v>
      </c>
      <c r="E273" s="133">
        <f t="shared" si="114"/>
        <v>0</v>
      </c>
      <c r="F273" s="133">
        <f t="shared" si="113"/>
        <v>0</v>
      </c>
      <c r="G273" s="133">
        <f t="shared" si="113"/>
        <v>0</v>
      </c>
      <c r="H273" s="133">
        <f t="shared" si="113"/>
        <v>0</v>
      </c>
      <c r="I273" s="133">
        <f t="shared" si="113"/>
        <v>0</v>
      </c>
      <c r="J273" s="133">
        <f t="shared" si="113"/>
        <v>0</v>
      </c>
      <c r="K273" s="133">
        <f t="shared" si="113"/>
        <v>1.2209201862181771</v>
      </c>
      <c r="L273" s="133">
        <f t="shared" si="113"/>
        <v>1.2303149771421382</v>
      </c>
      <c r="M273" s="133">
        <f t="shared" si="113"/>
        <v>1.2323281466258438</v>
      </c>
      <c r="N273" s="133">
        <f t="shared" si="113"/>
        <v>1.2523256301639896</v>
      </c>
      <c r="O273" s="133">
        <f t="shared" si="113"/>
        <v>0</v>
      </c>
      <c r="P273" s="133">
        <f t="shared" si="113"/>
        <v>0</v>
      </c>
      <c r="Q273" s="133">
        <f t="shared" si="113"/>
        <v>0</v>
      </c>
      <c r="R273" s="133">
        <f t="shared" si="113"/>
        <v>0</v>
      </c>
      <c r="S273" s="133">
        <f t="shared" si="113"/>
        <v>0</v>
      </c>
      <c r="T273" s="133">
        <f t="shared" si="113"/>
        <v>0</v>
      </c>
      <c r="U273" s="133">
        <f t="shared" si="104"/>
        <v>0</v>
      </c>
      <c r="W273" s="308">
        <f t="shared" si="105"/>
        <v>0</v>
      </c>
      <c r="X273" s="308">
        <f t="shared" si="88"/>
        <v>0</v>
      </c>
      <c r="Y273" s="308">
        <f t="shared" si="89"/>
        <v>0</v>
      </c>
      <c r="Z273" s="308">
        <f t="shared" si="90"/>
        <v>0</v>
      </c>
      <c r="AA273" s="308">
        <f t="shared" si="91"/>
        <v>0</v>
      </c>
      <c r="AB273" s="308">
        <f t="shared" si="92"/>
        <v>0</v>
      </c>
      <c r="AC273" s="308">
        <f t="shared" si="93"/>
        <v>83.449892865036048</v>
      </c>
      <c r="AD273" s="308">
        <f t="shared" si="94"/>
        <v>84.092026810353474</v>
      </c>
      <c r="AE273" s="308">
        <f t="shared" si="95"/>
        <v>84.229626941492896</v>
      </c>
      <c r="AF273" s="308">
        <f t="shared" si="96"/>
        <v>85.596454910811417</v>
      </c>
      <c r="AG273" s="308">
        <f t="shared" si="97"/>
        <v>0</v>
      </c>
      <c r="AH273" s="308">
        <f t="shared" si="98"/>
        <v>0</v>
      </c>
      <c r="AI273" s="308">
        <f t="shared" si="99"/>
        <v>0</v>
      </c>
      <c r="AJ273" s="308">
        <f t="shared" si="100"/>
        <v>0</v>
      </c>
      <c r="AK273" s="308">
        <f t="shared" si="101"/>
        <v>0</v>
      </c>
      <c r="AL273" s="308">
        <f t="shared" si="102"/>
        <v>0</v>
      </c>
      <c r="AN273" s="327">
        <f t="shared" si="106"/>
        <v>84.342000381923455</v>
      </c>
      <c r="AO273" s="331">
        <f t="shared" si="107"/>
        <v>68.349998474121094</v>
      </c>
    </row>
    <row r="274" spans="2:41">
      <c r="B274" s="102">
        <f t="shared" si="103"/>
        <v>7</v>
      </c>
      <c r="C274" s="113">
        <f>PJM_01212000!A258</f>
        <v>43282</v>
      </c>
      <c r="D274" s="315">
        <f>PJM_01212000!C258</f>
        <v>124.94999694824219</v>
      </c>
      <c r="E274" s="133">
        <f t="shared" si="114"/>
        <v>0</v>
      </c>
      <c r="F274" s="133">
        <f t="shared" si="113"/>
        <v>0</v>
      </c>
      <c r="G274" s="133">
        <f t="shared" si="113"/>
        <v>0</v>
      </c>
      <c r="H274" s="133">
        <f t="shared" si="113"/>
        <v>0</v>
      </c>
      <c r="I274" s="133">
        <f t="shared" si="113"/>
        <v>0</v>
      </c>
      <c r="J274" s="133">
        <f t="shared" si="113"/>
        <v>0</v>
      </c>
      <c r="K274" s="133">
        <f t="shared" si="113"/>
        <v>0</v>
      </c>
      <c r="L274" s="133">
        <f t="shared" si="113"/>
        <v>1.2506946851612968</v>
      </c>
      <c r="M274" s="133">
        <f t="shared" si="113"/>
        <v>1.3273401940004199</v>
      </c>
      <c r="N274" s="133">
        <f t="shared" si="113"/>
        <v>1.3538888162792144</v>
      </c>
      <c r="O274" s="133">
        <f t="shared" si="113"/>
        <v>1.3203393586734773</v>
      </c>
      <c r="P274" s="133">
        <f t="shared" si="113"/>
        <v>0</v>
      </c>
      <c r="Q274" s="133">
        <f t="shared" si="113"/>
        <v>0</v>
      </c>
      <c r="R274" s="133">
        <f t="shared" si="113"/>
        <v>0</v>
      </c>
      <c r="S274" s="133">
        <f t="shared" si="113"/>
        <v>0</v>
      </c>
      <c r="T274" s="133">
        <f t="shared" ref="F274:T275" si="115">VLOOKUP($B274,$C$6:$Z$17,T$22+1)</f>
        <v>0</v>
      </c>
      <c r="U274" s="133">
        <f t="shared" si="104"/>
        <v>0</v>
      </c>
      <c r="W274" s="308">
        <f t="shared" si="105"/>
        <v>0</v>
      </c>
      <c r="X274" s="308">
        <f t="shared" si="88"/>
        <v>0</v>
      </c>
      <c r="Y274" s="308">
        <f t="shared" si="89"/>
        <v>0</v>
      </c>
      <c r="Z274" s="308">
        <f t="shared" si="90"/>
        <v>0</v>
      </c>
      <c r="AA274" s="308">
        <f t="shared" si="91"/>
        <v>0</v>
      </c>
      <c r="AB274" s="308">
        <f t="shared" si="92"/>
        <v>0</v>
      </c>
      <c r="AC274" s="308">
        <f t="shared" si="93"/>
        <v>0</v>
      </c>
      <c r="AD274" s="308">
        <f t="shared" si="94"/>
        <v>156.27429709408676</v>
      </c>
      <c r="AE274" s="308">
        <f t="shared" si="95"/>
        <v>165.85115318963167</v>
      </c>
      <c r="AF274" s="308">
        <f t="shared" si="96"/>
        <v>169.16840346234707</v>
      </c>
      <c r="AG274" s="308">
        <f t="shared" si="97"/>
        <v>164.97639883689504</v>
      </c>
      <c r="AH274" s="308">
        <f t="shared" si="98"/>
        <v>0</v>
      </c>
      <c r="AI274" s="308">
        <f t="shared" si="99"/>
        <v>0</v>
      </c>
      <c r="AJ274" s="308">
        <f t="shared" si="100"/>
        <v>0</v>
      </c>
      <c r="AK274" s="308">
        <f t="shared" si="101"/>
        <v>0</v>
      </c>
      <c r="AL274" s="308">
        <f t="shared" si="102"/>
        <v>0</v>
      </c>
      <c r="AN274" s="327">
        <f t="shared" si="106"/>
        <v>164.06756314574017</v>
      </c>
      <c r="AO274" s="331">
        <f t="shared" si="107"/>
        <v>124.94999694824219</v>
      </c>
    </row>
    <row r="275" spans="2:41" ht="14.4" thickBot="1">
      <c r="B275" s="102">
        <f t="shared" si="103"/>
        <v>8</v>
      </c>
      <c r="C275" s="113">
        <f>PJM_01212000!A259</f>
        <v>43313</v>
      </c>
      <c r="D275" s="315">
        <f>PJM_01212000!C259</f>
        <v>111.94999694824219</v>
      </c>
      <c r="E275" s="133">
        <f t="shared" si="114"/>
        <v>0</v>
      </c>
      <c r="F275" s="133">
        <f t="shared" si="115"/>
        <v>0</v>
      </c>
      <c r="G275" s="133">
        <f t="shared" si="115"/>
        <v>0</v>
      </c>
      <c r="H275" s="133">
        <f t="shared" si="115"/>
        <v>0</v>
      </c>
      <c r="I275" s="133">
        <f t="shared" si="115"/>
        <v>0</v>
      </c>
      <c r="J275" s="133">
        <f t="shared" si="115"/>
        <v>0</v>
      </c>
      <c r="K275" s="133">
        <f t="shared" si="115"/>
        <v>1.1907290919069531</v>
      </c>
      <c r="L275" s="133">
        <f t="shared" si="115"/>
        <v>1.26057331025457</v>
      </c>
      <c r="M275" s="133">
        <f t="shared" si="115"/>
        <v>1.2430109342677418</v>
      </c>
      <c r="N275" s="133">
        <f t="shared" si="115"/>
        <v>1.2150462278887151</v>
      </c>
      <c r="O275" s="133">
        <f t="shared" si="115"/>
        <v>0</v>
      </c>
      <c r="P275" s="133">
        <f t="shared" si="115"/>
        <v>0</v>
      </c>
      <c r="Q275" s="133">
        <f t="shared" si="115"/>
        <v>0</v>
      </c>
      <c r="R275" s="133">
        <f t="shared" si="115"/>
        <v>0</v>
      </c>
      <c r="S275" s="133">
        <f t="shared" si="115"/>
        <v>0</v>
      </c>
      <c r="T275" s="133">
        <f t="shared" si="115"/>
        <v>0</v>
      </c>
      <c r="U275" s="133">
        <f t="shared" si="104"/>
        <v>0</v>
      </c>
      <c r="W275" s="308">
        <f t="shared" si="105"/>
        <v>0</v>
      </c>
      <c r="X275" s="308">
        <f t="shared" si="88"/>
        <v>0</v>
      </c>
      <c r="Y275" s="308">
        <f t="shared" si="89"/>
        <v>0</v>
      </c>
      <c r="Z275" s="308">
        <f t="shared" si="90"/>
        <v>0</v>
      </c>
      <c r="AA275" s="308">
        <f t="shared" si="91"/>
        <v>0</v>
      </c>
      <c r="AB275" s="308">
        <f t="shared" si="92"/>
        <v>0</v>
      </c>
      <c r="AC275" s="308">
        <f t="shared" si="93"/>
        <v>133.30211820516658</v>
      </c>
      <c r="AD275" s="308">
        <f t="shared" si="94"/>
        <v>141.12117823603467</v>
      </c>
      <c r="AE275" s="308">
        <f t="shared" si="95"/>
        <v>139.15507029790535</v>
      </c>
      <c r="AF275" s="308">
        <f t="shared" si="96"/>
        <v>136.02442150411483</v>
      </c>
      <c r="AG275" s="308">
        <f t="shared" si="97"/>
        <v>0</v>
      </c>
      <c r="AH275" s="308">
        <f t="shared" si="98"/>
        <v>0</v>
      </c>
      <c r="AI275" s="308">
        <f t="shared" si="99"/>
        <v>0</v>
      </c>
      <c r="AJ275" s="308">
        <f t="shared" si="100"/>
        <v>0</v>
      </c>
      <c r="AK275" s="308">
        <f t="shared" si="101"/>
        <v>0</v>
      </c>
      <c r="AL275" s="308">
        <f t="shared" si="102"/>
        <v>0</v>
      </c>
      <c r="AN275" s="328">
        <f t="shared" si="106"/>
        <v>137.40069706080536</v>
      </c>
      <c r="AO275" s="332">
        <f t="shared" si="107"/>
        <v>111.94999694824219</v>
      </c>
    </row>
    <row r="276" spans="2:41">
      <c r="W276" s="80"/>
    </row>
    <row r="277" spans="2:41">
      <c r="W277" s="80"/>
    </row>
    <row r="278" spans="2:41" s="379" customFormat="1" ht="10.199999999999999">
      <c r="C278" s="379">
        <v>1</v>
      </c>
      <c r="D278" s="379">
        <f>C278+1</f>
        <v>2</v>
      </c>
      <c r="E278" s="379">
        <f t="shared" ref="E278:AN278" si="116">D278+1</f>
        <v>3</v>
      </c>
      <c r="F278" s="379">
        <f t="shared" si="116"/>
        <v>4</v>
      </c>
      <c r="G278" s="379">
        <f t="shared" si="116"/>
        <v>5</v>
      </c>
      <c r="H278" s="379">
        <f t="shared" si="116"/>
        <v>6</v>
      </c>
      <c r="I278" s="379">
        <f t="shared" si="116"/>
        <v>7</v>
      </c>
      <c r="J278" s="379">
        <f t="shared" si="116"/>
        <v>8</v>
      </c>
      <c r="K278" s="379">
        <f t="shared" si="116"/>
        <v>9</v>
      </c>
      <c r="L278" s="379">
        <f t="shared" si="116"/>
        <v>10</v>
      </c>
      <c r="M278" s="379">
        <f t="shared" si="116"/>
        <v>11</v>
      </c>
      <c r="N278" s="379">
        <f t="shared" si="116"/>
        <v>12</v>
      </c>
      <c r="O278" s="379">
        <f t="shared" si="116"/>
        <v>13</v>
      </c>
      <c r="P278" s="379">
        <f t="shared" si="116"/>
        <v>14</v>
      </c>
      <c r="Q278" s="379">
        <f t="shared" si="116"/>
        <v>15</v>
      </c>
      <c r="R278" s="379">
        <f t="shared" si="116"/>
        <v>16</v>
      </c>
      <c r="S278" s="379">
        <f t="shared" si="116"/>
        <v>17</v>
      </c>
      <c r="T278" s="379">
        <f t="shared" si="116"/>
        <v>18</v>
      </c>
      <c r="U278" s="379">
        <f t="shared" si="116"/>
        <v>19</v>
      </c>
      <c r="V278" s="379">
        <f t="shared" si="116"/>
        <v>20</v>
      </c>
      <c r="W278" s="379">
        <f t="shared" si="116"/>
        <v>21</v>
      </c>
      <c r="X278" s="379">
        <f t="shared" si="116"/>
        <v>22</v>
      </c>
      <c r="Y278" s="379">
        <f t="shared" si="116"/>
        <v>23</v>
      </c>
      <c r="Z278" s="379">
        <f t="shared" si="116"/>
        <v>24</v>
      </c>
      <c r="AA278" s="379">
        <f t="shared" si="116"/>
        <v>25</v>
      </c>
      <c r="AB278" s="379">
        <f t="shared" si="116"/>
        <v>26</v>
      </c>
      <c r="AC278" s="379">
        <f t="shared" si="116"/>
        <v>27</v>
      </c>
      <c r="AD278" s="379">
        <f t="shared" si="116"/>
        <v>28</v>
      </c>
      <c r="AE278" s="379">
        <f t="shared" si="116"/>
        <v>29</v>
      </c>
      <c r="AF278" s="379">
        <f t="shared" si="116"/>
        <v>30</v>
      </c>
      <c r="AG278" s="379">
        <f t="shared" si="116"/>
        <v>31</v>
      </c>
      <c r="AH278" s="379">
        <f t="shared" si="116"/>
        <v>32</v>
      </c>
      <c r="AI278" s="379">
        <f t="shared" si="116"/>
        <v>33</v>
      </c>
      <c r="AJ278" s="379">
        <f t="shared" si="116"/>
        <v>34</v>
      </c>
      <c r="AK278" s="379">
        <f t="shared" si="116"/>
        <v>35</v>
      </c>
      <c r="AL278" s="379">
        <f t="shared" si="116"/>
        <v>36</v>
      </c>
      <c r="AM278" s="379">
        <f t="shared" si="116"/>
        <v>37</v>
      </c>
      <c r="AN278" s="379">
        <f t="shared" si="116"/>
        <v>38</v>
      </c>
    </row>
    <row r="279" spans="2:41">
      <c r="W279" s="80"/>
    </row>
    <row r="280" spans="2:41">
      <c r="W280" s="80"/>
    </row>
    <row r="281" spans="2:41">
      <c r="W281" s="80"/>
    </row>
    <row r="282" spans="2:41">
      <c r="W282" s="80"/>
    </row>
    <row r="283" spans="2:41">
      <c r="W283" s="80"/>
    </row>
    <row r="284" spans="2:41">
      <c r="W284" s="80"/>
    </row>
    <row r="285" spans="2:41">
      <c r="W285" s="80"/>
    </row>
    <row r="286" spans="2:41">
      <c r="W286" s="80"/>
    </row>
    <row r="287" spans="2:41">
      <c r="W287" s="80"/>
    </row>
    <row r="288" spans="2:41">
      <c r="W288" s="80"/>
    </row>
    <row r="289" spans="23:23">
      <c r="W289" s="80"/>
    </row>
    <row r="290" spans="23:23">
      <c r="W290" s="80"/>
    </row>
    <row r="291" spans="23:23">
      <c r="W291" s="80"/>
    </row>
    <row r="292" spans="23:23">
      <c r="W292" s="80"/>
    </row>
    <row r="293" spans="23:23">
      <c r="W293" s="80"/>
    </row>
    <row r="294" spans="23:23">
      <c r="W294" s="80"/>
    </row>
    <row r="295" spans="23:23">
      <c r="W295" s="80"/>
    </row>
    <row r="307" spans="3:3">
      <c r="C307" s="113"/>
    </row>
    <row r="308" spans="3:3">
      <c r="C308" s="113"/>
    </row>
    <row r="309" spans="3:3">
      <c r="C309" s="113"/>
    </row>
    <row r="310" spans="3:3">
      <c r="C310" s="113"/>
    </row>
    <row r="311" spans="3:3">
      <c r="C311" s="113"/>
    </row>
    <row r="312" spans="3:3">
      <c r="C312" s="113"/>
    </row>
    <row r="313" spans="3:3">
      <c r="C313" s="113"/>
    </row>
    <row r="314" spans="3:3">
      <c r="C314" s="113"/>
    </row>
    <row r="315" spans="3:3">
      <c r="C315" s="113"/>
    </row>
    <row r="316" spans="3:3">
      <c r="C316" s="113"/>
    </row>
    <row r="317" spans="3:3">
      <c r="C317" s="113"/>
    </row>
    <row r="318" spans="3:3">
      <c r="C318" s="113"/>
    </row>
    <row r="319" spans="3:3">
      <c r="C319" s="113"/>
    </row>
    <row r="320" spans="3:3">
      <c r="C320" s="113"/>
    </row>
    <row r="321" spans="3:3">
      <c r="C321" s="113"/>
    </row>
    <row r="322" spans="3:3">
      <c r="C322" s="113"/>
    </row>
    <row r="323" spans="3:3">
      <c r="C323" s="113"/>
    </row>
    <row r="324" spans="3:3">
      <c r="C324" s="113"/>
    </row>
    <row r="325" spans="3:3">
      <c r="C325" s="113"/>
    </row>
    <row r="326" spans="3:3">
      <c r="C326" s="113"/>
    </row>
    <row r="327" spans="3:3">
      <c r="C327" s="113"/>
    </row>
    <row r="328" spans="3:3">
      <c r="C328" s="113"/>
    </row>
    <row r="329" spans="3:3">
      <c r="C329" s="113"/>
    </row>
    <row r="330" spans="3:3">
      <c r="C330" s="113"/>
    </row>
    <row r="331" spans="3:3">
      <c r="C331" s="113"/>
    </row>
    <row r="332" spans="3:3">
      <c r="C332" s="113"/>
    </row>
    <row r="333" spans="3:3">
      <c r="C333" s="113"/>
    </row>
    <row r="334" spans="3:3">
      <c r="C334" s="113"/>
    </row>
    <row r="335" spans="3:3">
      <c r="C335" s="113"/>
    </row>
    <row r="336" spans="3:3">
      <c r="C336" s="113"/>
    </row>
    <row r="337" spans="3:3">
      <c r="C337" s="113"/>
    </row>
    <row r="338" spans="3:3">
      <c r="C338" s="113"/>
    </row>
    <row r="339" spans="3:3">
      <c r="C339" s="113"/>
    </row>
    <row r="340" spans="3:3">
      <c r="C340" s="113"/>
    </row>
    <row r="341" spans="3:3">
      <c r="C341" s="113"/>
    </row>
    <row r="342" spans="3:3">
      <c r="C342" s="113"/>
    </row>
    <row r="343" spans="3:3">
      <c r="C343" s="113"/>
    </row>
    <row r="344" spans="3:3">
      <c r="C344" s="113"/>
    </row>
    <row r="345" spans="3:3">
      <c r="C345" s="113"/>
    </row>
    <row r="346" spans="3:3">
      <c r="C346" s="113"/>
    </row>
    <row r="347" spans="3:3">
      <c r="C347" s="113"/>
    </row>
    <row r="348" spans="3:3">
      <c r="C348" s="113"/>
    </row>
    <row r="349" spans="3:3">
      <c r="C349" s="113"/>
    </row>
    <row r="350" spans="3:3">
      <c r="C350" s="113"/>
    </row>
    <row r="351" spans="3:3">
      <c r="C351" s="113"/>
    </row>
    <row r="352" spans="3:3">
      <c r="C352" s="113"/>
    </row>
    <row r="353" spans="3:3">
      <c r="C353" s="113"/>
    </row>
    <row r="354" spans="3:3">
      <c r="C354" s="113"/>
    </row>
    <row r="355" spans="3:3">
      <c r="C355" s="113"/>
    </row>
    <row r="356" spans="3:3">
      <c r="C356" s="113"/>
    </row>
    <row r="357" spans="3:3">
      <c r="C357" s="113"/>
    </row>
    <row r="358" spans="3:3">
      <c r="C358" s="113"/>
    </row>
    <row r="359" spans="3:3">
      <c r="C359" s="113"/>
    </row>
    <row r="360" spans="3:3">
      <c r="C360" s="113"/>
    </row>
    <row r="361" spans="3:3">
      <c r="C361" s="113"/>
    </row>
    <row r="362" spans="3:3">
      <c r="C362" s="113"/>
    </row>
    <row r="363" spans="3:3">
      <c r="C363" s="113"/>
    </row>
    <row r="364" spans="3:3">
      <c r="C364" s="113"/>
    </row>
    <row r="365" spans="3:3">
      <c r="C365" s="113"/>
    </row>
    <row r="366" spans="3:3">
      <c r="C366" s="113"/>
    </row>
    <row r="367" spans="3:3">
      <c r="C367" s="113"/>
    </row>
    <row r="368" spans="3:3">
      <c r="C368" s="113"/>
    </row>
    <row r="369" spans="3:3">
      <c r="C369" s="113"/>
    </row>
    <row r="370" spans="3:3">
      <c r="C370" s="113"/>
    </row>
    <row r="371" spans="3:3">
      <c r="C371" s="113"/>
    </row>
    <row r="372" spans="3:3">
      <c r="C372" s="113"/>
    </row>
    <row r="373" spans="3:3">
      <c r="C373" s="113"/>
    </row>
    <row r="374" spans="3:3">
      <c r="C374" s="113"/>
    </row>
    <row r="375" spans="3:3">
      <c r="C375" s="113"/>
    </row>
    <row r="376" spans="3:3">
      <c r="C376" s="113"/>
    </row>
    <row r="377" spans="3:3">
      <c r="C377" s="113"/>
    </row>
    <row r="378" spans="3:3">
      <c r="C378" s="113"/>
    </row>
    <row r="379" spans="3:3">
      <c r="C379" s="113"/>
    </row>
    <row r="380" spans="3:3">
      <c r="C380" s="113"/>
    </row>
    <row r="381" spans="3:3">
      <c r="C381" s="113"/>
    </row>
    <row r="382" spans="3:3">
      <c r="C382" s="113"/>
    </row>
    <row r="383" spans="3:3">
      <c r="C383" s="113"/>
    </row>
    <row r="384" spans="3:3">
      <c r="C384" s="113"/>
    </row>
    <row r="385" spans="3:3">
      <c r="C385" s="113"/>
    </row>
    <row r="386" spans="3:3">
      <c r="C386" s="113"/>
    </row>
    <row r="387" spans="3:3">
      <c r="C387" s="113"/>
    </row>
    <row r="388" spans="3:3">
      <c r="C388" s="113"/>
    </row>
    <row r="389" spans="3:3">
      <c r="C389" s="113"/>
    </row>
    <row r="390" spans="3:3">
      <c r="C390" s="113"/>
    </row>
    <row r="391" spans="3:3">
      <c r="C391" s="113"/>
    </row>
    <row r="392" spans="3:3">
      <c r="C392" s="113"/>
    </row>
    <row r="393" spans="3:3">
      <c r="C393" s="113"/>
    </row>
    <row r="394" spans="3:3">
      <c r="C394" s="113"/>
    </row>
    <row r="395" spans="3:3">
      <c r="C395" s="113"/>
    </row>
    <row r="396" spans="3:3">
      <c r="C396" s="113"/>
    </row>
    <row r="397" spans="3:3">
      <c r="C397" s="113"/>
    </row>
    <row r="398" spans="3:3">
      <c r="C398" s="113"/>
    </row>
    <row r="399" spans="3:3">
      <c r="C399" s="113"/>
    </row>
    <row r="400" spans="3:3">
      <c r="C400" s="113"/>
    </row>
    <row r="401" spans="3:3">
      <c r="C401" s="113"/>
    </row>
    <row r="402" spans="3:3">
      <c r="C402" s="113"/>
    </row>
    <row r="403" spans="3:3">
      <c r="C403" s="113"/>
    </row>
    <row r="404" spans="3:3">
      <c r="C404" s="113"/>
    </row>
    <row r="405" spans="3:3">
      <c r="C405" s="113"/>
    </row>
    <row r="406" spans="3:3">
      <c r="C406" s="113"/>
    </row>
    <row r="407" spans="3:3">
      <c r="C407" s="113"/>
    </row>
    <row r="408" spans="3:3">
      <c r="C408" s="113"/>
    </row>
    <row r="409" spans="3:3">
      <c r="C409" s="113"/>
    </row>
    <row r="410" spans="3:3">
      <c r="C410" s="113"/>
    </row>
    <row r="411" spans="3:3">
      <c r="C411" s="113"/>
    </row>
    <row r="412" spans="3:3">
      <c r="C412" s="113"/>
    </row>
    <row r="413" spans="3:3">
      <c r="C413" s="113"/>
    </row>
    <row r="414" spans="3:3">
      <c r="C414" s="113"/>
    </row>
    <row r="415" spans="3:3">
      <c r="C415" s="113"/>
    </row>
    <row r="416" spans="3:3">
      <c r="C416" s="113"/>
    </row>
    <row r="417" spans="3:3">
      <c r="C417" s="113"/>
    </row>
    <row r="418" spans="3:3">
      <c r="C418" s="113"/>
    </row>
    <row r="419" spans="3:3">
      <c r="C419" s="113"/>
    </row>
    <row r="420" spans="3:3">
      <c r="C420" s="113"/>
    </row>
    <row r="421" spans="3:3">
      <c r="C421" s="113"/>
    </row>
    <row r="422" spans="3:3">
      <c r="C422" s="113"/>
    </row>
    <row r="423" spans="3:3">
      <c r="C423" s="113"/>
    </row>
    <row r="424" spans="3:3">
      <c r="C424" s="113"/>
    </row>
    <row r="425" spans="3:3">
      <c r="C425" s="113"/>
    </row>
    <row r="426" spans="3:3">
      <c r="C426" s="113"/>
    </row>
    <row r="427" spans="3:3">
      <c r="C427" s="113"/>
    </row>
    <row r="428" spans="3:3">
      <c r="C428" s="113"/>
    </row>
    <row r="429" spans="3:3">
      <c r="C429" s="113"/>
    </row>
    <row r="430" spans="3:3">
      <c r="C430" s="113"/>
    </row>
    <row r="431" spans="3:3">
      <c r="C431" s="113"/>
    </row>
    <row r="432" spans="3:3">
      <c r="C432" s="113"/>
    </row>
    <row r="433" spans="3:3">
      <c r="C433" s="113"/>
    </row>
    <row r="434" spans="3:3">
      <c r="C434" s="113"/>
    </row>
    <row r="435" spans="3:3">
      <c r="C435" s="113"/>
    </row>
    <row r="436" spans="3:3">
      <c r="C436" s="113"/>
    </row>
    <row r="437" spans="3:3">
      <c r="C437" s="113"/>
    </row>
    <row r="438" spans="3:3">
      <c r="C438" s="113"/>
    </row>
    <row r="439" spans="3:3">
      <c r="C439" s="113"/>
    </row>
    <row r="440" spans="3:3">
      <c r="C440" s="113"/>
    </row>
    <row r="441" spans="3:3">
      <c r="C441" s="113"/>
    </row>
    <row r="442" spans="3:3">
      <c r="C442" s="113"/>
    </row>
    <row r="443" spans="3:3">
      <c r="C443" s="113"/>
    </row>
    <row r="444" spans="3:3">
      <c r="C444" s="113"/>
    </row>
    <row r="445" spans="3:3">
      <c r="C445" s="113"/>
    </row>
    <row r="446" spans="3:3">
      <c r="C446" s="113"/>
    </row>
    <row r="447" spans="3:3">
      <c r="C447" s="113"/>
    </row>
    <row r="448" spans="3:3">
      <c r="C448" s="113"/>
    </row>
    <row r="449" spans="3:3">
      <c r="C449" s="113"/>
    </row>
    <row r="450" spans="3:3">
      <c r="C450" s="113"/>
    </row>
    <row r="451" spans="3:3">
      <c r="C451" s="113"/>
    </row>
    <row r="452" spans="3:3">
      <c r="C452" s="113"/>
    </row>
    <row r="453" spans="3:3">
      <c r="C453" s="113"/>
    </row>
    <row r="454" spans="3:3">
      <c r="C454" s="113"/>
    </row>
    <row r="455" spans="3:3">
      <c r="C455" s="113"/>
    </row>
    <row r="456" spans="3:3">
      <c r="C456" s="113"/>
    </row>
    <row r="457" spans="3:3">
      <c r="C457" s="113"/>
    </row>
    <row r="458" spans="3:3">
      <c r="C458" s="113"/>
    </row>
    <row r="459" spans="3:3">
      <c r="C459" s="113"/>
    </row>
    <row r="460" spans="3:3">
      <c r="C460" s="113"/>
    </row>
    <row r="461" spans="3:3">
      <c r="C461" s="113"/>
    </row>
    <row r="462" spans="3:3">
      <c r="C462" s="113"/>
    </row>
    <row r="463" spans="3:3">
      <c r="C463" s="113"/>
    </row>
    <row r="464" spans="3:3">
      <c r="C464" s="113"/>
    </row>
    <row r="465" spans="3:3">
      <c r="C465" s="113"/>
    </row>
    <row r="466" spans="3:3">
      <c r="C466" s="113"/>
    </row>
    <row r="467" spans="3:3">
      <c r="C467" s="113"/>
    </row>
    <row r="468" spans="3:3">
      <c r="C468" s="113"/>
    </row>
    <row r="469" spans="3:3">
      <c r="C469" s="113"/>
    </row>
    <row r="470" spans="3:3">
      <c r="C470" s="113"/>
    </row>
    <row r="471" spans="3:3">
      <c r="C471" s="113"/>
    </row>
    <row r="472" spans="3:3">
      <c r="C472" s="113"/>
    </row>
    <row r="473" spans="3:3">
      <c r="C473" s="113"/>
    </row>
    <row r="474" spans="3:3">
      <c r="C474" s="113"/>
    </row>
    <row r="475" spans="3:3">
      <c r="C475" s="113"/>
    </row>
    <row r="476" spans="3:3">
      <c r="C476" s="113"/>
    </row>
    <row r="477" spans="3:3">
      <c r="C477" s="113"/>
    </row>
    <row r="478" spans="3:3">
      <c r="C478" s="113"/>
    </row>
    <row r="479" spans="3:3">
      <c r="C479" s="113"/>
    </row>
    <row r="480" spans="3:3">
      <c r="C480" s="113"/>
    </row>
    <row r="481" spans="3:3">
      <c r="C481" s="113"/>
    </row>
    <row r="482" spans="3:3">
      <c r="C482" s="113"/>
    </row>
    <row r="483" spans="3:3">
      <c r="C483" s="113"/>
    </row>
    <row r="484" spans="3:3">
      <c r="C484" s="113"/>
    </row>
    <row r="485" spans="3:3">
      <c r="C485" s="113"/>
    </row>
    <row r="486" spans="3:3">
      <c r="C486" s="113"/>
    </row>
    <row r="487" spans="3:3">
      <c r="C487" s="113"/>
    </row>
    <row r="488" spans="3:3">
      <c r="C488" s="113"/>
    </row>
    <row r="489" spans="3:3">
      <c r="C489" s="113"/>
    </row>
    <row r="490" spans="3:3">
      <c r="C490" s="113"/>
    </row>
    <row r="491" spans="3:3">
      <c r="C491" s="113"/>
    </row>
    <row r="492" spans="3:3">
      <c r="C492" s="113"/>
    </row>
    <row r="493" spans="3:3">
      <c r="C493" s="113"/>
    </row>
    <row r="494" spans="3:3">
      <c r="C494" s="113"/>
    </row>
    <row r="495" spans="3:3">
      <c r="C495" s="113"/>
    </row>
    <row r="496" spans="3:3">
      <c r="C496" s="113"/>
    </row>
    <row r="497" spans="3:3">
      <c r="C497" s="113"/>
    </row>
    <row r="498" spans="3:3">
      <c r="C498" s="113"/>
    </row>
    <row r="499" spans="3:3">
      <c r="C499" s="113"/>
    </row>
    <row r="500" spans="3:3">
      <c r="C500" s="113"/>
    </row>
    <row r="501" spans="3:3">
      <c r="C501" s="113"/>
    </row>
    <row r="502" spans="3:3">
      <c r="C502" s="113"/>
    </row>
    <row r="503" spans="3:3">
      <c r="C503" s="113"/>
    </row>
    <row r="504" spans="3:3">
      <c r="C504" s="113"/>
    </row>
    <row r="505" spans="3:3">
      <c r="C505" s="113"/>
    </row>
    <row r="506" spans="3:3">
      <c r="C506" s="113"/>
    </row>
    <row r="507" spans="3:3">
      <c r="C507" s="113"/>
    </row>
    <row r="508" spans="3:3">
      <c r="C508" s="113"/>
    </row>
    <row r="509" spans="3:3">
      <c r="C509" s="113"/>
    </row>
    <row r="510" spans="3:3">
      <c r="C510" s="113"/>
    </row>
    <row r="511" spans="3:3">
      <c r="C511" s="113"/>
    </row>
    <row r="512" spans="3:3">
      <c r="C512" s="113"/>
    </row>
    <row r="513" spans="3:3">
      <c r="C513" s="113"/>
    </row>
    <row r="514" spans="3:3">
      <c r="C514" s="113"/>
    </row>
    <row r="515" spans="3:3">
      <c r="C515" s="113"/>
    </row>
    <row r="516" spans="3:3">
      <c r="C516" s="113"/>
    </row>
    <row r="517" spans="3:3">
      <c r="C517" s="113"/>
    </row>
    <row r="518" spans="3:3">
      <c r="C518" s="113"/>
    </row>
    <row r="519" spans="3:3">
      <c r="C519" s="113"/>
    </row>
    <row r="520" spans="3:3">
      <c r="C520" s="113"/>
    </row>
    <row r="521" spans="3:3">
      <c r="C521" s="113"/>
    </row>
    <row r="522" spans="3:3">
      <c r="C522" s="113"/>
    </row>
    <row r="523" spans="3:3">
      <c r="C523" s="113"/>
    </row>
    <row r="524" spans="3:3">
      <c r="C524" s="113"/>
    </row>
    <row r="525" spans="3:3">
      <c r="C525" s="113"/>
    </row>
    <row r="526" spans="3:3">
      <c r="C526" s="113"/>
    </row>
    <row r="527" spans="3:3">
      <c r="C527" s="113"/>
    </row>
    <row r="528" spans="3:3">
      <c r="C528" s="113"/>
    </row>
    <row r="529" spans="3:3">
      <c r="C529" s="113"/>
    </row>
    <row r="530" spans="3:3">
      <c r="C530" s="113"/>
    </row>
    <row r="531" spans="3:3">
      <c r="C531" s="113"/>
    </row>
    <row r="532" spans="3:3">
      <c r="C532" s="113"/>
    </row>
    <row r="533" spans="3:3">
      <c r="C533" s="113"/>
    </row>
    <row r="534" spans="3:3">
      <c r="C534" s="113"/>
    </row>
    <row r="535" spans="3:3">
      <c r="C535" s="113"/>
    </row>
    <row r="536" spans="3:3">
      <c r="C536" s="113"/>
    </row>
    <row r="537" spans="3:3">
      <c r="C537" s="113"/>
    </row>
    <row r="538" spans="3:3">
      <c r="C538" s="113"/>
    </row>
    <row r="539" spans="3:3">
      <c r="C539" s="113"/>
    </row>
    <row r="540" spans="3:3">
      <c r="C540" s="113"/>
    </row>
    <row r="541" spans="3:3">
      <c r="C541" s="113"/>
    </row>
    <row r="542" spans="3:3">
      <c r="C542" s="113"/>
    </row>
    <row r="543" spans="3:3">
      <c r="C543" s="113"/>
    </row>
    <row r="544" spans="3:3">
      <c r="C544" s="113"/>
    </row>
    <row r="545" spans="3:3">
      <c r="C545" s="113"/>
    </row>
    <row r="546" spans="3:3">
      <c r="C546" s="113"/>
    </row>
    <row r="547" spans="3:3">
      <c r="C547" s="113"/>
    </row>
    <row r="548" spans="3:3">
      <c r="C548" s="113"/>
    </row>
    <row r="549" spans="3:3">
      <c r="C549" s="113"/>
    </row>
    <row r="550" spans="3:3">
      <c r="C550" s="113"/>
    </row>
    <row r="551" spans="3:3">
      <c r="C551" s="113"/>
    </row>
    <row r="552" spans="3:3">
      <c r="C552" s="113"/>
    </row>
    <row r="553" spans="3:3">
      <c r="C553" s="113"/>
    </row>
    <row r="554" spans="3:3">
      <c r="C554" s="113"/>
    </row>
    <row r="555" spans="3:3">
      <c r="C555" s="113"/>
    </row>
    <row r="556" spans="3:3">
      <c r="C556" s="113"/>
    </row>
    <row r="557" spans="3:3">
      <c r="C557" s="113"/>
    </row>
    <row r="558" spans="3:3">
      <c r="C558" s="113"/>
    </row>
    <row r="559" spans="3:3">
      <c r="C559" s="113"/>
    </row>
    <row r="560" spans="3:3">
      <c r="C560" s="113"/>
    </row>
    <row r="561" spans="3:3">
      <c r="C561" s="113"/>
    </row>
    <row r="562" spans="3:3">
      <c r="C562" s="113"/>
    </row>
    <row r="563" spans="3:3">
      <c r="C563" s="113"/>
    </row>
    <row r="564" spans="3:3">
      <c r="C564" s="113"/>
    </row>
    <row r="565" spans="3:3">
      <c r="C565" s="113"/>
    </row>
    <row r="566" spans="3:3">
      <c r="C566" s="113"/>
    </row>
    <row r="567" spans="3:3">
      <c r="C567" s="113"/>
    </row>
    <row r="568" spans="3:3">
      <c r="C568" s="113"/>
    </row>
    <row r="569" spans="3:3">
      <c r="C569" s="113"/>
    </row>
    <row r="570" spans="3:3">
      <c r="C570" s="113"/>
    </row>
    <row r="571" spans="3:3">
      <c r="C571" s="113"/>
    </row>
    <row r="572" spans="3:3">
      <c r="C572" s="113"/>
    </row>
    <row r="573" spans="3:3">
      <c r="C573" s="113"/>
    </row>
    <row r="574" spans="3:3">
      <c r="C574" s="113"/>
    </row>
    <row r="575" spans="3:3">
      <c r="C575" s="113"/>
    </row>
    <row r="576" spans="3:3">
      <c r="C576" s="113"/>
    </row>
    <row r="577" spans="3:3">
      <c r="C577" s="113"/>
    </row>
    <row r="578" spans="3:3">
      <c r="C578" s="113"/>
    </row>
    <row r="579" spans="3:3">
      <c r="C579" s="113"/>
    </row>
    <row r="580" spans="3:3">
      <c r="C580" s="113"/>
    </row>
    <row r="581" spans="3:3">
      <c r="C581" s="113"/>
    </row>
    <row r="582" spans="3:3">
      <c r="C582" s="113"/>
    </row>
    <row r="583" spans="3:3">
      <c r="C583" s="113"/>
    </row>
    <row r="584" spans="3:3">
      <c r="C584" s="113"/>
    </row>
    <row r="585" spans="3:3">
      <c r="C585" s="113"/>
    </row>
    <row r="586" spans="3:3">
      <c r="C586" s="113"/>
    </row>
    <row r="587" spans="3:3">
      <c r="C587" s="113"/>
    </row>
    <row r="588" spans="3:3">
      <c r="C588" s="113"/>
    </row>
    <row r="589" spans="3:3">
      <c r="C589" s="113"/>
    </row>
    <row r="590" spans="3:3">
      <c r="C590" s="113"/>
    </row>
    <row r="591" spans="3:3">
      <c r="C591" s="113"/>
    </row>
    <row r="592" spans="3:3">
      <c r="C592" s="113"/>
    </row>
    <row r="593" spans="3:3">
      <c r="C593" s="113"/>
    </row>
    <row r="594" spans="3:3">
      <c r="C594" s="113"/>
    </row>
    <row r="595" spans="3:3">
      <c r="C595" s="113"/>
    </row>
    <row r="596" spans="3:3">
      <c r="C596" s="113"/>
    </row>
    <row r="597" spans="3:3">
      <c r="C597" s="113"/>
    </row>
    <row r="598" spans="3:3">
      <c r="C598" s="113"/>
    </row>
    <row r="599" spans="3:3">
      <c r="C599" s="113"/>
    </row>
    <row r="600" spans="3:3">
      <c r="C600" s="113"/>
    </row>
    <row r="601" spans="3:3">
      <c r="C601" s="113"/>
    </row>
    <row r="602" spans="3:3">
      <c r="C602" s="113"/>
    </row>
    <row r="603" spans="3:3">
      <c r="C603" s="113"/>
    </row>
    <row r="604" spans="3:3">
      <c r="C604" s="113"/>
    </row>
    <row r="605" spans="3:3">
      <c r="C605" s="113"/>
    </row>
    <row r="606" spans="3:3">
      <c r="C606" s="113"/>
    </row>
    <row r="607" spans="3:3">
      <c r="C607" s="113"/>
    </row>
    <row r="608" spans="3:3">
      <c r="C608" s="113"/>
    </row>
    <row r="609" spans="3:3">
      <c r="C609" s="113"/>
    </row>
    <row r="610" spans="3:3">
      <c r="C610" s="113"/>
    </row>
    <row r="611" spans="3:3">
      <c r="C611" s="113"/>
    </row>
    <row r="612" spans="3:3">
      <c r="C612" s="113"/>
    </row>
    <row r="613" spans="3:3">
      <c r="C613" s="113"/>
    </row>
    <row r="614" spans="3:3">
      <c r="C614" s="113"/>
    </row>
    <row r="615" spans="3:3">
      <c r="C615" s="113"/>
    </row>
    <row r="616" spans="3:3">
      <c r="C616" s="113"/>
    </row>
    <row r="617" spans="3:3">
      <c r="C617" s="113"/>
    </row>
    <row r="618" spans="3:3">
      <c r="C618" s="113"/>
    </row>
    <row r="619" spans="3:3">
      <c r="C619" s="113"/>
    </row>
    <row r="620" spans="3:3">
      <c r="C620" s="113"/>
    </row>
    <row r="621" spans="3:3">
      <c r="C621" s="113"/>
    </row>
    <row r="622" spans="3:3">
      <c r="C622" s="113"/>
    </row>
    <row r="623" spans="3:3">
      <c r="C623" s="113"/>
    </row>
    <row r="624" spans="3:3">
      <c r="C624" s="113"/>
    </row>
    <row r="625" spans="3:3">
      <c r="C625" s="113"/>
    </row>
    <row r="626" spans="3:3">
      <c r="C626" s="113"/>
    </row>
    <row r="627" spans="3:3">
      <c r="C627" s="113"/>
    </row>
    <row r="628" spans="3:3">
      <c r="C628" s="113"/>
    </row>
    <row r="629" spans="3:3">
      <c r="C629" s="113"/>
    </row>
    <row r="630" spans="3:3">
      <c r="C630" s="113"/>
    </row>
    <row r="631" spans="3:3">
      <c r="C631" s="113"/>
    </row>
    <row r="632" spans="3:3">
      <c r="C632" s="113"/>
    </row>
    <row r="633" spans="3:3">
      <c r="C633" s="113"/>
    </row>
    <row r="634" spans="3:3">
      <c r="C634" s="113"/>
    </row>
    <row r="635" spans="3:3">
      <c r="C635" s="113"/>
    </row>
    <row r="636" spans="3:3">
      <c r="C636" s="113"/>
    </row>
    <row r="637" spans="3:3">
      <c r="C637" s="113"/>
    </row>
    <row r="638" spans="3:3">
      <c r="C638" s="113"/>
    </row>
    <row r="639" spans="3:3">
      <c r="C639" s="113"/>
    </row>
    <row r="640" spans="3:3">
      <c r="C640" s="113"/>
    </row>
    <row r="641" spans="3:3">
      <c r="C641" s="113"/>
    </row>
    <row r="642" spans="3:3">
      <c r="C642" s="113"/>
    </row>
    <row r="643" spans="3:3">
      <c r="C643" s="113"/>
    </row>
    <row r="644" spans="3:3">
      <c r="C644" s="113"/>
    </row>
    <row r="645" spans="3:3">
      <c r="C645" s="113"/>
    </row>
    <row r="646" spans="3:3">
      <c r="C646" s="113"/>
    </row>
    <row r="647" spans="3:3">
      <c r="C647" s="113"/>
    </row>
    <row r="648" spans="3:3">
      <c r="C648" s="113"/>
    </row>
    <row r="649" spans="3:3">
      <c r="C649" s="113"/>
    </row>
    <row r="650" spans="3:3">
      <c r="C650" s="113"/>
    </row>
    <row r="651" spans="3:3">
      <c r="C651" s="113"/>
    </row>
    <row r="652" spans="3:3">
      <c r="C652" s="113"/>
    </row>
    <row r="653" spans="3:3">
      <c r="C653" s="113"/>
    </row>
    <row r="654" spans="3:3">
      <c r="C654" s="113"/>
    </row>
    <row r="655" spans="3:3">
      <c r="C655" s="113"/>
    </row>
    <row r="656" spans="3:3">
      <c r="C656" s="113"/>
    </row>
    <row r="657" spans="3:3">
      <c r="C657" s="113"/>
    </row>
    <row r="658" spans="3:3">
      <c r="C658" s="113"/>
    </row>
    <row r="659" spans="3:3">
      <c r="C659" s="113"/>
    </row>
    <row r="660" spans="3:3">
      <c r="C660" s="113"/>
    </row>
    <row r="661" spans="3:3">
      <c r="C661" s="113"/>
    </row>
    <row r="662" spans="3:3">
      <c r="C662" s="113"/>
    </row>
    <row r="663" spans="3:3">
      <c r="C663" s="113"/>
    </row>
    <row r="664" spans="3:3">
      <c r="C664" s="113"/>
    </row>
    <row r="665" spans="3:3">
      <c r="C665" s="113"/>
    </row>
    <row r="666" spans="3:3">
      <c r="C666" s="113"/>
    </row>
    <row r="667" spans="3:3">
      <c r="C667" s="113"/>
    </row>
    <row r="668" spans="3:3">
      <c r="C668" s="113"/>
    </row>
    <row r="669" spans="3:3">
      <c r="C669" s="113"/>
    </row>
    <row r="670" spans="3:3">
      <c r="C670" s="113"/>
    </row>
    <row r="671" spans="3:3">
      <c r="C671" s="113"/>
    </row>
    <row r="672" spans="3:3">
      <c r="C672" s="113"/>
    </row>
    <row r="673" spans="3:3">
      <c r="C673" s="113"/>
    </row>
    <row r="674" spans="3:3">
      <c r="C674" s="113"/>
    </row>
    <row r="675" spans="3:3">
      <c r="C675" s="113"/>
    </row>
    <row r="676" spans="3:3">
      <c r="C676" s="113"/>
    </row>
    <row r="677" spans="3:3">
      <c r="C677" s="113"/>
    </row>
    <row r="678" spans="3:3">
      <c r="C678" s="113"/>
    </row>
    <row r="679" spans="3:3">
      <c r="C679" s="113"/>
    </row>
    <row r="680" spans="3:3">
      <c r="C680" s="113"/>
    </row>
    <row r="681" spans="3:3">
      <c r="C681" s="113"/>
    </row>
    <row r="682" spans="3:3">
      <c r="C682" s="113"/>
    </row>
    <row r="683" spans="3:3">
      <c r="C683" s="113"/>
    </row>
    <row r="684" spans="3:3">
      <c r="C684" s="113"/>
    </row>
    <row r="685" spans="3:3">
      <c r="C685" s="113"/>
    </row>
    <row r="686" spans="3:3">
      <c r="C686" s="113"/>
    </row>
    <row r="687" spans="3:3">
      <c r="C687" s="113"/>
    </row>
    <row r="688" spans="3:3">
      <c r="C688" s="113"/>
    </row>
    <row r="689" spans="3:3">
      <c r="C689" s="113"/>
    </row>
    <row r="690" spans="3:3">
      <c r="C690" s="113"/>
    </row>
    <row r="691" spans="3:3">
      <c r="C691" s="113"/>
    </row>
    <row r="692" spans="3:3">
      <c r="C692" s="113"/>
    </row>
    <row r="693" spans="3:3">
      <c r="C693" s="113"/>
    </row>
    <row r="694" spans="3:3">
      <c r="C694" s="113"/>
    </row>
    <row r="695" spans="3:3">
      <c r="C695" s="113"/>
    </row>
    <row r="696" spans="3:3">
      <c r="C696" s="113"/>
    </row>
    <row r="697" spans="3:3">
      <c r="C697" s="113"/>
    </row>
    <row r="698" spans="3:3">
      <c r="C698" s="113"/>
    </row>
    <row r="699" spans="3:3">
      <c r="C699" s="113"/>
    </row>
    <row r="700" spans="3:3">
      <c r="C700" s="113"/>
    </row>
    <row r="701" spans="3:3">
      <c r="C701" s="113"/>
    </row>
    <row r="702" spans="3:3">
      <c r="C702" s="113"/>
    </row>
    <row r="703" spans="3:3">
      <c r="C703" s="113"/>
    </row>
    <row r="704" spans="3:3">
      <c r="C704" s="113"/>
    </row>
    <row r="705" spans="3:3">
      <c r="C705" s="113"/>
    </row>
    <row r="706" spans="3:3">
      <c r="C706" s="113"/>
    </row>
    <row r="707" spans="3:3">
      <c r="C707" s="113"/>
    </row>
    <row r="708" spans="3:3">
      <c r="C708" s="113"/>
    </row>
    <row r="709" spans="3:3">
      <c r="C709" s="113"/>
    </row>
    <row r="710" spans="3:3">
      <c r="C710" s="113"/>
    </row>
    <row r="711" spans="3:3">
      <c r="C711" s="113"/>
    </row>
    <row r="712" spans="3:3">
      <c r="C712" s="113"/>
    </row>
    <row r="713" spans="3:3">
      <c r="C713" s="113"/>
    </row>
    <row r="714" spans="3:3">
      <c r="C714" s="113"/>
    </row>
    <row r="715" spans="3:3">
      <c r="C715" s="113"/>
    </row>
    <row r="716" spans="3:3">
      <c r="C716" s="113"/>
    </row>
    <row r="717" spans="3:3">
      <c r="C717" s="113"/>
    </row>
    <row r="718" spans="3:3">
      <c r="C718" s="113"/>
    </row>
    <row r="719" spans="3:3">
      <c r="C719" s="113"/>
    </row>
    <row r="720" spans="3:3">
      <c r="C720" s="113"/>
    </row>
    <row r="721" spans="3:3">
      <c r="C721" s="113"/>
    </row>
    <row r="722" spans="3:3">
      <c r="C722" s="113"/>
    </row>
    <row r="723" spans="3:3">
      <c r="C723" s="113"/>
    </row>
    <row r="724" spans="3:3">
      <c r="C724" s="113"/>
    </row>
    <row r="725" spans="3:3">
      <c r="C725" s="113"/>
    </row>
    <row r="726" spans="3:3">
      <c r="C726" s="113"/>
    </row>
    <row r="727" spans="3:3">
      <c r="C727" s="113"/>
    </row>
    <row r="728" spans="3:3">
      <c r="C728" s="113"/>
    </row>
    <row r="729" spans="3:3">
      <c r="C729" s="113"/>
    </row>
    <row r="730" spans="3:3">
      <c r="C730" s="113"/>
    </row>
    <row r="731" spans="3:3">
      <c r="C731" s="113"/>
    </row>
    <row r="732" spans="3:3">
      <c r="C732" s="113"/>
    </row>
    <row r="733" spans="3:3">
      <c r="C733" s="113"/>
    </row>
    <row r="734" spans="3:3">
      <c r="C734" s="113"/>
    </row>
    <row r="735" spans="3:3">
      <c r="C735" s="113"/>
    </row>
    <row r="736" spans="3:3">
      <c r="C736" s="113"/>
    </row>
    <row r="737" spans="3:3">
      <c r="C737" s="113"/>
    </row>
    <row r="738" spans="3:3">
      <c r="C738" s="113"/>
    </row>
    <row r="739" spans="3:3">
      <c r="C739" s="113"/>
    </row>
    <row r="740" spans="3:3">
      <c r="C740" s="113"/>
    </row>
    <row r="741" spans="3:3">
      <c r="C741" s="113"/>
    </row>
    <row r="742" spans="3:3">
      <c r="C742" s="113"/>
    </row>
    <row r="743" spans="3:3">
      <c r="C743" s="113"/>
    </row>
    <row r="744" spans="3:3">
      <c r="C744" s="113"/>
    </row>
    <row r="745" spans="3:3">
      <c r="C745" s="113"/>
    </row>
    <row r="746" spans="3:3">
      <c r="C746" s="113"/>
    </row>
    <row r="747" spans="3:3">
      <c r="C747" s="113"/>
    </row>
    <row r="748" spans="3:3">
      <c r="C748" s="113"/>
    </row>
    <row r="749" spans="3:3">
      <c r="C749" s="113"/>
    </row>
    <row r="750" spans="3:3">
      <c r="C750" s="113"/>
    </row>
    <row r="751" spans="3:3">
      <c r="C751" s="113"/>
    </row>
    <row r="752" spans="3:3">
      <c r="C752" s="113"/>
    </row>
    <row r="753" spans="3:3">
      <c r="C753" s="113"/>
    </row>
    <row r="754" spans="3:3">
      <c r="C754" s="113"/>
    </row>
    <row r="755" spans="3:3">
      <c r="C755" s="113"/>
    </row>
    <row r="756" spans="3:3">
      <c r="C756" s="113"/>
    </row>
    <row r="757" spans="3:3">
      <c r="C757" s="113"/>
    </row>
    <row r="758" spans="3:3">
      <c r="C758" s="113"/>
    </row>
    <row r="759" spans="3:3">
      <c r="C759" s="113"/>
    </row>
    <row r="760" spans="3:3">
      <c r="C760" s="113"/>
    </row>
    <row r="761" spans="3:3">
      <c r="C761" s="113"/>
    </row>
    <row r="762" spans="3:3">
      <c r="C762" s="113"/>
    </row>
    <row r="763" spans="3:3">
      <c r="C763" s="113"/>
    </row>
    <row r="764" spans="3:3">
      <c r="C764" s="113"/>
    </row>
    <row r="765" spans="3:3">
      <c r="C765" s="113"/>
    </row>
    <row r="766" spans="3:3">
      <c r="C766" s="113"/>
    </row>
    <row r="767" spans="3:3">
      <c r="C767" s="113"/>
    </row>
    <row r="768" spans="3:3">
      <c r="C768" s="113"/>
    </row>
    <row r="769" spans="3:3">
      <c r="C769" s="113"/>
    </row>
    <row r="770" spans="3:3">
      <c r="C770" s="113"/>
    </row>
    <row r="771" spans="3:3">
      <c r="C771" s="113"/>
    </row>
    <row r="772" spans="3:3">
      <c r="C772" s="113"/>
    </row>
    <row r="773" spans="3:3">
      <c r="C773" s="113"/>
    </row>
    <row r="774" spans="3:3">
      <c r="C774" s="113"/>
    </row>
    <row r="775" spans="3:3">
      <c r="C775" s="113"/>
    </row>
    <row r="776" spans="3:3">
      <c r="C776" s="113"/>
    </row>
    <row r="777" spans="3:3">
      <c r="C777" s="113"/>
    </row>
    <row r="778" spans="3:3">
      <c r="C778" s="113"/>
    </row>
    <row r="779" spans="3:3">
      <c r="C779" s="113"/>
    </row>
    <row r="780" spans="3:3">
      <c r="C780" s="113"/>
    </row>
    <row r="781" spans="3:3">
      <c r="C781" s="113"/>
    </row>
    <row r="782" spans="3:3">
      <c r="C782" s="113"/>
    </row>
    <row r="783" spans="3:3">
      <c r="C783" s="113"/>
    </row>
    <row r="784" spans="3:3">
      <c r="C784" s="113"/>
    </row>
    <row r="785" spans="3:3">
      <c r="C785" s="113"/>
    </row>
    <row r="786" spans="3:3">
      <c r="C786" s="113"/>
    </row>
    <row r="787" spans="3:3">
      <c r="C787" s="113"/>
    </row>
    <row r="788" spans="3:3">
      <c r="C788" s="113"/>
    </row>
    <row r="789" spans="3:3">
      <c r="C789" s="113"/>
    </row>
    <row r="790" spans="3:3">
      <c r="C790" s="113"/>
    </row>
    <row r="791" spans="3:3">
      <c r="C791" s="113"/>
    </row>
    <row r="792" spans="3:3">
      <c r="C792" s="113"/>
    </row>
    <row r="793" spans="3:3">
      <c r="C793" s="113"/>
    </row>
    <row r="794" spans="3:3">
      <c r="C794" s="113"/>
    </row>
    <row r="795" spans="3:3">
      <c r="C795" s="113"/>
    </row>
    <row r="796" spans="3:3">
      <c r="C796" s="113"/>
    </row>
    <row r="797" spans="3:3">
      <c r="C797" s="113"/>
    </row>
    <row r="798" spans="3:3">
      <c r="C798" s="113"/>
    </row>
    <row r="799" spans="3:3">
      <c r="C799" s="113"/>
    </row>
    <row r="800" spans="3:3">
      <c r="C800" s="113"/>
    </row>
    <row r="801" spans="3:3">
      <c r="C801" s="113"/>
    </row>
    <row r="802" spans="3:3">
      <c r="C802" s="113"/>
    </row>
    <row r="803" spans="3:3">
      <c r="C803" s="113"/>
    </row>
    <row r="804" spans="3:3">
      <c r="C804" s="113"/>
    </row>
    <row r="805" spans="3:3">
      <c r="C805" s="113"/>
    </row>
    <row r="806" spans="3:3">
      <c r="C806" s="113"/>
    </row>
    <row r="807" spans="3:3">
      <c r="C807" s="113"/>
    </row>
    <row r="808" spans="3:3">
      <c r="C808" s="113"/>
    </row>
    <row r="809" spans="3:3">
      <c r="C809" s="113"/>
    </row>
    <row r="810" spans="3:3">
      <c r="C810" s="113"/>
    </row>
    <row r="811" spans="3:3">
      <c r="C811" s="113"/>
    </row>
    <row r="812" spans="3:3">
      <c r="C812" s="113"/>
    </row>
    <row r="813" spans="3:3">
      <c r="C813" s="113"/>
    </row>
    <row r="814" spans="3:3">
      <c r="C814" s="113"/>
    </row>
    <row r="815" spans="3:3">
      <c r="C815" s="113"/>
    </row>
    <row r="816" spans="3:3">
      <c r="C816" s="113"/>
    </row>
    <row r="817" spans="3:3">
      <c r="C817" s="113"/>
    </row>
    <row r="818" spans="3:3">
      <c r="C818" s="113"/>
    </row>
    <row r="819" spans="3:3">
      <c r="C819" s="113"/>
    </row>
    <row r="820" spans="3:3">
      <c r="C820" s="113"/>
    </row>
    <row r="821" spans="3:3">
      <c r="C821" s="113"/>
    </row>
    <row r="822" spans="3:3">
      <c r="C822" s="113"/>
    </row>
    <row r="823" spans="3:3">
      <c r="C823" s="113"/>
    </row>
    <row r="824" spans="3:3">
      <c r="C824" s="113"/>
    </row>
    <row r="825" spans="3:3">
      <c r="C825" s="113"/>
    </row>
    <row r="826" spans="3:3">
      <c r="C826" s="113"/>
    </row>
    <row r="827" spans="3:3">
      <c r="C827" s="113"/>
    </row>
    <row r="828" spans="3:3">
      <c r="C828" s="113"/>
    </row>
    <row r="829" spans="3:3">
      <c r="C829" s="113"/>
    </row>
    <row r="830" spans="3:3">
      <c r="C830" s="113"/>
    </row>
    <row r="831" spans="3:3">
      <c r="C831" s="113"/>
    </row>
    <row r="832" spans="3:3">
      <c r="C832" s="113"/>
    </row>
    <row r="833" spans="3:3">
      <c r="C833" s="113"/>
    </row>
    <row r="834" spans="3:3">
      <c r="C834" s="113"/>
    </row>
    <row r="835" spans="3:3">
      <c r="C835" s="113"/>
    </row>
    <row r="836" spans="3:3">
      <c r="C836" s="113"/>
    </row>
    <row r="837" spans="3:3">
      <c r="C837" s="113"/>
    </row>
    <row r="838" spans="3:3">
      <c r="C838" s="113"/>
    </row>
    <row r="839" spans="3:3">
      <c r="C839" s="113"/>
    </row>
    <row r="840" spans="3:3">
      <c r="C840" s="113"/>
    </row>
    <row r="841" spans="3:3">
      <c r="C841" s="113"/>
    </row>
    <row r="842" spans="3:3">
      <c r="C842" s="113"/>
    </row>
    <row r="843" spans="3:3">
      <c r="C843" s="113"/>
    </row>
    <row r="844" spans="3:3">
      <c r="C844" s="113"/>
    </row>
    <row r="845" spans="3:3">
      <c r="C845" s="113"/>
    </row>
    <row r="846" spans="3:3">
      <c r="C846" s="113"/>
    </row>
    <row r="847" spans="3:3">
      <c r="C847" s="113"/>
    </row>
    <row r="848" spans="3:3">
      <c r="C848" s="113"/>
    </row>
    <row r="849" spans="3:3">
      <c r="C849" s="113"/>
    </row>
    <row r="850" spans="3:3">
      <c r="C850" s="113"/>
    </row>
    <row r="851" spans="3:3">
      <c r="C851" s="113"/>
    </row>
    <row r="852" spans="3:3">
      <c r="C852" s="113"/>
    </row>
    <row r="853" spans="3:3">
      <c r="C853" s="113"/>
    </row>
    <row r="854" spans="3:3">
      <c r="C854" s="113"/>
    </row>
    <row r="855" spans="3:3">
      <c r="C855" s="113"/>
    </row>
    <row r="856" spans="3:3">
      <c r="C856" s="113"/>
    </row>
    <row r="857" spans="3:3">
      <c r="C857" s="113"/>
    </row>
    <row r="858" spans="3:3">
      <c r="C858" s="113"/>
    </row>
    <row r="859" spans="3:3">
      <c r="C859" s="113"/>
    </row>
    <row r="860" spans="3:3">
      <c r="C860" s="113"/>
    </row>
    <row r="861" spans="3:3">
      <c r="C861" s="113"/>
    </row>
    <row r="862" spans="3:3">
      <c r="C862" s="113"/>
    </row>
    <row r="863" spans="3:3">
      <c r="C863" s="113"/>
    </row>
    <row r="864" spans="3:3">
      <c r="C864" s="113"/>
    </row>
    <row r="865" spans="3:3">
      <c r="C865" s="113"/>
    </row>
    <row r="866" spans="3:3">
      <c r="C866" s="113"/>
    </row>
    <row r="867" spans="3:3">
      <c r="C867" s="113"/>
    </row>
    <row r="868" spans="3:3">
      <c r="C868" s="113"/>
    </row>
    <row r="869" spans="3:3">
      <c r="C869" s="113"/>
    </row>
    <row r="870" spans="3:3">
      <c r="C870" s="113"/>
    </row>
    <row r="871" spans="3:3">
      <c r="C871" s="113"/>
    </row>
    <row r="872" spans="3:3">
      <c r="C872" s="113"/>
    </row>
    <row r="873" spans="3:3">
      <c r="C873" s="113"/>
    </row>
    <row r="874" spans="3:3">
      <c r="C874" s="113"/>
    </row>
    <row r="875" spans="3:3">
      <c r="C875" s="113"/>
    </row>
    <row r="876" spans="3:3">
      <c r="C876" s="113"/>
    </row>
    <row r="877" spans="3:3">
      <c r="C877" s="113"/>
    </row>
    <row r="878" spans="3:3">
      <c r="C878" s="113"/>
    </row>
    <row r="879" spans="3:3">
      <c r="C879" s="113"/>
    </row>
    <row r="880" spans="3:3">
      <c r="C880" s="113"/>
    </row>
    <row r="881" spans="3:3">
      <c r="C881" s="113"/>
    </row>
    <row r="882" spans="3:3">
      <c r="C882" s="113"/>
    </row>
    <row r="883" spans="3:3">
      <c r="C883" s="113"/>
    </row>
    <row r="884" spans="3:3">
      <c r="C884" s="113"/>
    </row>
    <row r="885" spans="3:3">
      <c r="C885" s="113"/>
    </row>
    <row r="886" spans="3:3">
      <c r="C886" s="113"/>
    </row>
    <row r="887" spans="3:3">
      <c r="C887" s="113"/>
    </row>
    <row r="888" spans="3:3">
      <c r="C888" s="113"/>
    </row>
    <row r="889" spans="3:3">
      <c r="C889" s="113"/>
    </row>
    <row r="890" spans="3:3">
      <c r="C890" s="113"/>
    </row>
    <row r="891" spans="3:3">
      <c r="C891" s="113"/>
    </row>
    <row r="892" spans="3:3">
      <c r="C892" s="113"/>
    </row>
    <row r="893" spans="3:3">
      <c r="C893" s="113"/>
    </row>
    <row r="894" spans="3:3">
      <c r="C894" s="113"/>
    </row>
    <row r="895" spans="3:3">
      <c r="C895" s="113"/>
    </row>
    <row r="896" spans="3:3">
      <c r="C896" s="113"/>
    </row>
    <row r="897" spans="3:3">
      <c r="C897" s="113"/>
    </row>
    <row r="898" spans="3:3">
      <c r="C898" s="113"/>
    </row>
    <row r="899" spans="3:3">
      <c r="C899" s="113"/>
    </row>
    <row r="900" spans="3:3">
      <c r="C900" s="113"/>
    </row>
    <row r="901" spans="3:3">
      <c r="C901" s="113"/>
    </row>
    <row r="902" spans="3:3">
      <c r="C902" s="113"/>
    </row>
    <row r="903" spans="3:3">
      <c r="C903" s="113"/>
    </row>
    <row r="904" spans="3:3">
      <c r="C904" s="113"/>
    </row>
    <row r="905" spans="3:3">
      <c r="C905" s="113"/>
    </row>
    <row r="906" spans="3:3">
      <c r="C906" s="113"/>
    </row>
    <row r="907" spans="3:3">
      <c r="C907" s="113"/>
    </row>
    <row r="908" spans="3:3">
      <c r="C908" s="113"/>
    </row>
    <row r="909" spans="3:3">
      <c r="C909" s="113"/>
    </row>
    <row r="910" spans="3:3">
      <c r="C910" s="113"/>
    </row>
    <row r="911" spans="3:3">
      <c r="C911" s="113"/>
    </row>
    <row r="912" spans="3:3">
      <c r="C912" s="113"/>
    </row>
    <row r="913" spans="3:3">
      <c r="C913" s="113"/>
    </row>
    <row r="914" spans="3:3">
      <c r="C914" s="113"/>
    </row>
    <row r="915" spans="3:3">
      <c r="C915" s="113"/>
    </row>
    <row r="916" spans="3:3">
      <c r="C916" s="113"/>
    </row>
    <row r="917" spans="3:3">
      <c r="C917" s="113"/>
    </row>
    <row r="918" spans="3:3">
      <c r="C918" s="113"/>
    </row>
    <row r="919" spans="3:3">
      <c r="C919" s="113"/>
    </row>
    <row r="920" spans="3:3">
      <c r="C920" s="113"/>
    </row>
    <row r="921" spans="3:3">
      <c r="C921" s="113"/>
    </row>
    <row r="922" spans="3:3">
      <c r="C922" s="113"/>
    </row>
    <row r="923" spans="3:3">
      <c r="C923" s="113"/>
    </row>
    <row r="924" spans="3:3">
      <c r="C924" s="113"/>
    </row>
    <row r="925" spans="3:3">
      <c r="C925" s="113"/>
    </row>
    <row r="926" spans="3:3">
      <c r="C926" s="113"/>
    </row>
    <row r="927" spans="3:3">
      <c r="C927" s="113"/>
    </row>
    <row r="928" spans="3:3">
      <c r="C928" s="113"/>
    </row>
    <row r="929" spans="3:3">
      <c r="C929" s="113"/>
    </row>
    <row r="930" spans="3:3">
      <c r="C930" s="113"/>
    </row>
    <row r="931" spans="3:3">
      <c r="C931" s="113"/>
    </row>
    <row r="932" spans="3:3">
      <c r="C932" s="113"/>
    </row>
    <row r="933" spans="3:3">
      <c r="C933" s="113"/>
    </row>
    <row r="934" spans="3:3">
      <c r="C934" s="113"/>
    </row>
    <row r="935" spans="3:3">
      <c r="C935" s="113"/>
    </row>
    <row r="936" spans="3:3">
      <c r="C936" s="113"/>
    </row>
    <row r="937" spans="3:3">
      <c r="C937" s="113"/>
    </row>
    <row r="938" spans="3:3">
      <c r="C938" s="113"/>
    </row>
    <row r="939" spans="3:3">
      <c r="C939" s="113"/>
    </row>
    <row r="940" spans="3:3">
      <c r="C940" s="113"/>
    </row>
    <row r="941" spans="3:3">
      <c r="C941" s="113"/>
    </row>
    <row r="942" spans="3:3">
      <c r="C942" s="113"/>
    </row>
    <row r="943" spans="3:3">
      <c r="C943" s="113"/>
    </row>
    <row r="944" spans="3:3">
      <c r="C944" s="113"/>
    </row>
    <row r="945" spans="3:3">
      <c r="C945" s="113"/>
    </row>
    <row r="946" spans="3:3">
      <c r="C946" s="113"/>
    </row>
    <row r="947" spans="3:3">
      <c r="C947" s="113"/>
    </row>
    <row r="948" spans="3:3">
      <c r="C948" s="113"/>
    </row>
    <row r="949" spans="3:3">
      <c r="C949" s="113"/>
    </row>
    <row r="950" spans="3:3">
      <c r="C950" s="113"/>
    </row>
    <row r="951" spans="3:3">
      <c r="C951" s="113"/>
    </row>
    <row r="952" spans="3:3">
      <c r="C952" s="113"/>
    </row>
    <row r="953" spans="3:3">
      <c r="C953" s="113"/>
    </row>
    <row r="954" spans="3:3">
      <c r="C954" s="113"/>
    </row>
    <row r="955" spans="3:3">
      <c r="C955" s="113"/>
    </row>
    <row r="956" spans="3:3">
      <c r="C956" s="113"/>
    </row>
    <row r="957" spans="3:3">
      <c r="C957" s="113"/>
    </row>
    <row r="958" spans="3:3">
      <c r="C958" s="113"/>
    </row>
    <row r="959" spans="3:3">
      <c r="C959" s="113"/>
    </row>
    <row r="960" spans="3:3">
      <c r="C960" s="113"/>
    </row>
    <row r="961" spans="3:3">
      <c r="C961" s="113"/>
    </row>
    <row r="962" spans="3:3">
      <c r="C962" s="113"/>
    </row>
    <row r="963" spans="3:3">
      <c r="C963" s="113"/>
    </row>
    <row r="964" spans="3:3">
      <c r="C964" s="113"/>
    </row>
    <row r="965" spans="3:3">
      <c r="C965" s="113"/>
    </row>
    <row r="966" spans="3:3">
      <c r="C966" s="113"/>
    </row>
    <row r="967" spans="3:3">
      <c r="C967" s="113"/>
    </row>
    <row r="968" spans="3:3">
      <c r="C968" s="113"/>
    </row>
    <row r="969" spans="3:3">
      <c r="C969" s="113"/>
    </row>
    <row r="970" spans="3:3">
      <c r="C970" s="113"/>
    </row>
    <row r="971" spans="3:3">
      <c r="C971" s="113"/>
    </row>
    <row r="972" spans="3:3">
      <c r="C972" s="113"/>
    </row>
    <row r="973" spans="3:3">
      <c r="C973" s="113"/>
    </row>
    <row r="974" spans="3:3">
      <c r="C974" s="113"/>
    </row>
    <row r="975" spans="3:3">
      <c r="C975" s="113"/>
    </row>
    <row r="976" spans="3:3">
      <c r="C976" s="113"/>
    </row>
    <row r="977" spans="3:3">
      <c r="C977" s="113"/>
    </row>
    <row r="978" spans="3:3">
      <c r="C978" s="113"/>
    </row>
    <row r="979" spans="3:3">
      <c r="C979" s="113"/>
    </row>
    <row r="980" spans="3:3">
      <c r="C980" s="113"/>
    </row>
    <row r="981" spans="3:3">
      <c r="C981" s="113"/>
    </row>
    <row r="982" spans="3:3">
      <c r="C982" s="113"/>
    </row>
    <row r="983" spans="3:3">
      <c r="C983" s="113"/>
    </row>
    <row r="984" spans="3:3">
      <c r="C984" s="113"/>
    </row>
    <row r="985" spans="3:3">
      <c r="C985" s="113"/>
    </row>
    <row r="986" spans="3:3">
      <c r="C986" s="113"/>
    </row>
    <row r="987" spans="3:3">
      <c r="C987" s="113"/>
    </row>
    <row r="988" spans="3:3">
      <c r="C988" s="113"/>
    </row>
    <row r="989" spans="3:3">
      <c r="C989" s="113"/>
    </row>
    <row r="990" spans="3:3">
      <c r="C990" s="113"/>
    </row>
    <row r="991" spans="3:3">
      <c r="C991" s="113"/>
    </row>
    <row r="992" spans="3:3">
      <c r="C992" s="113"/>
    </row>
    <row r="993" spans="3:3">
      <c r="C993" s="113"/>
    </row>
    <row r="994" spans="3:3">
      <c r="C994" s="113"/>
    </row>
    <row r="995" spans="3:3">
      <c r="C995" s="113"/>
    </row>
    <row r="996" spans="3:3">
      <c r="C996" s="113"/>
    </row>
    <row r="997" spans="3:3">
      <c r="C997" s="113"/>
    </row>
    <row r="998" spans="3:3">
      <c r="C998" s="113"/>
    </row>
    <row r="999" spans="3:3">
      <c r="C999" s="113"/>
    </row>
    <row r="1000" spans="3:3">
      <c r="C1000" s="113"/>
    </row>
    <row r="1001" spans="3:3">
      <c r="C1001" s="113"/>
    </row>
    <row r="1002" spans="3:3">
      <c r="C1002" s="113"/>
    </row>
    <row r="1003" spans="3:3">
      <c r="C1003" s="113"/>
    </row>
    <row r="1004" spans="3:3">
      <c r="C1004" s="113"/>
    </row>
    <row r="1005" spans="3:3">
      <c r="C1005" s="113"/>
    </row>
    <row r="1006" spans="3:3">
      <c r="C1006" s="113"/>
    </row>
    <row r="1007" spans="3:3">
      <c r="C1007" s="113"/>
    </row>
    <row r="1008" spans="3:3">
      <c r="C1008" s="113"/>
    </row>
    <row r="1009" spans="3:3">
      <c r="C1009" s="113"/>
    </row>
    <row r="1010" spans="3:3">
      <c r="C1010" s="113"/>
    </row>
    <row r="1011" spans="3:3">
      <c r="C1011" s="113"/>
    </row>
    <row r="1012" spans="3:3">
      <c r="C1012" s="113"/>
    </row>
    <row r="1013" spans="3:3">
      <c r="C1013" s="113"/>
    </row>
    <row r="1014" spans="3:3">
      <c r="C1014" s="113"/>
    </row>
    <row r="1015" spans="3:3">
      <c r="C1015" s="113"/>
    </row>
    <row r="1016" spans="3:3">
      <c r="C1016" s="113"/>
    </row>
    <row r="1017" spans="3:3">
      <c r="C1017" s="113"/>
    </row>
    <row r="1018" spans="3:3">
      <c r="C1018" s="113"/>
    </row>
    <row r="1019" spans="3:3">
      <c r="C1019" s="113"/>
    </row>
    <row r="1020" spans="3:3">
      <c r="C1020" s="113"/>
    </row>
    <row r="1021" spans="3:3">
      <c r="C1021" s="113"/>
    </row>
    <row r="1022" spans="3:3">
      <c r="C1022" s="113"/>
    </row>
    <row r="1023" spans="3:3">
      <c r="C1023" s="113"/>
    </row>
    <row r="1024" spans="3:3">
      <c r="C1024" s="113"/>
    </row>
    <row r="1025" spans="3:3">
      <c r="C1025" s="113"/>
    </row>
    <row r="1026" spans="3:3">
      <c r="C1026" s="113"/>
    </row>
    <row r="1027" spans="3:3">
      <c r="C1027" s="113"/>
    </row>
    <row r="1028" spans="3:3">
      <c r="C1028" s="113"/>
    </row>
    <row r="1029" spans="3:3">
      <c r="C1029" s="113"/>
    </row>
    <row r="1030" spans="3:3">
      <c r="C1030" s="113"/>
    </row>
    <row r="1031" spans="3:3">
      <c r="C1031" s="113"/>
    </row>
    <row r="1032" spans="3:3">
      <c r="C1032" s="113"/>
    </row>
    <row r="1033" spans="3:3">
      <c r="C1033" s="113"/>
    </row>
    <row r="1034" spans="3:3">
      <c r="C1034" s="113"/>
    </row>
    <row r="1035" spans="3:3">
      <c r="C1035" s="113"/>
    </row>
    <row r="1036" spans="3:3">
      <c r="C1036" s="113"/>
    </row>
    <row r="1037" spans="3:3">
      <c r="C1037" s="113"/>
    </row>
    <row r="1038" spans="3:3">
      <c r="C1038" s="113"/>
    </row>
    <row r="1039" spans="3:3">
      <c r="C1039" s="113"/>
    </row>
    <row r="1040" spans="3:3">
      <c r="C1040" s="113"/>
    </row>
    <row r="1041" spans="3:3">
      <c r="C1041" s="113"/>
    </row>
    <row r="1042" spans="3:3">
      <c r="C1042" s="113"/>
    </row>
    <row r="1043" spans="3:3">
      <c r="C1043" s="113"/>
    </row>
    <row r="1044" spans="3:3">
      <c r="C1044" s="113"/>
    </row>
    <row r="1045" spans="3:3">
      <c r="C1045" s="113"/>
    </row>
    <row r="1046" spans="3:3">
      <c r="C1046" s="113"/>
    </row>
    <row r="1047" spans="3:3">
      <c r="C1047" s="113"/>
    </row>
    <row r="1048" spans="3:3">
      <c r="C1048" s="113"/>
    </row>
    <row r="1049" spans="3:3">
      <c r="C1049" s="113"/>
    </row>
    <row r="1050" spans="3:3">
      <c r="C1050" s="113"/>
    </row>
    <row r="1051" spans="3:3">
      <c r="C1051" s="113"/>
    </row>
    <row r="1052" spans="3:3">
      <c r="C1052" s="113"/>
    </row>
    <row r="1053" spans="3:3">
      <c r="C1053" s="113"/>
    </row>
    <row r="1054" spans="3:3">
      <c r="C1054" s="113"/>
    </row>
    <row r="1055" spans="3:3">
      <c r="C1055" s="113"/>
    </row>
    <row r="1056" spans="3:3">
      <c r="C1056" s="113"/>
    </row>
    <row r="1057" spans="3:3">
      <c r="C1057" s="113"/>
    </row>
    <row r="1058" spans="3:3">
      <c r="C1058" s="113"/>
    </row>
    <row r="1059" spans="3:3">
      <c r="C1059" s="113"/>
    </row>
    <row r="1060" spans="3:3">
      <c r="C1060" s="113"/>
    </row>
    <row r="1061" spans="3:3">
      <c r="C1061" s="113"/>
    </row>
    <row r="1062" spans="3:3">
      <c r="C1062" s="113"/>
    </row>
    <row r="1063" spans="3:3">
      <c r="C1063" s="113"/>
    </row>
    <row r="1064" spans="3:3">
      <c r="C1064" s="113"/>
    </row>
    <row r="1065" spans="3:3">
      <c r="C1065" s="113"/>
    </row>
    <row r="1066" spans="3:3">
      <c r="C1066" s="113"/>
    </row>
    <row r="1067" spans="3:3">
      <c r="C1067" s="113"/>
    </row>
    <row r="1068" spans="3:3">
      <c r="C1068" s="113"/>
    </row>
    <row r="1069" spans="3:3">
      <c r="C1069" s="113"/>
    </row>
    <row r="1070" spans="3:3">
      <c r="C1070" s="113"/>
    </row>
    <row r="1071" spans="3:3">
      <c r="C1071" s="113"/>
    </row>
    <row r="1072" spans="3:3">
      <c r="C1072" s="113"/>
    </row>
    <row r="1073" spans="3:3">
      <c r="C1073" s="113"/>
    </row>
    <row r="1074" spans="3:3">
      <c r="C1074" s="113"/>
    </row>
    <row r="1075" spans="3:3">
      <c r="C1075" s="113"/>
    </row>
    <row r="1076" spans="3:3">
      <c r="C1076" s="113"/>
    </row>
    <row r="1077" spans="3:3">
      <c r="C1077" s="113"/>
    </row>
    <row r="1078" spans="3:3">
      <c r="C1078" s="113"/>
    </row>
    <row r="1079" spans="3:3">
      <c r="C1079" s="113"/>
    </row>
    <row r="1080" spans="3:3">
      <c r="C1080" s="113"/>
    </row>
    <row r="1081" spans="3:3">
      <c r="C1081" s="113"/>
    </row>
    <row r="1082" spans="3:3">
      <c r="C1082" s="113"/>
    </row>
    <row r="1083" spans="3:3">
      <c r="C1083" s="113"/>
    </row>
    <row r="1084" spans="3:3">
      <c r="C1084" s="113"/>
    </row>
    <row r="1085" spans="3:3">
      <c r="C1085" s="113"/>
    </row>
    <row r="1086" spans="3:3">
      <c r="C1086" s="113"/>
    </row>
    <row r="1087" spans="3:3">
      <c r="C1087" s="113"/>
    </row>
    <row r="1088" spans="3:3">
      <c r="C1088" s="113"/>
    </row>
    <row r="1089" spans="3:3">
      <c r="C1089" s="113"/>
    </row>
    <row r="1090" spans="3:3">
      <c r="C1090" s="113"/>
    </row>
    <row r="1091" spans="3:3">
      <c r="C1091" s="113"/>
    </row>
    <row r="1092" spans="3:3">
      <c r="C1092" s="113"/>
    </row>
    <row r="1093" spans="3:3">
      <c r="C1093" s="113"/>
    </row>
    <row r="1094" spans="3:3">
      <c r="C1094" s="113"/>
    </row>
    <row r="1095" spans="3:3">
      <c r="C1095" s="113"/>
    </row>
    <row r="1096" spans="3:3">
      <c r="C1096" s="113"/>
    </row>
    <row r="1097" spans="3:3">
      <c r="C1097" s="113"/>
    </row>
    <row r="1098" spans="3:3">
      <c r="C1098" s="113"/>
    </row>
    <row r="1099" spans="3:3">
      <c r="C1099" s="113"/>
    </row>
    <row r="1100" spans="3:3">
      <c r="C1100" s="113"/>
    </row>
    <row r="1101" spans="3:3">
      <c r="C1101" s="113"/>
    </row>
    <row r="1102" spans="3:3">
      <c r="C1102" s="113"/>
    </row>
    <row r="1103" spans="3:3">
      <c r="C1103" s="113"/>
    </row>
    <row r="1104" spans="3:3">
      <c r="C1104" s="113"/>
    </row>
    <row r="1105" spans="3:3">
      <c r="C1105" s="113"/>
    </row>
    <row r="1106" spans="3:3">
      <c r="C1106" s="113"/>
    </row>
    <row r="1107" spans="3:3">
      <c r="C1107" s="113"/>
    </row>
    <row r="1108" spans="3:3">
      <c r="C1108" s="113"/>
    </row>
    <row r="1109" spans="3:3">
      <c r="C1109" s="113"/>
    </row>
    <row r="1110" spans="3:3">
      <c r="C1110" s="113"/>
    </row>
    <row r="1111" spans="3:3">
      <c r="C1111" s="113"/>
    </row>
    <row r="1112" spans="3:3">
      <c r="C1112" s="113"/>
    </row>
    <row r="1113" spans="3:3">
      <c r="C1113" s="113"/>
    </row>
    <row r="1114" spans="3:3">
      <c r="C1114" s="113"/>
    </row>
    <row r="1115" spans="3:3">
      <c r="C1115" s="113"/>
    </row>
    <row r="1116" spans="3:3">
      <c r="C1116" s="113"/>
    </row>
    <row r="1117" spans="3:3">
      <c r="C1117" s="113"/>
    </row>
    <row r="1118" spans="3:3">
      <c r="C1118" s="113"/>
    </row>
    <row r="1119" spans="3:3">
      <c r="C1119" s="113"/>
    </row>
    <row r="1120" spans="3:3">
      <c r="C1120" s="113"/>
    </row>
    <row r="1121" spans="3:3">
      <c r="C1121" s="113"/>
    </row>
    <row r="1122" spans="3:3">
      <c r="C1122" s="113"/>
    </row>
    <row r="1123" spans="3:3">
      <c r="C1123" s="113"/>
    </row>
    <row r="1124" spans="3:3">
      <c r="C1124" s="113"/>
    </row>
    <row r="1125" spans="3:3">
      <c r="C1125" s="113"/>
    </row>
    <row r="1126" spans="3:3">
      <c r="C1126" s="113"/>
    </row>
    <row r="1127" spans="3:3">
      <c r="C1127" s="113"/>
    </row>
    <row r="1128" spans="3:3">
      <c r="C1128" s="113"/>
    </row>
    <row r="1129" spans="3:3">
      <c r="C1129" s="113"/>
    </row>
    <row r="1130" spans="3:3">
      <c r="C1130" s="113"/>
    </row>
    <row r="1131" spans="3:3">
      <c r="C1131" s="113"/>
    </row>
    <row r="1132" spans="3:3">
      <c r="C1132" s="113"/>
    </row>
    <row r="1133" spans="3:3">
      <c r="C1133" s="113"/>
    </row>
    <row r="1134" spans="3:3">
      <c r="C1134" s="113"/>
    </row>
    <row r="1135" spans="3:3">
      <c r="C1135" s="113"/>
    </row>
    <row r="1136" spans="3:3">
      <c r="C1136" s="113"/>
    </row>
    <row r="1137" spans="3:3">
      <c r="C1137" s="113"/>
    </row>
    <row r="1138" spans="3:3">
      <c r="C1138" s="113"/>
    </row>
    <row r="1139" spans="3:3">
      <c r="C1139" s="113"/>
    </row>
    <row r="1140" spans="3:3">
      <c r="C1140" s="113"/>
    </row>
    <row r="1141" spans="3:3">
      <c r="C1141" s="113"/>
    </row>
    <row r="1142" spans="3:3">
      <c r="C1142" s="113"/>
    </row>
    <row r="1143" spans="3:3">
      <c r="C1143" s="113"/>
    </row>
    <row r="1144" spans="3:3">
      <c r="C1144" s="113"/>
    </row>
    <row r="1145" spans="3:3">
      <c r="C1145" s="113"/>
    </row>
    <row r="1146" spans="3:3">
      <c r="C1146" s="113"/>
    </row>
    <row r="1147" spans="3:3">
      <c r="C1147" s="113"/>
    </row>
    <row r="1148" spans="3:3">
      <c r="C1148" s="113"/>
    </row>
    <row r="1149" spans="3:3">
      <c r="C1149" s="113"/>
    </row>
    <row r="1150" spans="3:3">
      <c r="C1150" s="113"/>
    </row>
    <row r="1151" spans="3:3">
      <c r="C1151" s="113"/>
    </row>
    <row r="1152" spans="3:3">
      <c r="C1152" s="113"/>
    </row>
    <row r="1153" spans="3:3">
      <c r="C1153" s="113"/>
    </row>
    <row r="1154" spans="3:3">
      <c r="C1154" s="113"/>
    </row>
    <row r="1155" spans="3:3">
      <c r="C1155" s="113"/>
    </row>
    <row r="1156" spans="3:3">
      <c r="C1156" s="113"/>
    </row>
    <row r="1157" spans="3:3">
      <c r="C1157" s="113"/>
    </row>
    <row r="1158" spans="3:3">
      <c r="C1158" s="113"/>
    </row>
    <row r="1159" spans="3:3">
      <c r="C1159" s="113"/>
    </row>
    <row r="1160" spans="3:3">
      <c r="C1160" s="113"/>
    </row>
    <row r="1161" spans="3:3">
      <c r="C1161" s="113"/>
    </row>
    <row r="1162" spans="3:3">
      <c r="C1162" s="113"/>
    </row>
    <row r="1163" spans="3:3">
      <c r="C1163" s="113"/>
    </row>
    <row r="1164" spans="3:3">
      <c r="C1164" s="113"/>
    </row>
    <row r="1165" spans="3:3">
      <c r="C1165" s="113"/>
    </row>
    <row r="1166" spans="3:3">
      <c r="C1166" s="113"/>
    </row>
    <row r="1167" spans="3:3">
      <c r="C1167" s="113"/>
    </row>
    <row r="1168" spans="3:3">
      <c r="C1168" s="113"/>
    </row>
    <row r="1169" spans="3:3">
      <c r="C1169" s="113"/>
    </row>
    <row r="1170" spans="3:3">
      <c r="C1170" s="113"/>
    </row>
    <row r="1171" spans="3:3">
      <c r="C1171" s="113"/>
    </row>
    <row r="1172" spans="3:3">
      <c r="C1172" s="113"/>
    </row>
    <row r="1173" spans="3:3">
      <c r="C1173" s="113"/>
    </row>
    <row r="1174" spans="3:3">
      <c r="C1174" s="113"/>
    </row>
    <row r="1175" spans="3:3">
      <c r="C1175" s="113"/>
    </row>
    <row r="1176" spans="3:3">
      <c r="C1176" s="113"/>
    </row>
    <row r="1177" spans="3:3">
      <c r="C1177" s="113"/>
    </row>
    <row r="1178" spans="3:3">
      <c r="C1178" s="113"/>
    </row>
    <row r="1179" spans="3:3">
      <c r="C1179" s="113"/>
    </row>
    <row r="1180" spans="3:3">
      <c r="C1180" s="113"/>
    </row>
    <row r="1181" spans="3:3">
      <c r="C1181" s="113"/>
    </row>
    <row r="1182" spans="3:3">
      <c r="C1182" s="113"/>
    </row>
    <row r="1183" spans="3:3">
      <c r="C1183" s="113"/>
    </row>
    <row r="1184" spans="3:3">
      <c r="C1184" s="113"/>
    </row>
    <row r="1185" spans="3:3">
      <c r="C1185" s="113"/>
    </row>
    <row r="1186" spans="3:3">
      <c r="C1186" s="113"/>
    </row>
    <row r="1187" spans="3:3">
      <c r="C1187" s="113"/>
    </row>
  </sheetData>
  <mergeCells count="1">
    <mergeCell ref="C3:AA3"/>
  </mergeCells>
  <pageMargins left="0.75" right="0.75" top="1" bottom="1" header="0.5" footer="0.5"/>
  <pageSetup scale="93" orientation="landscape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P230"/>
  <sheetViews>
    <sheetView workbookViewId="0"/>
  </sheetViews>
  <sheetFormatPr defaultColWidth="9.109375" defaultRowHeight="13.2"/>
  <cols>
    <col min="1" max="1" width="1.6640625" style="341" customWidth="1"/>
    <col min="2" max="2" width="10.88671875" style="339" customWidth="1"/>
    <col min="3" max="3" width="22.44140625" style="341" bestFit="1" customWidth="1"/>
    <col min="4" max="4" width="1.6640625" style="341" customWidth="1"/>
    <col min="5" max="5" width="14.33203125" style="357" customWidth="1"/>
    <col min="6" max="6" width="1.6640625" style="341" customWidth="1"/>
    <col min="7" max="7" width="12.6640625" style="341" customWidth="1"/>
    <col min="8" max="8" width="1.6640625" style="341" customWidth="1"/>
    <col min="9" max="9" width="12.6640625" style="341" customWidth="1"/>
    <col min="10" max="10" width="1.6640625" style="341" customWidth="1"/>
    <col min="11" max="11" width="15.44140625" style="341" bestFit="1" customWidth="1"/>
    <col min="12" max="12" width="1.6640625" style="341" customWidth="1"/>
    <col min="13" max="13" width="10.33203125" style="416" bestFit="1" customWidth="1"/>
    <col min="14" max="14" width="9.109375" style="416"/>
    <col min="15" max="16384" width="9.109375" style="341"/>
  </cols>
  <sheetData>
    <row r="1" spans="2:16" s="333" customFormat="1">
      <c r="B1" s="334"/>
      <c r="C1" s="363"/>
      <c r="E1" s="355"/>
      <c r="M1" s="414"/>
      <c r="N1" s="414"/>
    </row>
    <row r="2" spans="2:16" s="333" customFormat="1">
      <c r="B2" s="334"/>
      <c r="C2" s="333" t="s">
        <v>200</v>
      </c>
      <c r="K2" s="364"/>
      <c r="M2" s="423"/>
      <c r="N2" s="415"/>
    </row>
    <row r="3" spans="2:16" s="333" customFormat="1" ht="13.8" thickBot="1">
      <c r="B3" s="335" t="s">
        <v>60</v>
      </c>
      <c r="C3" s="336" t="s">
        <v>205</v>
      </c>
      <c r="D3" s="337"/>
      <c r="E3" s="356" t="s">
        <v>201</v>
      </c>
      <c r="F3" s="337"/>
      <c r="G3" s="337" t="s">
        <v>202</v>
      </c>
      <c r="H3" s="337"/>
      <c r="I3" s="338" t="s">
        <v>203</v>
      </c>
      <c r="J3" s="337"/>
      <c r="K3" s="337" t="s">
        <v>204</v>
      </c>
      <c r="M3" s="424" t="s">
        <v>198</v>
      </c>
      <c r="N3" s="422" t="s">
        <v>206</v>
      </c>
    </row>
    <row r="4" spans="2:16">
      <c r="B4" s="339">
        <v>36586</v>
      </c>
      <c r="C4" s="340">
        <f>VLOOKUP(B4,'Super Peak Curve'!$C$23:$AN$275,38)</f>
        <v>31.196170786046984</v>
      </c>
      <c r="E4" s="357">
        <f>VLOOKUP(B4,PJM_01212000!$J$7:$AF$230,23)</f>
        <v>1.7</v>
      </c>
      <c r="G4" s="359">
        <f>E4/(256)^(1/2)</f>
        <v>0.10625</v>
      </c>
      <c r="H4" s="358"/>
      <c r="I4" s="359">
        <f>(G4/(22)^(1/2))</f>
        <v>2.2652576112783606E-2</v>
      </c>
      <c r="K4" s="360">
        <f>I4*C4</f>
        <v>0.70667363315832565</v>
      </c>
      <c r="M4" s="420">
        <v>31.2</v>
      </c>
      <c r="N4" s="418">
        <f>M4</f>
        <v>31.2</v>
      </c>
    </row>
    <row r="5" spans="2:16">
      <c r="B5" s="339">
        <f>PJM_01212000!A39</f>
        <v>36617</v>
      </c>
      <c r="C5" s="340">
        <f>VLOOKUP(B5,'Super Peak Curve'!$C$23:$AN$275,38)</f>
        <v>28.812801310630473</v>
      </c>
      <c r="E5" s="357">
        <f>VLOOKUP(B5,PJM_01212000!$J$7:$AF$230,23)</f>
        <v>1.75</v>
      </c>
      <c r="G5" s="359">
        <f t="shared" ref="G5:G54" si="0">E5/(256)^(1/2)</f>
        <v>0.109375</v>
      </c>
      <c r="H5" s="358"/>
      <c r="I5" s="359">
        <f t="shared" ref="I5:I54" si="1">(G5/(22)^(1/2))</f>
        <v>2.3318828351394889E-2</v>
      </c>
      <c r="K5" s="360">
        <f t="shared" ref="K5:K54" si="2">I5*C5</f>
        <v>0.67188076808543773</v>
      </c>
      <c r="M5" s="420">
        <v>28.812801310630473</v>
      </c>
      <c r="N5" s="418">
        <f t="shared" ref="N5:N68" si="3">M5</f>
        <v>28.812801310630473</v>
      </c>
    </row>
    <row r="6" spans="2:16">
      <c r="B6" s="339">
        <f>PJM_01212000!A40</f>
        <v>36647</v>
      </c>
      <c r="C6" s="340">
        <f>VLOOKUP(B6,'Super Peak Curve'!$C$23:$AN$275,38)</f>
        <v>33.702589380876077</v>
      </c>
      <c r="E6" s="357">
        <f>VLOOKUP(B6,PJM_01212000!$J$7:$AF$230,23)</f>
        <v>2.25</v>
      </c>
      <c r="G6" s="359">
        <f t="shared" si="0"/>
        <v>0.140625</v>
      </c>
      <c r="H6" s="358"/>
      <c r="I6" s="359">
        <f t="shared" si="1"/>
        <v>2.9981350737507715E-2</v>
      </c>
      <c r="K6" s="360">
        <f t="shared" si="2"/>
        <v>1.0104491529902486</v>
      </c>
      <c r="M6" s="420">
        <v>33.702589380876077</v>
      </c>
      <c r="N6" s="418">
        <f t="shared" si="3"/>
        <v>33.702589380876077</v>
      </c>
    </row>
    <row r="7" spans="2:16">
      <c r="B7" s="339">
        <f>PJM_01212000!A41</f>
        <v>36678</v>
      </c>
      <c r="C7" s="340">
        <f>VLOOKUP(B7,'Super Peak Curve'!$C$23:$AN$275,38)</f>
        <v>71.662938491251083</v>
      </c>
      <c r="E7" s="357">
        <f>VLOOKUP(B7,PJM_01212000!$J$7:$AF$230,23)</f>
        <v>2.9</v>
      </c>
      <c r="G7" s="359">
        <f t="shared" si="0"/>
        <v>0.18124999999999999</v>
      </c>
      <c r="H7" s="358"/>
      <c r="I7" s="359">
        <f t="shared" si="1"/>
        <v>3.8642629839454386E-2</v>
      </c>
      <c r="K7" s="360">
        <f t="shared" si="2"/>
        <v>2.7692444053250034</v>
      </c>
      <c r="M7" s="420">
        <v>71.662938491251083</v>
      </c>
      <c r="N7" s="418">
        <f t="shared" si="3"/>
        <v>71.662938491251083</v>
      </c>
    </row>
    <row r="8" spans="2:16">
      <c r="B8" s="339">
        <f>PJM_01212000!A42</f>
        <v>36708</v>
      </c>
      <c r="C8" s="340">
        <f>VLOOKUP(B8,'Super Peak Curve'!$C$23:$AN$275,38)</f>
        <v>136.23057296609247</v>
      </c>
      <c r="E8" s="357">
        <f>VLOOKUP(B8,PJM_01212000!$J$7:$AF$230,23)</f>
        <v>4.5</v>
      </c>
      <c r="G8" s="359">
        <f t="shared" si="0"/>
        <v>0.28125</v>
      </c>
      <c r="H8" s="358"/>
      <c r="I8" s="359">
        <f t="shared" si="1"/>
        <v>5.996270147501543E-2</v>
      </c>
      <c r="K8" s="360">
        <f>I8*C8</f>
        <v>8.1687531785361092</v>
      </c>
      <c r="M8" s="420">
        <v>136.23057296609247</v>
      </c>
      <c r="N8" s="418">
        <f t="shared" si="3"/>
        <v>136.23057296609247</v>
      </c>
      <c r="P8" s="362"/>
    </row>
    <row r="9" spans="2:16">
      <c r="B9" s="339">
        <f>PJM_01212000!A43</f>
        <v>36739</v>
      </c>
      <c r="C9" s="340">
        <f>VLOOKUP(B9,'Super Peak Curve'!$C$23:$AN$275,38)</f>
        <v>111.38109511546418</v>
      </c>
      <c r="E9" s="357">
        <f>VLOOKUP(B9,PJM_01212000!$J$7:$AF$230,23)</f>
        <v>4.5</v>
      </c>
      <c r="G9" s="359">
        <f t="shared" si="0"/>
        <v>0.28125</v>
      </c>
      <c r="H9" s="358"/>
      <c r="I9" s="359">
        <f t="shared" si="1"/>
        <v>5.996270147501543E-2</v>
      </c>
      <c r="K9" s="360">
        <f t="shared" si="2"/>
        <v>6.6787113563688774</v>
      </c>
      <c r="M9" s="420">
        <v>111.38109511546418</v>
      </c>
      <c r="N9" s="418">
        <f t="shared" si="3"/>
        <v>111.38109511546418</v>
      </c>
      <c r="O9" s="361"/>
    </row>
    <row r="10" spans="2:16">
      <c r="B10" s="339">
        <f>PJM_01212000!A44</f>
        <v>36770</v>
      </c>
      <c r="C10" s="340">
        <f>VLOOKUP(B10,'Super Peak Curve'!$C$23:$AN$275,38)</f>
        <v>41.062843130248382</v>
      </c>
      <c r="E10" s="357">
        <f>VLOOKUP(B10,PJM_01212000!$J$7:$AF$230,23)</f>
        <v>2.2999999999999998</v>
      </c>
      <c r="G10" s="359">
        <f t="shared" si="0"/>
        <v>0.14374999999999999</v>
      </c>
      <c r="H10" s="358"/>
      <c r="I10" s="359">
        <f t="shared" si="1"/>
        <v>3.0647602976118998E-2</v>
      </c>
      <c r="K10" s="360">
        <f t="shared" si="2"/>
        <v>1.2584777133265079</v>
      </c>
      <c r="M10" s="420">
        <v>41.062843130248382</v>
      </c>
      <c r="N10" s="418">
        <f t="shared" si="3"/>
        <v>41.062843130248382</v>
      </c>
    </row>
    <row r="11" spans="2:16">
      <c r="B11" s="339">
        <f>PJM_01212000!A45</f>
        <v>36800</v>
      </c>
      <c r="C11" s="340">
        <f>VLOOKUP(B11,'Super Peak Curve'!$C$23:$AN$275,38)</f>
        <v>29.896752146244047</v>
      </c>
      <c r="E11" s="357">
        <f>VLOOKUP(B11,PJM_01212000!$J$7:$AF$230,23)</f>
        <v>1.5</v>
      </c>
      <c r="G11" s="359">
        <f t="shared" si="0"/>
        <v>9.375E-2</v>
      </c>
      <c r="H11" s="358"/>
      <c r="I11" s="359">
        <f t="shared" si="1"/>
        <v>1.9987567158338479E-2</v>
      </c>
      <c r="K11" s="360">
        <f t="shared" si="2"/>
        <v>0.59756334133925293</v>
      </c>
      <c r="M11" s="420">
        <v>29.896752146244047</v>
      </c>
      <c r="N11" s="418">
        <f t="shared" si="3"/>
        <v>29.896752146244047</v>
      </c>
    </row>
    <row r="12" spans="2:16">
      <c r="B12" s="339">
        <f>PJM_01212000!A46</f>
        <v>36831</v>
      </c>
      <c r="C12" s="340">
        <f>VLOOKUP(B12,'Super Peak Curve'!$C$23:$AN$275,38)</f>
        <v>29.949248295736314</v>
      </c>
      <c r="E12" s="357">
        <f>VLOOKUP(B12,PJM_01212000!$J$7:$AF$230,23)</f>
        <v>1.5</v>
      </c>
      <c r="G12" s="359">
        <f t="shared" si="0"/>
        <v>9.375E-2</v>
      </c>
      <c r="H12" s="358"/>
      <c r="I12" s="359">
        <f t="shared" si="1"/>
        <v>1.9987567158338479E-2</v>
      </c>
      <c r="K12" s="360">
        <f t="shared" si="2"/>
        <v>0.59861261165278379</v>
      </c>
      <c r="M12" s="420">
        <v>29.949248295736314</v>
      </c>
      <c r="N12" s="418">
        <f t="shared" si="3"/>
        <v>29.949248295736314</v>
      </c>
    </row>
    <row r="13" spans="2:16">
      <c r="B13" s="339">
        <f>PJM_01212000!A47</f>
        <v>36861</v>
      </c>
      <c r="C13" s="340">
        <f>VLOOKUP(B13,'Super Peak Curve'!$C$23:$AN$275,38)</f>
        <v>33.013261496810017</v>
      </c>
      <c r="E13" s="357">
        <f>VLOOKUP(B13,PJM_01212000!$J$7:$AF$230,23)</f>
        <v>1.5</v>
      </c>
      <c r="G13" s="359">
        <f t="shared" si="0"/>
        <v>9.375E-2</v>
      </c>
      <c r="H13" s="358"/>
      <c r="I13" s="359">
        <f t="shared" si="1"/>
        <v>1.9987567158338479E-2</v>
      </c>
      <c r="K13" s="360">
        <f t="shared" si="2"/>
        <v>0.65985478128328012</v>
      </c>
      <c r="M13" s="420">
        <v>33.013261496810017</v>
      </c>
      <c r="N13" s="418">
        <f t="shared" si="3"/>
        <v>33.013261496810017</v>
      </c>
    </row>
    <row r="14" spans="2:16">
      <c r="B14" s="339">
        <f>PJM_01212000!A48</f>
        <v>36892</v>
      </c>
      <c r="C14" s="340">
        <f>VLOOKUP(B14,'Super Peak Curve'!$C$23:$AN$275,38)</f>
        <v>43.193518347371054</v>
      </c>
      <c r="E14" s="357">
        <f>VLOOKUP(B14,PJM_01212000!$J$7:$AF$230,23)</f>
        <v>2.25</v>
      </c>
      <c r="G14" s="359">
        <f t="shared" si="0"/>
        <v>0.140625</v>
      </c>
      <c r="H14" s="358"/>
      <c r="I14" s="359">
        <f t="shared" si="1"/>
        <v>2.9981350737507715E-2</v>
      </c>
      <c r="K14" s="360">
        <f t="shared" si="2"/>
        <v>1.2950000231595062</v>
      </c>
      <c r="M14" s="420">
        <v>43.193518347371054</v>
      </c>
      <c r="N14" s="418">
        <f t="shared" si="3"/>
        <v>43.193518347371054</v>
      </c>
    </row>
    <row r="15" spans="2:16">
      <c r="B15" s="339">
        <f>PJM_01212000!A49</f>
        <v>36923</v>
      </c>
      <c r="C15" s="340">
        <f>VLOOKUP(B15,'Super Peak Curve'!$C$23:$AN$275,38)</f>
        <v>43.193518347371054</v>
      </c>
      <c r="E15" s="357">
        <f>VLOOKUP(B15,PJM_01212000!$J$7:$AF$230,23)</f>
        <v>2.25</v>
      </c>
      <c r="G15" s="359">
        <f t="shared" si="0"/>
        <v>0.140625</v>
      </c>
      <c r="H15" s="358"/>
      <c r="I15" s="359">
        <f t="shared" si="1"/>
        <v>2.9981350737507715E-2</v>
      </c>
      <c r="K15" s="360">
        <f t="shared" si="2"/>
        <v>1.2950000231595062</v>
      </c>
      <c r="M15" s="420">
        <v>43.193518347371054</v>
      </c>
      <c r="N15" s="418">
        <f t="shared" si="3"/>
        <v>43.193518347371054</v>
      </c>
    </row>
    <row r="16" spans="2:16">
      <c r="B16" s="339">
        <f>PJM_01212000!A50</f>
        <v>36951</v>
      </c>
      <c r="C16" s="340">
        <f>VLOOKUP(B16,'Super Peak Curve'!$C$23:$AN$275,38)</f>
        <v>31.104955302906035</v>
      </c>
      <c r="E16" s="357">
        <f>VLOOKUP(B16,PJM_01212000!$J$7:$AF$230,23)</f>
        <v>1.1000000000000001</v>
      </c>
      <c r="G16" s="359">
        <f t="shared" si="0"/>
        <v>6.8750000000000006E-2</v>
      </c>
      <c r="H16" s="358"/>
      <c r="I16" s="359">
        <f t="shared" si="1"/>
        <v>1.4657549249448218E-2</v>
      </c>
      <c r="K16" s="360">
        <f t="shared" si="2"/>
        <v>0.45592241425423069</v>
      </c>
      <c r="M16" s="420">
        <v>31.104955302906035</v>
      </c>
      <c r="N16" s="418">
        <f t="shared" si="3"/>
        <v>31.104955302906035</v>
      </c>
    </row>
    <row r="17" spans="2:14">
      <c r="B17" s="339">
        <f>PJM_01212000!A51</f>
        <v>36982</v>
      </c>
      <c r="C17" s="340">
        <f>VLOOKUP(B17,'Super Peak Curve'!$C$23:$AN$275,38)</f>
        <v>29.011316442349415</v>
      </c>
      <c r="E17" s="357">
        <f>VLOOKUP(B17,PJM_01212000!$J$7:$AF$230,23)</f>
        <v>1.2</v>
      </c>
      <c r="G17" s="359">
        <f t="shared" si="0"/>
        <v>7.4999999999999997E-2</v>
      </c>
      <c r="H17" s="358"/>
      <c r="I17" s="359">
        <f t="shared" si="1"/>
        <v>1.599005372667078E-2</v>
      </c>
      <c r="K17" s="360">
        <f t="shared" si="2"/>
        <v>0.46389250859461451</v>
      </c>
      <c r="M17" s="420">
        <v>29.011316442349415</v>
      </c>
      <c r="N17" s="418">
        <f t="shared" si="3"/>
        <v>29.011316442349415</v>
      </c>
    </row>
    <row r="18" spans="2:14">
      <c r="B18" s="339">
        <f>PJM_01212000!A52</f>
        <v>37012</v>
      </c>
      <c r="C18" s="340">
        <f>VLOOKUP(B18,'Super Peak Curve'!$C$23:$AN$275,38)</f>
        <v>33.894704276056729</v>
      </c>
      <c r="E18" s="357">
        <f>VLOOKUP(B18,PJM_01212000!$J$7:$AF$230,23)</f>
        <v>2.15</v>
      </c>
      <c r="G18" s="359">
        <f t="shared" si="0"/>
        <v>0.13437499999999999</v>
      </c>
      <c r="H18" s="358"/>
      <c r="I18" s="359">
        <f t="shared" si="1"/>
        <v>2.864884626028515E-2</v>
      </c>
      <c r="K18" s="360">
        <f t="shared" si="2"/>
        <v>0.97104417184257885</v>
      </c>
      <c r="M18" s="420">
        <v>33.894704276056729</v>
      </c>
      <c r="N18" s="418">
        <f t="shared" si="3"/>
        <v>33.894704276056729</v>
      </c>
    </row>
    <row r="19" spans="2:14">
      <c r="B19" s="339">
        <f>PJM_01212000!A53</f>
        <v>37043</v>
      </c>
      <c r="C19" s="340">
        <f>VLOOKUP(B19,'Super Peak Curve'!$C$23:$AN$275,38)</f>
        <v>68.300361326435493</v>
      </c>
      <c r="E19" s="357">
        <f>VLOOKUP(B19,PJM_01212000!$J$7:$AF$230,23)</f>
        <v>2.75</v>
      </c>
      <c r="G19" s="359">
        <f t="shared" si="0"/>
        <v>0.171875</v>
      </c>
      <c r="H19" s="358"/>
      <c r="I19" s="359">
        <f t="shared" si="1"/>
        <v>3.6643873123620545E-2</v>
      </c>
      <c r="K19" s="360">
        <f t="shared" si="2"/>
        <v>2.5027897747433414</v>
      </c>
      <c r="M19" s="420">
        <v>68.300361326435493</v>
      </c>
      <c r="N19" s="418">
        <f t="shared" si="3"/>
        <v>68.300361326435493</v>
      </c>
    </row>
    <row r="20" spans="2:14">
      <c r="B20" s="339">
        <f>PJM_01212000!A54</f>
        <v>37073</v>
      </c>
      <c r="C20" s="340">
        <f>VLOOKUP(B20,'Super Peak Curve'!$C$23:$AN$275,38)</f>
        <v>126.97345532605712</v>
      </c>
      <c r="E20" s="357">
        <f>VLOOKUP(B20,PJM_01212000!$J$7:$AF$230,23)</f>
        <v>3.75</v>
      </c>
      <c r="G20" s="359">
        <f t="shared" si="0"/>
        <v>0.234375</v>
      </c>
      <c r="H20" s="358"/>
      <c r="I20" s="359">
        <f t="shared" si="1"/>
        <v>4.996891789584619E-2</v>
      </c>
      <c r="K20" s="360">
        <f t="shared" si="2"/>
        <v>6.3447261641396429</v>
      </c>
      <c r="M20" s="420">
        <v>126.97345532605712</v>
      </c>
      <c r="N20" s="418">
        <f t="shared" si="3"/>
        <v>126.97345532605712</v>
      </c>
    </row>
    <row r="21" spans="2:14">
      <c r="B21" s="339">
        <f>PJM_01212000!A55</f>
        <v>37104</v>
      </c>
      <c r="C21" s="340">
        <f>VLOOKUP(B21,'Super Peak Curve'!$C$23:$AN$275,38)</f>
        <v>102.72834513780963</v>
      </c>
      <c r="E21" s="357">
        <f>VLOOKUP(B21,PJM_01212000!$J$7:$AF$230,23)</f>
        <v>3.75</v>
      </c>
      <c r="G21" s="359">
        <f t="shared" si="0"/>
        <v>0.234375</v>
      </c>
      <c r="H21" s="358"/>
      <c r="I21" s="359">
        <f t="shared" si="1"/>
        <v>4.996891789584619E-2</v>
      </c>
      <c r="K21" s="360">
        <f t="shared" si="2"/>
        <v>5.1332242437673594</v>
      </c>
      <c r="M21" s="420">
        <v>102.72834513780963</v>
      </c>
      <c r="N21" s="418">
        <f t="shared" si="3"/>
        <v>102.72834513780963</v>
      </c>
    </row>
    <row r="22" spans="2:14">
      <c r="B22" s="339">
        <f>PJM_01212000!A56</f>
        <v>37135</v>
      </c>
      <c r="C22" s="340">
        <f>VLOOKUP(B22,'Super Peak Curve'!$C$23:$AN$275,38)</f>
        <v>37.799761114469234</v>
      </c>
      <c r="E22" s="357">
        <f>VLOOKUP(B22,PJM_01212000!$J$7:$AF$230,23)</f>
        <v>2.25</v>
      </c>
      <c r="G22" s="359">
        <f t="shared" si="0"/>
        <v>0.140625</v>
      </c>
      <c r="H22" s="358"/>
      <c r="I22" s="359">
        <f t="shared" si="1"/>
        <v>2.9981350737507715E-2</v>
      </c>
      <c r="K22" s="360">
        <f t="shared" si="2"/>
        <v>1.1332878957669077</v>
      </c>
      <c r="M22" s="420">
        <v>37.799761114469234</v>
      </c>
      <c r="N22" s="418">
        <f t="shared" si="3"/>
        <v>37.799761114469234</v>
      </c>
    </row>
    <row r="23" spans="2:14">
      <c r="B23" s="339">
        <f>PJM_01212000!A57</f>
        <v>37165</v>
      </c>
      <c r="C23" s="340">
        <f>VLOOKUP(B23,'Super Peak Curve'!$C$23:$AN$275,38)</f>
        <v>30.807163573122022</v>
      </c>
      <c r="E23" s="357">
        <f>VLOOKUP(B23,PJM_01212000!$J$7:$AF$230,23)</f>
        <v>1.5</v>
      </c>
      <c r="G23" s="359">
        <f t="shared" si="0"/>
        <v>9.375E-2</v>
      </c>
      <c r="H23" s="358"/>
      <c r="I23" s="359">
        <f t="shared" si="1"/>
        <v>1.9987567158338479E-2</v>
      </c>
      <c r="K23" s="360">
        <f t="shared" si="2"/>
        <v>0.61576025087569519</v>
      </c>
      <c r="M23" s="420">
        <v>30.807163573122022</v>
      </c>
      <c r="N23" s="418">
        <f t="shared" si="3"/>
        <v>30.807163573122022</v>
      </c>
    </row>
    <row r="24" spans="2:14">
      <c r="B24" s="339">
        <f>PJM_01212000!A58</f>
        <v>37196</v>
      </c>
      <c r="C24" s="340">
        <f>VLOOKUP(B24,'Super Peak Curve'!$C$23:$AN$275,38)</f>
        <v>30.839389347267151</v>
      </c>
      <c r="E24" s="357">
        <f>VLOOKUP(B24,PJM_01212000!$J$7:$AF$230,23)</f>
        <v>1.5</v>
      </c>
      <c r="G24" s="359">
        <f t="shared" si="0"/>
        <v>9.375E-2</v>
      </c>
      <c r="H24" s="358"/>
      <c r="I24" s="359">
        <f t="shared" si="1"/>
        <v>1.9987567158338479E-2</v>
      </c>
      <c r="K24" s="360">
        <f t="shared" si="2"/>
        <v>0.61640436570065049</v>
      </c>
      <c r="M24" s="420">
        <v>30.839389347267151</v>
      </c>
      <c r="N24" s="418">
        <f t="shared" si="3"/>
        <v>30.839389347267151</v>
      </c>
    </row>
    <row r="25" spans="2:14">
      <c r="B25" s="339">
        <f>PJM_01212000!A59</f>
        <v>37226</v>
      </c>
      <c r="C25" s="340">
        <f>VLOOKUP(B25,'Super Peak Curve'!$C$23:$AN$275,38)</f>
        <v>33.344901106602272</v>
      </c>
      <c r="E25" s="357">
        <f>VLOOKUP(B25,PJM_01212000!$J$7:$AF$230,23)</f>
        <v>1.5</v>
      </c>
      <c r="G25" s="359">
        <f t="shared" si="0"/>
        <v>9.375E-2</v>
      </c>
      <c r="H25" s="358"/>
      <c r="I25" s="359">
        <f t="shared" si="1"/>
        <v>1.9987567158338479E-2</v>
      </c>
      <c r="K25" s="360">
        <f t="shared" si="2"/>
        <v>0.66648345025636802</v>
      </c>
      <c r="M25" s="420">
        <v>33.344901106602272</v>
      </c>
      <c r="N25" s="418">
        <f t="shared" si="3"/>
        <v>33.344901106602272</v>
      </c>
    </row>
    <row r="26" spans="2:14">
      <c r="B26" s="339">
        <f>PJM_01212000!A60</f>
        <v>37257</v>
      </c>
      <c r="C26" s="340">
        <f>VLOOKUP(B26,'Super Peak Curve'!$C$23:$AN$275,38)</f>
        <v>43.867938109475716</v>
      </c>
      <c r="E26" s="357">
        <f>VLOOKUP(B26,PJM_01212000!$J$7:$AF$230,23)</f>
        <v>2</v>
      </c>
      <c r="G26" s="359">
        <f t="shared" si="0"/>
        <v>0.125</v>
      </c>
      <c r="H26" s="358"/>
      <c r="I26" s="359">
        <f t="shared" si="1"/>
        <v>2.6650089544451302E-2</v>
      </c>
      <c r="K26" s="360">
        <f t="shared" si="2"/>
        <v>1.1690844787479755</v>
      </c>
      <c r="M26" s="420">
        <v>43.867938109475716</v>
      </c>
      <c r="N26" s="418">
        <f t="shared" si="3"/>
        <v>43.867938109475716</v>
      </c>
    </row>
    <row r="27" spans="2:14">
      <c r="B27" s="339">
        <f>PJM_01212000!A61</f>
        <v>37288</v>
      </c>
      <c r="C27" s="340">
        <f>VLOOKUP(B27,'Super Peak Curve'!$C$23:$AN$275,38)</f>
        <v>43.867938109475716</v>
      </c>
      <c r="E27" s="357">
        <f>VLOOKUP(B27,PJM_01212000!$J$7:$AF$230,23)</f>
        <v>2</v>
      </c>
      <c r="G27" s="359">
        <f t="shared" si="0"/>
        <v>0.125</v>
      </c>
      <c r="H27" s="358"/>
      <c r="I27" s="359">
        <f t="shared" si="1"/>
        <v>2.6650089544451302E-2</v>
      </c>
      <c r="K27" s="360">
        <f t="shared" si="2"/>
        <v>1.1690844787479755</v>
      </c>
      <c r="M27" s="420">
        <v>43.867938109475716</v>
      </c>
      <c r="N27" s="418">
        <f t="shared" si="3"/>
        <v>43.867938109475716</v>
      </c>
    </row>
    <row r="28" spans="2:14">
      <c r="B28" s="339">
        <f>PJM_01212000!A62</f>
        <v>37316</v>
      </c>
      <c r="C28" s="340">
        <f>VLOOKUP(B28,'Super Peak Curve'!$C$23:$AN$275,38)</f>
        <v>31.469822802906034</v>
      </c>
      <c r="E28" s="357">
        <f>VLOOKUP(B28,PJM_01212000!$J$7:$AF$230,23)</f>
        <v>1.1000000000000001</v>
      </c>
      <c r="G28" s="359">
        <f t="shared" si="0"/>
        <v>6.8750000000000006E-2</v>
      </c>
      <c r="H28" s="358"/>
      <c r="I28" s="359">
        <f t="shared" si="1"/>
        <v>1.4657549249448218E-2</v>
      </c>
      <c r="K28" s="360">
        <f t="shared" si="2"/>
        <v>0.46127047760500373</v>
      </c>
      <c r="M28" s="420">
        <v>31.469822802906034</v>
      </c>
      <c r="N28" s="418">
        <f t="shared" si="3"/>
        <v>31.469822802906034</v>
      </c>
    </row>
    <row r="29" spans="2:14">
      <c r="B29" s="339">
        <f>PJM_01212000!A63</f>
        <v>37347</v>
      </c>
      <c r="C29" s="340">
        <f>VLOOKUP(B29,'Super Peak Curve'!$C$23:$AN$275,38)</f>
        <v>29.238188900428785</v>
      </c>
      <c r="E29" s="357">
        <f>VLOOKUP(B29,PJM_01212000!$J$7:$AF$230,23)</f>
        <v>1.2</v>
      </c>
      <c r="G29" s="359">
        <f t="shared" si="0"/>
        <v>7.4999999999999997E-2</v>
      </c>
      <c r="H29" s="358"/>
      <c r="I29" s="359">
        <f t="shared" si="1"/>
        <v>1.599005372667078E-2</v>
      </c>
      <c r="K29" s="360">
        <f t="shared" si="2"/>
        <v>0.46752021138840549</v>
      </c>
      <c r="M29" s="420">
        <v>29.238188900428785</v>
      </c>
      <c r="N29" s="418">
        <f t="shared" si="3"/>
        <v>29.238188900428785</v>
      </c>
    </row>
    <row r="30" spans="2:14">
      <c r="B30" s="339">
        <f>PJM_01212000!A64</f>
        <v>37377</v>
      </c>
      <c r="C30" s="340">
        <f>VLOOKUP(B30,'Super Peak Curve'!$C$23:$AN$275,38)</f>
        <v>33.894704276056729</v>
      </c>
      <c r="E30" s="357">
        <f>VLOOKUP(B30,PJM_01212000!$J$7:$AF$230,23)</f>
        <v>2</v>
      </c>
      <c r="G30" s="359">
        <f t="shared" si="0"/>
        <v>0.125</v>
      </c>
      <c r="H30" s="358"/>
      <c r="I30" s="359">
        <f t="shared" si="1"/>
        <v>2.6650089544451302E-2</v>
      </c>
      <c r="K30" s="360">
        <f t="shared" si="2"/>
        <v>0.90329690403960827</v>
      </c>
      <c r="M30" s="420">
        <v>33.894704276056729</v>
      </c>
      <c r="N30" s="418">
        <f t="shared" si="3"/>
        <v>33.894704276056729</v>
      </c>
    </row>
    <row r="31" spans="2:14">
      <c r="B31" s="339">
        <f>PJM_01212000!A65</f>
        <v>37408</v>
      </c>
      <c r="C31" s="340">
        <f>VLOOKUP(B31,'Super Peak Curve'!$C$23:$AN$275,38)</f>
        <v>67.683375208916715</v>
      </c>
      <c r="E31" s="357">
        <f>VLOOKUP(B31,PJM_01212000!$J$7:$AF$230,23)</f>
        <v>2.5</v>
      </c>
      <c r="G31" s="359">
        <f t="shared" si="0"/>
        <v>0.15625</v>
      </c>
      <c r="H31" s="358"/>
      <c r="I31" s="359">
        <f t="shared" si="1"/>
        <v>3.3312611930564132E-2</v>
      </c>
      <c r="K31" s="360">
        <f t="shared" si="2"/>
        <v>2.2547100124854076</v>
      </c>
      <c r="M31" s="420">
        <v>67.683375208916715</v>
      </c>
      <c r="N31" s="418">
        <f t="shared" si="3"/>
        <v>67.683375208916715</v>
      </c>
    </row>
    <row r="32" spans="2:14">
      <c r="B32" s="339">
        <f>PJM_01212000!A66</f>
        <v>37438</v>
      </c>
      <c r="C32" s="340">
        <f>VLOOKUP(B32,'Super Peak Curve'!$C$23:$AN$275,38)</f>
        <v>124.34732379899991</v>
      </c>
      <c r="E32" s="357">
        <f>VLOOKUP(B32,PJM_01212000!$J$7:$AF$230,23)</f>
        <v>3.25</v>
      </c>
      <c r="G32" s="359">
        <f t="shared" si="0"/>
        <v>0.203125</v>
      </c>
      <c r="H32" s="358"/>
      <c r="I32" s="359">
        <f t="shared" si="1"/>
        <v>4.3306395509733371E-2</v>
      </c>
      <c r="K32" s="360">
        <f t="shared" si="2"/>
        <v>5.3850343850163709</v>
      </c>
      <c r="M32" s="420">
        <v>124.34732379899991</v>
      </c>
      <c r="N32" s="418">
        <f t="shared" si="3"/>
        <v>124.34732379899991</v>
      </c>
    </row>
    <row r="33" spans="2:14">
      <c r="B33" s="339">
        <f>PJM_01212000!A67</f>
        <v>37469</v>
      </c>
      <c r="C33" s="340">
        <f>VLOOKUP(B33,'Super Peak Curve'!$C$23:$AN$275,38)</f>
        <v>100.27366535565065</v>
      </c>
      <c r="E33" s="357">
        <f>VLOOKUP(B33,PJM_01212000!$J$7:$AF$230,23)</f>
        <v>3.25</v>
      </c>
      <c r="G33" s="359">
        <f t="shared" si="0"/>
        <v>0.203125</v>
      </c>
      <c r="H33" s="358"/>
      <c r="I33" s="359">
        <f t="shared" si="1"/>
        <v>4.3306395509733371E-2</v>
      </c>
      <c r="K33" s="360">
        <f t="shared" si="2"/>
        <v>4.3424910111024557</v>
      </c>
      <c r="M33" s="420">
        <v>100.27366535565065</v>
      </c>
      <c r="N33" s="418">
        <f t="shared" si="3"/>
        <v>100.27366535565065</v>
      </c>
    </row>
    <row r="34" spans="2:14">
      <c r="B34" s="339">
        <f>PJM_01212000!A68</f>
        <v>37500</v>
      </c>
      <c r="C34" s="340">
        <f>VLOOKUP(B34,'Super Peak Curve'!$C$23:$AN$275,38)</f>
        <v>37.915268411266695</v>
      </c>
      <c r="E34" s="357">
        <f>VLOOKUP(B34,PJM_01212000!$J$7:$AF$230,23)</f>
        <v>2</v>
      </c>
      <c r="G34" s="359">
        <f t="shared" si="0"/>
        <v>0.125</v>
      </c>
      <c r="H34" s="358"/>
      <c r="I34" s="359">
        <f t="shared" si="1"/>
        <v>2.6650089544451302E-2</v>
      </c>
      <c r="K34" s="360">
        <f t="shared" si="2"/>
        <v>1.0104452982621632</v>
      </c>
      <c r="M34" s="420">
        <v>37.915268411266695</v>
      </c>
      <c r="N34" s="418">
        <f t="shared" si="3"/>
        <v>37.915268411266695</v>
      </c>
    </row>
    <row r="35" spans="2:14">
      <c r="B35" s="339">
        <f>PJM_01212000!A69</f>
        <v>37530</v>
      </c>
      <c r="C35" s="340">
        <f>VLOOKUP(B35,'Super Peak Curve'!$C$23:$AN$275,38)</f>
        <v>31.100844823122024</v>
      </c>
      <c r="E35" s="357">
        <f>VLOOKUP(B35,PJM_01212000!$J$7:$AF$230,23)</f>
        <v>1.5</v>
      </c>
      <c r="G35" s="359">
        <f t="shared" si="0"/>
        <v>9.375E-2</v>
      </c>
      <c r="H35" s="358"/>
      <c r="I35" s="359">
        <f t="shared" si="1"/>
        <v>1.9987567158338479E-2</v>
      </c>
      <c r="K35" s="360">
        <f t="shared" si="2"/>
        <v>0.62163022458321504</v>
      </c>
      <c r="M35" s="420">
        <v>31.100844823122024</v>
      </c>
      <c r="N35" s="418">
        <f t="shared" si="3"/>
        <v>31.100844823122024</v>
      </c>
    </row>
    <row r="36" spans="2:14">
      <c r="B36" s="339">
        <f>PJM_01212000!A70</f>
        <v>37561</v>
      </c>
      <c r="C36" s="340">
        <f>VLOOKUP(B36,'Super Peak Curve'!$C$23:$AN$275,38)</f>
        <v>31.137095597267155</v>
      </c>
      <c r="E36" s="357">
        <f>VLOOKUP(B36,PJM_01212000!$J$7:$AF$230,23)</f>
        <v>1.5</v>
      </c>
      <c r="G36" s="359">
        <f t="shared" si="0"/>
        <v>9.375E-2</v>
      </c>
      <c r="H36" s="358"/>
      <c r="I36" s="359">
        <f t="shared" si="1"/>
        <v>1.9987567158338479E-2</v>
      </c>
      <c r="K36" s="360">
        <f t="shared" si="2"/>
        <v>0.62235478936598265</v>
      </c>
      <c r="M36" s="420">
        <v>31.137095597267155</v>
      </c>
      <c r="N36" s="418">
        <f t="shared" si="3"/>
        <v>31.137095597267155</v>
      </c>
    </row>
    <row r="37" spans="2:14">
      <c r="B37" s="339">
        <f>PJM_01212000!A71</f>
        <v>37591</v>
      </c>
      <c r="C37" s="340">
        <f>VLOOKUP(B37,'Super Peak Curve'!$C$23:$AN$275,38)</f>
        <v>33.646392079175875</v>
      </c>
      <c r="E37" s="357">
        <f>VLOOKUP(B37,PJM_01212000!$J$7:$AF$230,23)</f>
        <v>1.5</v>
      </c>
      <c r="G37" s="359">
        <f t="shared" si="0"/>
        <v>9.375E-2</v>
      </c>
      <c r="H37" s="358"/>
      <c r="I37" s="359">
        <f t="shared" si="1"/>
        <v>1.9987567158338479E-2</v>
      </c>
      <c r="K37" s="360">
        <f t="shared" si="2"/>
        <v>0.67250952131831565</v>
      </c>
      <c r="M37" s="420">
        <v>33.646392079175875</v>
      </c>
      <c r="N37" s="418">
        <f t="shared" si="3"/>
        <v>33.646392079175875</v>
      </c>
    </row>
    <row r="38" spans="2:14">
      <c r="B38" s="339">
        <f>PJM_01212000!A72</f>
        <v>37622</v>
      </c>
      <c r="C38" s="340">
        <f>VLOOKUP(B38,'Super Peak Curve'!$C$23:$AN$275,38)</f>
        <v>44.542357871580379</v>
      </c>
      <c r="E38" s="357">
        <f>VLOOKUP(B38,PJM_01212000!$J$7:$AF$230,23)</f>
        <v>2</v>
      </c>
      <c r="G38" s="359">
        <f t="shared" si="0"/>
        <v>0.125</v>
      </c>
      <c r="H38" s="358"/>
      <c r="I38" s="359">
        <f t="shared" si="1"/>
        <v>2.6650089544451302E-2</v>
      </c>
      <c r="K38" s="360">
        <f t="shared" si="2"/>
        <v>1.1870578257986124</v>
      </c>
      <c r="M38" s="420">
        <v>44.542357871580379</v>
      </c>
      <c r="N38" s="418">
        <f t="shared" si="3"/>
        <v>44.542357871580379</v>
      </c>
    </row>
    <row r="39" spans="2:14">
      <c r="B39" s="339">
        <f>PJM_01212000!A73</f>
        <v>37653</v>
      </c>
      <c r="C39" s="340">
        <f>VLOOKUP(B39,'Super Peak Curve'!$C$23:$AN$275,38)</f>
        <v>44.542357871580379</v>
      </c>
      <c r="E39" s="357">
        <f>VLOOKUP(B39,PJM_01212000!$J$7:$AF$230,23)</f>
        <v>2</v>
      </c>
      <c r="G39" s="359">
        <f t="shared" si="0"/>
        <v>0.125</v>
      </c>
      <c r="H39" s="358"/>
      <c r="I39" s="359">
        <f t="shared" si="1"/>
        <v>2.6650089544451302E-2</v>
      </c>
      <c r="K39" s="360">
        <f t="shared" si="2"/>
        <v>1.1870578257986124</v>
      </c>
      <c r="M39" s="420">
        <v>44.542357871580379</v>
      </c>
      <c r="N39" s="418">
        <f t="shared" si="3"/>
        <v>44.542357871580379</v>
      </c>
    </row>
    <row r="40" spans="2:14">
      <c r="B40" s="339">
        <f>PJM_01212000!A74</f>
        <v>37681</v>
      </c>
      <c r="C40" s="340">
        <f>VLOOKUP(B40,'Super Peak Curve'!$C$23:$AN$275,38)</f>
        <v>31.86509592790604</v>
      </c>
      <c r="E40" s="357">
        <f>VLOOKUP(B40,PJM_01212000!$J$7:$AF$230,23)</f>
        <v>1.1000000000000001</v>
      </c>
      <c r="G40" s="359">
        <f t="shared" si="0"/>
        <v>6.8750000000000006E-2</v>
      </c>
      <c r="H40" s="358"/>
      <c r="I40" s="359">
        <f t="shared" si="1"/>
        <v>1.4657549249448218E-2</v>
      </c>
      <c r="K40" s="360">
        <f t="shared" si="2"/>
        <v>0.46706421290167466</v>
      </c>
      <c r="M40" s="420">
        <v>31.86509592790604</v>
      </c>
      <c r="N40" s="418">
        <f t="shared" si="3"/>
        <v>31.86509592790604</v>
      </c>
    </row>
    <row r="41" spans="2:14">
      <c r="B41" s="339">
        <f>PJM_01212000!A75</f>
        <v>37712</v>
      </c>
      <c r="C41" s="340">
        <f>VLOOKUP(B41,'Super Peak Curve'!$C$23:$AN$275,38)</f>
        <v>29.465061358508159</v>
      </c>
      <c r="E41" s="357">
        <f>VLOOKUP(B41,PJM_01212000!$J$7:$AF$230,23)</f>
        <v>1.2</v>
      </c>
      <c r="G41" s="359">
        <f t="shared" si="0"/>
        <v>7.4999999999999997E-2</v>
      </c>
      <c r="H41" s="358"/>
      <c r="I41" s="359">
        <f t="shared" si="1"/>
        <v>1.599005372667078E-2</v>
      </c>
      <c r="K41" s="360">
        <f t="shared" si="2"/>
        <v>0.47114791418219659</v>
      </c>
      <c r="M41" s="420">
        <v>29.465061358508159</v>
      </c>
      <c r="N41" s="418">
        <f t="shared" si="3"/>
        <v>29.465061358508159</v>
      </c>
    </row>
    <row r="42" spans="2:14">
      <c r="B42" s="339">
        <f>PJM_01212000!A76</f>
        <v>37742</v>
      </c>
      <c r="C42" s="340">
        <f>VLOOKUP(B42,'Super Peak Curve'!$C$23:$AN$275,38)</f>
        <v>34.004484694764606</v>
      </c>
      <c r="E42" s="357">
        <f>VLOOKUP(B42,PJM_01212000!$J$7:$AF$230,23)</f>
        <v>2</v>
      </c>
      <c r="G42" s="359">
        <f t="shared" si="0"/>
        <v>0.125</v>
      </c>
      <c r="H42" s="358"/>
      <c r="I42" s="359">
        <f t="shared" si="1"/>
        <v>2.6650089544451302E-2</v>
      </c>
      <c r="K42" s="360">
        <f t="shared" si="2"/>
        <v>0.90622256202840057</v>
      </c>
      <c r="M42" s="420">
        <v>34.004484694764606</v>
      </c>
      <c r="N42" s="418">
        <f t="shared" si="3"/>
        <v>34.004484694764606</v>
      </c>
    </row>
    <row r="43" spans="2:14">
      <c r="B43" s="339">
        <f>PJM_01212000!A77</f>
        <v>37773</v>
      </c>
      <c r="C43" s="340">
        <f>VLOOKUP(B43,'Super Peak Curve'!$C$23:$AN$275,38)</f>
        <v>67.991868267676097</v>
      </c>
      <c r="E43" s="357">
        <f>VLOOKUP(B43,PJM_01212000!$J$7:$AF$230,23)</f>
        <v>2.25</v>
      </c>
      <c r="G43" s="359">
        <f t="shared" si="0"/>
        <v>0.140625</v>
      </c>
      <c r="H43" s="358"/>
      <c r="I43" s="359">
        <f t="shared" si="1"/>
        <v>2.9981350737507715E-2</v>
      </c>
      <c r="K43" s="360">
        <f t="shared" si="2"/>
        <v>2.038488049831618</v>
      </c>
      <c r="M43" s="420">
        <v>67.991868267676097</v>
      </c>
      <c r="N43" s="418">
        <f t="shared" si="3"/>
        <v>67.991868267676097</v>
      </c>
    </row>
    <row r="44" spans="2:14">
      <c r="B44" s="339">
        <f>PJM_01212000!A78</f>
        <v>37803</v>
      </c>
      <c r="C44" s="340">
        <f>VLOOKUP(B44,'Super Peak Curve'!$C$23:$AN$275,38)</f>
        <v>123.69079091723562</v>
      </c>
      <c r="E44" s="357">
        <f>VLOOKUP(B44,PJM_01212000!$J$7:$AF$230,23)</f>
        <v>3</v>
      </c>
      <c r="G44" s="359">
        <f t="shared" si="0"/>
        <v>0.1875</v>
      </c>
      <c r="H44" s="358"/>
      <c r="I44" s="359">
        <f t="shared" si="1"/>
        <v>3.9975134316676958E-2</v>
      </c>
      <c r="K44" s="360">
        <f t="shared" si="2"/>
        <v>4.9445559806524999</v>
      </c>
      <c r="M44" s="420">
        <v>123.69079091723562</v>
      </c>
      <c r="N44" s="418">
        <f t="shared" si="3"/>
        <v>123.69079091723562</v>
      </c>
    </row>
    <row r="45" spans="2:14">
      <c r="B45" s="339">
        <f>PJM_01212000!A79</f>
        <v>37834</v>
      </c>
      <c r="C45" s="340">
        <f>VLOOKUP(B45,'Super Peak Curve'!$C$23:$AN$275,38)</f>
        <v>99.659995410110895</v>
      </c>
      <c r="E45" s="357">
        <f>VLOOKUP(B45,PJM_01212000!$J$7:$AF$230,23)</f>
        <v>3</v>
      </c>
      <c r="G45" s="359">
        <f t="shared" si="0"/>
        <v>0.1875</v>
      </c>
      <c r="H45" s="358"/>
      <c r="I45" s="359">
        <f t="shared" si="1"/>
        <v>3.9975134316676958E-2</v>
      </c>
      <c r="K45" s="360">
        <f t="shared" si="2"/>
        <v>3.9839217025185922</v>
      </c>
      <c r="M45" s="420">
        <v>99.659995410110895</v>
      </c>
      <c r="N45" s="418">
        <f t="shared" si="3"/>
        <v>99.659995410110895</v>
      </c>
    </row>
    <row r="46" spans="2:14">
      <c r="B46" s="339">
        <f>PJM_01212000!A80</f>
        <v>37865</v>
      </c>
      <c r="C46" s="340">
        <f>VLOOKUP(B46,'Super Peak Curve'!$C$23:$AN$275,38)</f>
        <v>38.204036653260367</v>
      </c>
      <c r="E46" s="357">
        <f>VLOOKUP(B46,PJM_01212000!$J$7:$AF$230,23)</f>
        <v>1.75</v>
      </c>
      <c r="G46" s="359">
        <f t="shared" si="0"/>
        <v>0.109375</v>
      </c>
      <c r="H46" s="358"/>
      <c r="I46" s="359">
        <f t="shared" si="1"/>
        <v>2.3318828351394889E-2</v>
      </c>
      <c r="K46" s="360">
        <f t="shared" si="2"/>
        <v>0.89087337304777736</v>
      </c>
      <c r="M46" s="420">
        <v>38.204036653260367</v>
      </c>
      <c r="N46" s="418">
        <f t="shared" si="3"/>
        <v>38.204036653260367</v>
      </c>
    </row>
    <row r="47" spans="2:14">
      <c r="B47" s="339">
        <f>PJM_01212000!A81</f>
        <v>37895</v>
      </c>
      <c r="C47" s="340">
        <f>VLOOKUP(B47,'Super Peak Curve'!$C$23:$AN$275,38)</f>
        <v>31.394526073122023</v>
      </c>
      <c r="E47" s="357">
        <f>VLOOKUP(B47,PJM_01212000!$J$7:$AF$230,23)</f>
        <v>1.5</v>
      </c>
      <c r="G47" s="359">
        <f t="shared" si="0"/>
        <v>9.375E-2</v>
      </c>
      <c r="H47" s="358"/>
      <c r="I47" s="359">
        <f t="shared" si="1"/>
        <v>1.9987567158338479E-2</v>
      </c>
      <c r="K47" s="360">
        <f t="shared" si="2"/>
        <v>0.62750019829073489</v>
      </c>
      <c r="M47" s="420">
        <v>31.394526073122023</v>
      </c>
      <c r="N47" s="418">
        <f t="shared" si="3"/>
        <v>31.394526073122023</v>
      </c>
    </row>
    <row r="48" spans="2:14">
      <c r="B48" s="339">
        <f>PJM_01212000!A82</f>
        <v>37926</v>
      </c>
      <c r="C48" s="340">
        <f>VLOOKUP(B48,'Super Peak Curve'!$C$23:$AN$275,38)</f>
        <v>31.434801847267153</v>
      </c>
      <c r="E48" s="357">
        <f>VLOOKUP(B48,PJM_01212000!$J$7:$AF$230,23)</f>
        <v>1.5</v>
      </c>
      <c r="G48" s="359">
        <f t="shared" si="0"/>
        <v>9.375E-2</v>
      </c>
      <c r="H48" s="358"/>
      <c r="I48" s="359">
        <f t="shared" si="1"/>
        <v>1.9987567158338479E-2</v>
      </c>
      <c r="K48" s="360">
        <f t="shared" si="2"/>
        <v>0.6283052130313147</v>
      </c>
      <c r="M48" s="420">
        <v>31.434801847267153</v>
      </c>
      <c r="N48" s="418">
        <f t="shared" si="3"/>
        <v>31.434801847267153</v>
      </c>
    </row>
    <row r="49" spans="2:14">
      <c r="B49" s="339">
        <f>PJM_01212000!A83</f>
        <v>37956</v>
      </c>
      <c r="C49" s="340">
        <f>VLOOKUP(B49,'Super Peak Curve'!$C$23:$AN$275,38)</f>
        <v>33.947883051749486</v>
      </c>
      <c r="E49" s="357">
        <f>VLOOKUP(B49,PJM_01212000!$J$7:$AF$230,23)</f>
        <v>1.5</v>
      </c>
      <c r="G49" s="359">
        <f t="shared" si="0"/>
        <v>9.375E-2</v>
      </c>
      <c r="H49" s="358"/>
      <c r="I49" s="359">
        <f t="shared" si="1"/>
        <v>1.9987567158338479E-2</v>
      </c>
      <c r="K49" s="360">
        <f t="shared" si="2"/>
        <v>0.67853559238026351</v>
      </c>
      <c r="M49" s="420">
        <v>33.947883051749486</v>
      </c>
      <c r="N49" s="418">
        <f t="shared" si="3"/>
        <v>33.947883051749486</v>
      </c>
    </row>
    <row r="50" spans="2:14">
      <c r="B50" s="339">
        <f>PJM_01212000!A84</f>
        <v>37987</v>
      </c>
      <c r="C50" s="340">
        <f>VLOOKUP(B50,'Super Peak Curve'!$C$23:$AN$275,38)</f>
        <v>45.155466746220995</v>
      </c>
      <c r="E50" s="357">
        <f>VLOOKUP(B50,PJM_01212000!$J$7:$AF$230,23)</f>
        <v>1.9</v>
      </c>
      <c r="G50" s="359">
        <f t="shared" si="0"/>
        <v>0.11874999999999999</v>
      </c>
      <c r="H50" s="358"/>
      <c r="I50" s="359">
        <f t="shared" si="1"/>
        <v>2.5317585067228737E-2</v>
      </c>
      <c r="K50" s="360">
        <f t="shared" si="2"/>
        <v>1.1432273705978684</v>
      </c>
      <c r="M50" s="420">
        <v>45.155466746220995</v>
      </c>
      <c r="N50" s="418">
        <f t="shared" si="3"/>
        <v>45.155466746220995</v>
      </c>
    </row>
    <row r="51" spans="2:14">
      <c r="B51" s="339">
        <f>PJM_01212000!A85</f>
        <v>38018</v>
      </c>
      <c r="C51" s="340">
        <f>VLOOKUP(B51,'Super Peak Curve'!$C$23:$AN$275,38)</f>
        <v>45.155466746220995</v>
      </c>
      <c r="E51" s="357">
        <f>VLOOKUP(B51,PJM_01212000!$J$7:$AF$230,23)</f>
        <v>1.9</v>
      </c>
      <c r="G51" s="359">
        <f t="shared" si="0"/>
        <v>0.11874999999999999</v>
      </c>
      <c r="H51" s="358"/>
      <c r="I51" s="359">
        <f t="shared" si="1"/>
        <v>2.5317585067228737E-2</v>
      </c>
      <c r="K51" s="360">
        <f t="shared" si="2"/>
        <v>1.1432273705978684</v>
      </c>
      <c r="M51" s="420">
        <v>45.155466746220995</v>
      </c>
      <c r="N51" s="418">
        <f t="shared" si="3"/>
        <v>45.155466746220995</v>
      </c>
    </row>
    <row r="52" spans="2:14">
      <c r="B52" s="339">
        <f>PJM_01212000!A86</f>
        <v>38047</v>
      </c>
      <c r="C52" s="340">
        <f>VLOOKUP(B52,'Super Peak Curve'!$C$23:$AN$275,38)</f>
        <v>32.290774677906036</v>
      </c>
      <c r="E52" s="357">
        <f>VLOOKUP(B52,PJM_01212000!$J$7:$AF$230,23)</f>
        <v>1.1000000000000001</v>
      </c>
      <c r="G52" s="359">
        <f t="shared" si="0"/>
        <v>6.8750000000000006E-2</v>
      </c>
      <c r="H52" s="358"/>
      <c r="I52" s="359">
        <f t="shared" si="1"/>
        <v>1.4657549249448218E-2</v>
      </c>
      <c r="K52" s="360">
        <f t="shared" si="2"/>
        <v>0.47330362014424315</v>
      </c>
      <c r="M52" s="420">
        <v>32.290774677906036</v>
      </c>
      <c r="N52" s="418">
        <f t="shared" si="3"/>
        <v>32.290774677906036</v>
      </c>
    </row>
    <row r="53" spans="2:14">
      <c r="B53" s="339">
        <f>PJM_01212000!A87</f>
        <v>38078</v>
      </c>
      <c r="C53" s="340">
        <f>VLOOKUP(B53,'Super Peak Curve'!$C$23:$AN$275,38)</f>
        <v>29.86208816014706</v>
      </c>
      <c r="E53" s="357">
        <f>VLOOKUP(B53,PJM_01212000!$J$7:$AF$230,23)</f>
        <v>1.2</v>
      </c>
      <c r="G53" s="359">
        <f t="shared" si="0"/>
        <v>7.4999999999999997E-2</v>
      </c>
      <c r="H53" s="358"/>
      <c r="I53" s="359">
        <f t="shared" si="1"/>
        <v>1.599005372667078E-2</v>
      </c>
      <c r="K53" s="360">
        <f t="shared" si="2"/>
        <v>0.47749639407133088</v>
      </c>
      <c r="M53" s="420">
        <v>29.86208816014706</v>
      </c>
      <c r="N53" s="418">
        <f t="shared" si="3"/>
        <v>29.86208816014706</v>
      </c>
    </row>
    <row r="54" spans="2:14">
      <c r="B54" s="339">
        <f>PJM_01212000!A88</f>
        <v>38108</v>
      </c>
      <c r="C54" s="340">
        <f>VLOOKUP(B54,'Super Peak Curve'!$C$23:$AN$275,38)</f>
        <v>34.388716160242168</v>
      </c>
      <c r="E54" s="357">
        <f>VLOOKUP(B54,PJM_01212000!$J$7:$AF$230,23)</f>
        <v>2</v>
      </c>
      <c r="G54" s="359">
        <f t="shared" si="0"/>
        <v>0.125</v>
      </c>
      <c r="H54" s="358"/>
      <c r="I54" s="359">
        <f t="shared" si="1"/>
        <v>2.6650089544451302E-2</v>
      </c>
      <c r="K54" s="360">
        <f t="shared" si="2"/>
        <v>0.91646236498917333</v>
      </c>
      <c r="M54" s="420">
        <v>34.388716160242168</v>
      </c>
      <c r="N54" s="418">
        <f t="shared" si="3"/>
        <v>34.388716160242168</v>
      </c>
    </row>
    <row r="55" spans="2:14">
      <c r="B55" s="339">
        <f>PJM_01212000!A89</f>
        <v>38139</v>
      </c>
      <c r="C55" s="340">
        <f>VLOOKUP(B55,'Super Peak Curve'!$C$23:$AN$275,38)</f>
        <v>68.608854385194874</v>
      </c>
      <c r="E55" s="357">
        <f>VLOOKUP(B55,PJM_01212000!$J$7:$AF$230,23)</f>
        <v>2.25</v>
      </c>
      <c r="G55" s="359">
        <f t="shared" ref="G55:G118" si="4">E55/(256)^(1/2)</f>
        <v>0.140625</v>
      </c>
      <c r="H55" s="358"/>
      <c r="I55" s="359">
        <f t="shared" ref="I55:I118" si="5">(G55/(22)^(1/2))</f>
        <v>2.9981350737507715E-2</v>
      </c>
      <c r="K55" s="360">
        <f t="shared" ref="K55:K118" si="6">I55*C55</f>
        <v>2.0569861270211218</v>
      </c>
      <c r="M55" s="420">
        <v>68.608854385194874</v>
      </c>
      <c r="N55" s="418">
        <f t="shared" si="3"/>
        <v>68.608854385194874</v>
      </c>
    </row>
    <row r="56" spans="2:14">
      <c r="B56" s="339">
        <f>PJM_01212000!A90</f>
        <v>38169</v>
      </c>
      <c r="C56" s="340">
        <f>VLOOKUP(B56,'Super Peak Curve'!$C$23:$AN$275,38)</f>
        <v>124.01905735811776</v>
      </c>
      <c r="E56" s="357">
        <f>VLOOKUP(B56,PJM_01212000!$J$7:$AF$230,23)</f>
        <v>3</v>
      </c>
      <c r="G56" s="359">
        <f t="shared" si="4"/>
        <v>0.1875</v>
      </c>
      <c r="H56" s="358"/>
      <c r="I56" s="359">
        <f t="shared" si="5"/>
        <v>3.9975134316676958E-2</v>
      </c>
      <c r="K56" s="360">
        <f t="shared" si="6"/>
        <v>4.9576784757184216</v>
      </c>
      <c r="M56" s="420">
        <v>124.01905735811776</v>
      </c>
      <c r="N56" s="418">
        <f t="shared" si="3"/>
        <v>124.01905735811776</v>
      </c>
    </row>
    <row r="57" spans="2:14">
      <c r="B57" s="339">
        <f>PJM_01212000!A91</f>
        <v>38200</v>
      </c>
      <c r="C57" s="340">
        <f>VLOOKUP(B57,'Super Peak Curve'!$C$23:$AN$275,38)</f>
        <v>99.966830382880772</v>
      </c>
      <c r="E57" s="357">
        <f>VLOOKUP(B57,PJM_01212000!$J$7:$AF$230,23)</f>
        <v>3</v>
      </c>
      <c r="G57" s="359">
        <f t="shared" si="4"/>
        <v>0.1875</v>
      </c>
      <c r="H57" s="358"/>
      <c r="I57" s="359">
        <f t="shared" si="5"/>
        <v>3.9975134316676958E-2</v>
      </c>
      <c r="K57" s="360">
        <f t="shared" si="6"/>
        <v>3.9961874717681218</v>
      </c>
      <c r="M57" s="420">
        <v>99.966830382880772</v>
      </c>
      <c r="N57" s="418">
        <f t="shared" si="3"/>
        <v>99.966830382880772</v>
      </c>
    </row>
    <row r="58" spans="2:14">
      <c r="B58" s="339">
        <f>PJM_01212000!A92</f>
        <v>38231</v>
      </c>
      <c r="C58" s="340">
        <f>VLOOKUP(B58,'Super Peak Curve'!$C$23:$AN$275,38)</f>
        <v>38.6083121920515</v>
      </c>
      <c r="E58" s="357">
        <f>VLOOKUP(B58,PJM_01212000!$J$7:$AF$230,23)</f>
        <v>1.75</v>
      </c>
      <c r="G58" s="359">
        <f t="shared" si="4"/>
        <v>0.109375</v>
      </c>
      <c r="H58" s="358"/>
      <c r="I58" s="359">
        <f t="shared" si="5"/>
        <v>2.3318828351394889E-2</v>
      </c>
      <c r="K58" s="360">
        <f t="shared" si="6"/>
        <v>0.90030060494351549</v>
      </c>
      <c r="M58" s="420">
        <v>38.6083121920515</v>
      </c>
      <c r="N58" s="418">
        <f t="shared" si="3"/>
        <v>38.6083121920515</v>
      </c>
    </row>
    <row r="59" spans="2:14">
      <c r="B59" s="339">
        <f>PJM_01212000!A93</f>
        <v>38261</v>
      </c>
      <c r="C59" s="340">
        <f>VLOOKUP(B59,'Super Peak Curve'!$C$23:$AN$275,38)</f>
        <v>31.805679823122031</v>
      </c>
      <c r="E59" s="357">
        <f>VLOOKUP(B59,PJM_01212000!$J$7:$AF$230,23)</f>
        <v>1.5</v>
      </c>
      <c r="G59" s="359">
        <f t="shared" si="4"/>
        <v>9.375E-2</v>
      </c>
      <c r="H59" s="358"/>
      <c r="I59" s="359">
        <f t="shared" si="5"/>
        <v>1.9987567158338479E-2</v>
      </c>
      <c r="K59" s="360">
        <f t="shared" si="6"/>
        <v>0.6357181614812627</v>
      </c>
      <c r="M59" s="420">
        <v>31.805679823122031</v>
      </c>
      <c r="N59" s="418">
        <f t="shared" si="3"/>
        <v>31.805679823122031</v>
      </c>
    </row>
    <row r="60" spans="2:14">
      <c r="B60" s="339">
        <f>PJM_01212000!A94</f>
        <v>38292</v>
      </c>
      <c r="C60" s="340">
        <f>VLOOKUP(B60,'Super Peak Curve'!$C$23:$AN$275,38)</f>
        <v>31.851590597267155</v>
      </c>
      <c r="E60" s="357">
        <f>VLOOKUP(B60,PJM_01212000!$J$7:$AF$230,23)</f>
        <v>1.5</v>
      </c>
      <c r="G60" s="359">
        <f t="shared" si="4"/>
        <v>9.375E-2</v>
      </c>
      <c r="H60" s="358"/>
      <c r="I60" s="359">
        <f t="shared" si="5"/>
        <v>1.9987567158338479E-2</v>
      </c>
      <c r="K60" s="360">
        <f t="shared" si="6"/>
        <v>0.6366358061627797</v>
      </c>
      <c r="M60" s="420">
        <v>31.851590597267155</v>
      </c>
      <c r="N60" s="418">
        <f t="shared" si="3"/>
        <v>31.851590597267155</v>
      </c>
    </row>
    <row r="61" spans="2:14">
      <c r="B61" s="339">
        <f>PJM_01212000!A95</f>
        <v>38322</v>
      </c>
      <c r="C61" s="340">
        <f>VLOOKUP(B61,'Super Peak Curve'!$C$23:$AN$275,38)</f>
        <v>34.369970413352533</v>
      </c>
      <c r="E61" s="357">
        <f>VLOOKUP(B61,PJM_01212000!$J$7:$AF$230,23)</f>
        <v>1.5</v>
      </c>
      <c r="G61" s="359">
        <f t="shared" si="4"/>
        <v>9.375E-2</v>
      </c>
      <c r="H61" s="358"/>
      <c r="I61" s="359">
        <f t="shared" si="5"/>
        <v>1.9987567158338479E-2</v>
      </c>
      <c r="K61" s="360">
        <f t="shared" si="6"/>
        <v>0.68697209186699026</v>
      </c>
      <c r="M61" s="420">
        <v>34.369970413352533</v>
      </c>
      <c r="N61" s="418">
        <f t="shared" si="3"/>
        <v>34.369970413352533</v>
      </c>
    </row>
    <row r="62" spans="2:14">
      <c r="B62" s="339">
        <f>PJM_01212000!A96</f>
        <v>38353</v>
      </c>
      <c r="C62" s="340">
        <f>VLOOKUP(B62,'Super Peak Curve'!$C$23:$AN$275,38)</f>
        <v>45.768575620861604</v>
      </c>
      <c r="E62" s="357">
        <f>VLOOKUP(B62,PJM_01212000!$J$7:$AF$230,23)</f>
        <v>1.875</v>
      </c>
      <c r="G62" s="359">
        <f t="shared" si="4"/>
        <v>0.1171875</v>
      </c>
      <c r="H62" s="358"/>
      <c r="I62" s="359">
        <f t="shared" si="5"/>
        <v>2.4984458947923095E-2</v>
      </c>
      <c r="K62" s="360">
        <f t="shared" si="6"/>
        <v>1.1435030987043306</v>
      </c>
      <c r="M62" s="420">
        <v>45.768575620861604</v>
      </c>
      <c r="N62" s="418">
        <f t="shared" si="3"/>
        <v>45.768575620861604</v>
      </c>
    </row>
    <row r="63" spans="2:14">
      <c r="B63" s="339">
        <f>PJM_01212000!A97</f>
        <v>38384</v>
      </c>
      <c r="C63" s="340">
        <f>VLOOKUP(B63,'Super Peak Curve'!$C$23:$AN$275,38)</f>
        <v>45.768575620861604</v>
      </c>
      <c r="E63" s="357">
        <f>VLOOKUP(B63,PJM_01212000!$J$7:$AF$230,23)</f>
        <v>1.875</v>
      </c>
      <c r="G63" s="359">
        <f t="shared" si="4"/>
        <v>0.1171875</v>
      </c>
      <c r="H63" s="358"/>
      <c r="I63" s="359">
        <f t="shared" si="5"/>
        <v>2.4984458947923095E-2</v>
      </c>
      <c r="K63" s="360">
        <f t="shared" si="6"/>
        <v>1.1435030987043306</v>
      </c>
      <c r="M63" s="420">
        <v>45.768575620861604</v>
      </c>
      <c r="N63" s="418">
        <f t="shared" si="3"/>
        <v>45.768575620861604</v>
      </c>
    </row>
    <row r="64" spans="2:14">
      <c r="B64" s="339">
        <f>PJM_01212000!A98</f>
        <v>38412</v>
      </c>
      <c r="C64" s="340">
        <f>VLOOKUP(B64,'Super Peak Curve'!$C$23:$AN$275,38)</f>
        <v>32.898887177906033</v>
      </c>
      <c r="E64" s="357">
        <f>VLOOKUP(B64,PJM_01212000!$J$7:$AF$230,23)</f>
        <v>1.1000000000000001</v>
      </c>
      <c r="G64" s="359">
        <f t="shared" si="4"/>
        <v>6.8750000000000006E-2</v>
      </c>
      <c r="H64" s="358"/>
      <c r="I64" s="359">
        <f t="shared" si="5"/>
        <v>1.4657549249448218E-2</v>
      </c>
      <c r="K64" s="360">
        <f t="shared" si="6"/>
        <v>0.48221705906219819</v>
      </c>
      <c r="M64" s="420">
        <v>32.898887177906033</v>
      </c>
      <c r="N64" s="418">
        <f t="shared" si="3"/>
        <v>32.898887177906033</v>
      </c>
    </row>
    <row r="65" spans="2:14">
      <c r="B65" s="339">
        <f>PJM_01212000!A99</f>
        <v>38443</v>
      </c>
      <c r="C65" s="340">
        <f>VLOOKUP(B65,'Super Peak Curve'!$C$23:$AN$275,38)</f>
        <v>30.429269305345489</v>
      </c>
      <c r="E65" s="357">
        <f>VLOOKUP(B65,PJM_01212000!$J$7:$AF$230,23)</f>
        <v>1.2</v>
      </c>
      <c r="G65" s="359">
        <f t="shared" si="4"/>
        <v>7.4999999999999997E-2</v>
      </c>
      <c r="H65" s="358"/>
      <c r="I65" s="359">
        <f t="shared" si="5"/>
        <v>1.599005372667078E-2</v>
      </c>
      <c r="K65" s="360">
        <f t="shared" si="6"/>
        <v>0.4865656510558084</v>
      </c>
      <c r="M65" s="420">
        <v>30.429269305345489</v>
      </c>
      <c r="N65" s="418">
        <f t="shared" si="3"/>
        <v>30.429269305345489</v>
      </c>
    </row>
    <row r="66" spans="2:14">
      <c r="B66" s="339">
        <f>PJM_01212000!A100</f>
        <v>38473</v>
      </c>
      <c r="C66" s="340">
        <f>VLOOKUP(B66,'Super Peak Curve'!$C$23:$AN$275,38)</f>
        <v>34.937618253781551</v>
      </c>
      <c r="E66" s="357">
        <f>VLOOKUP(B66,PJM_01212000!$J$7:$AF$230,23)</f>
        <v>2</v>
      </c>
      <c r="G66" s="359">
        <f t="shared" si="4"/>
        <v>0.125</v>
      </c>
      <c r="H66" s="358"/>
      <c r="I66" s="359">
        <f t="shared" si="5"/>
        <v>2.6650089544451302E-2</v>
      </c>
      <c r="K66" s="360">
        <f t="shared" si="6"/>
        <v>0.9310906549331347</v>
      </c>
      <c r="M66" s="420">
        <v>34.937618253781551</v>
      </c>
      <c r="N66" s="418">
        <f t="shared" si="3"/>
        <v>34.937618253781551</v>
      </c>
    </row>
    <row r="67" spans="2:14">
      <c r="B67" s="339">
        <f>PJM_01212000!A101</f>
        <v>38504</v>
      </c>
      <c r="C67" s="340">
        <f>VLOOKUP(B67,'Super Peak Curve'!$C$23:$AN$275,38)</f>
        <v>69.534333561473005</v>
      </c>
      <c r="E67" s="357">
        <f>VLOOKUP(B67,PJM_01212000!$J$7:$AF$230,23)</f>
        <v>2.25</v>
      </c>
      <c r="G67" s="359">
        <f t="shared" si="4"/>
        <v>0.140625</v>
      </c>
      <c r="H67" s="358"/>
      <c r="I67" s="359">
        <f t="shared" si="5"/>
        <v>2.9981350737507715E-2</v>
      </c>
      <c r="K67" s="360">
        <f t="shared" si="6"/>
        <v>2.0847332428053762</v>
      </c>
      <c r="M67" s="420">
        <v>69.534333561473005</v>
      </c>
      <c r="N67" s="418">
        <f t="shared" si="3"/>
        <v>69.534333561473005</v>
      </c>
    </row>
    <row r="68" spans="2:14">
      <c r="B68" s="339">
        <f>PJM_01212000!A102</f>
        <v>38534</v>
      </c>
      <c r="C68" s="340">
        <f>VLOOKUP(B68,'Super Peak Curve'!$C$23:$AN$275,38)</f>
        <v>125.66038956252852</v>
      </c>
      <c r="E68" s="357">
        <f>VLOOKUP(B68,PJM_01212000!$J$7:$AF$230,23)</f>
        <v>3</v>
      </c>
      <c r="G68" s="359">
        <f t="shared" si="4"/>
        <v>0.1875</v>
      </c>
      <c r="H68" s="358"/>
      <c r="I68" s="359">
        <f t="shared" si="5"/>
        <v>3.9975134316676958E-2</v>
      </c>
      <c r="K68" s="360">
        <f t="shared" si="6"/>
        <v>5.023290951048029</v>
      </c>
      <c r="M68" s="420">
        <v>125.66038956252852</v>
      </c>
      <c r="N68" s="418">
        <f t="shared" si="3"/>
        <v>125.66038956252852</v>
      </c>
    </row>
    <row r="69" spans="2:14">
      <c r="B69" s="339">
        <f>PJM_01212000!A103</f>
        <v>38565</v>
      </c>
      <c r="C69" s="340">
        <f>VLOOKUP(B69,'Super Peak Curve'!$C$23:$AN$275,38)</f>
        <v>101.50100524673013</v>
      </c>
      <c r="E69" s="357">
        <f>VLOOKUP(B69,PJM_01212000!$J$7:$AF$230,23)</f>
        <v>3</v>
      </c>
      <c r="G69" s="359">
        <f t="shared" si="4"/>
        <v>0.1875</v>
      </c>
      <c r="H69" s="358"/>
      <c r="I69" s="359">
        <f t="shared" si="5"/>
        <v>3.9975134316676958E-2</v>
      </c>
      <c r="K69" s="360">
        <f t="shared" si="6"/>
        <v>4.0575163180157698</v>
      </c>
      <c r="M69" s="420">
        <v>101.50100524673013</v>
      </c>
      <c r="N69" s="418">
        <f t="shared" ref="N69:N132" si="7">M69</f>
        <v>101.50100524673013</v>
      </c>
    </row>
    <row r="70" spans="2:14">
      <c r="B70" s="339">
        <f>PJM_01212000!A104</f>
        <v>38596</v>
      </c>
      <c r="C70" s="340">
        <f>VLOOKUP(B70,'Super Peak Curve'!$C$23:$AN$275,38)</f>
        <v>39.18584867603883</v>
      </c>
      <c r="E70" s="357">
        <f>VLOOKUP(B70,PJM_01212000!$J$7:$AF$230,23)</f>
        <v>1.75</v>
      </c>
      <c r="G70" s="359">
        <f t="shared" si="4"/>
        <v>0.109375</v>
      </c>
      <c r="H70" s="358"/>
      <c r="I70" s="359">
        <f t="shared" si="5"/>
        <v>2.3318828351394889E-2</v>
      </c>
      <c r="K70" s="360">
        <f t="shared" si="6"/>
        <v>0.91376807908028412</v>
      </c>
      <c r="M70" s="420">
        <v>39.18584867603883</v>
      </c>
      <c r="N70" s="418">
        <f t="shared" si="7"/>
        <v>39.18584867603883</v>
      </c>
    </row>
    <row r="71" spans="2:14">
      <c r="B71" s="339">
        <f>PJM_01212000!A105</f>
        <v>38626</v>
      </c>
      <c r="C71" s="340">
        <f>VLOOKUP(B71,'Super Peak Curve'!$C$23:$AN$275,38)</f>
        <v>32.393042323122025</v>
      </c>
      <c r="E71" s="357">
        <f>VLOOKUP(B71,PJM_01212000!$J$7:$AF$230,23)</f>
        <v>1.5</v>
      </c>
      <c r="G71" s="359">
        <f t="shared" si="4"/>
        <v>9.375E-2</v>
      </c>
      <c r="H71" s="358"/>
      <c r="I71" s="359">
        <f t="shared" si="5"/>
        <v>1.9987567158338479E-2</v>
      </c>
      <c r="K71" s="360">
        <f t="shared" si="6"/>
        <v>0.64745810889630218</v>
      </c>
      <c r="M71" s="420">
        <v>32.393042323122025</v>
      </c>
      <c r="N71" s="418">
        <f t="shared" si="7"/>
        <v>32.393042323122025</v>
      </c>
    </row>
    <row r="72" spans="2:14">
      <c r="B72" s="339">
        <f>PJM_01212000!A106</f>
        <v>38657</v>
      </c>
      <c r="C72" s="340">
        <f>VLOOKUP(B72,'Super Peak Curve'!$C$23:$AN$275,38)</f>
        <v>32.447003097267157</v>
      </c>
      <c r="E72" s="357">
        <f>VLOOKUP(B72,PJM_01212000!$J$7:$AF$230,23)</f>
        <v>1.5</v>
      </c>
      <c r="G72" s="359">
        <f t="shared" si="4"/>
        <v>9.375E-2</v>
      </c>
      <c r="H72" s="358"/>
      <c r="I72" s="359">
        <f t="shared" si="5"/>
        <v>1.9987567158338479E-2</v>
      </c>
      <c r="K72" s="360">
        <f t="shared" si="6"/>
        <v>0.64853665349344392</v>
      </c>
      <c r="M72" s="420">
        <v>32.447003097267157</v>
      </c>
      <c r="N72" s="418">
        <f t="shared" si="7"/>
        <v>32.447003097267157</v>
      </c>
    </row>
    <row r="73" spans="2:14">
      <c r="B73" s="339">
        <f>PJM_01212000!A107</f>
        <v>38687</v>
      </c>
      <c r="C73" s="340">
        <f>VLOOKUP(B73,'Super Peak Curve'!$C$23:$AN$275,38)</f>
        <v>34.972952358499754</v>
      </c>
      <c r="E73" s="357">
        <f>VLOOKUP(B73,PJM_01212000!$J$7:$AF$230,23)</f>
        <v>1.5</v>
      </c>
      <c r="G73" s="359">
        <f t="shared" si="4"/>
        <v>9.375E-2</v>
      </c>
      <c r="H73" s="358"/>
      <c r="I73" s="359">
        <f t="shared" si="5"/>
        <v>1.9987567158338479E-2</v>
      </c>
      <c r="K73" s="360">
        <f t="shared" si="6"/>
        <v>0.69902423399088598</v>
      </c>
      <c r="M73" s="420">
        <v>34.972952358499754</v>
      </c>
      <c r="N73" s="418">
        <f t="shared" si="7"/>
        <v>34.972952358499754</v>
      </c>
    </row>
    <row r="74" spans="2:14">
      <c r="B74" s="339">
        <f>PJM_01212000!A108</f>
        <v>38718</v>
      </c>
      <c r="C74" s="340">
        <f>VLOOKUP(B74,'Super Peak Curve'!$C$23:$AN$275,38)</f>
        <v>46.381684495502206</v>
      </c>
      <c r="E74" s="357">
        <f>VLOOKUP(B74,PJM_01212000!$J$7:$AF$230,23)</f>
        <v>1.875</v>
      </c>
      <c r="G74" s="359">
        <f t="shared" si="4"/>
        <v>0.1171875</v>
      </c>
      <c r="H74" s="358"/>
      <c r="I74" s="359">
        <f t="shared" si="5"/>
        <v>2.4984458947923095E-2</v>
      </c>
      <c r="K74" s="360">
        <f t="shared" si="6"/>
        <v>1.158821292213396</v>
      </c>
      <c r="M74" s="420">
        <v>46.381684495502206</v>
      </c>
      <c r="N74" s="418">
        <f t="shared" si="7"/>
        <v>46.381684495502206</v>
      </c>
    </row>
    <row r="75" spans="2:14">
      <c r="B75" s="339">
        <f>PJM_01212000!A109</f>
        <v>38749</v>
      </c>
      <c r="C75" s="340">
        <f>VLOOKUP(B75,'Super Peak Curve'!$C$23:$AN$275,38)</f>
        <v>46.381684495502206</v>
      </c>
      <c r="E75" s="357">
        <f>VLOOKUP(B75,PJM_01212000!$J$7:$AF$230,23)</f>
        <v>1.875</v>
      </c>
      <c r="G75" s="359">
        <f t="shared" si="4"/>
        <v>0.1171875</v>
      </c>
      <c r="H75" s="358"/>
      <c r="I75" s="359">
        <f t="shared" si="5"/>
        <v>2.4984458947923095E-2</v>
      </c>
      <c r="K75" s="360">
        <f t="shared" si="6"/>
        <v>1.158821292213396</v>
      </c>
      <c r="M75" s="420">
        <v>46.381684495502206</v>
      </c>
      <c r="N75" s="418">
        <f t="shared" si="7"/>
        <v>46.381684495502206</v>
      </c>
    </row>
    <row r="76" spans="2:14">
      <c r="B76" s="339">
        <f>PJM_01212000!A110</f>
        <v>38777</v>
      </c>
      <c r="C76" s="340">
        <f>VLOOKUP(B76,'Super Peak Curve'!$C$23:$AN$275,38)</f>
        <v>33.506999677906038</v>
      </c>
      <c r="E76" s="357">
        <f>VLOOKUP(B76,PJM_01212000!$J$7:$AF$230,23)</f>
        <v>1.1000000000000001</v>
      </c>
      <c r="G76" s="359">
        <f t="shared" si="4"/>
        <v>6.8750000000000006E-2</v>
      </c>
      <c r="H76" s="358"/>
      <c r="I76" s="359">
        <f t="shared" si="5"/>
        <v>1.4657549249448218E-2</v>
      </c>
      <c r="K76" s="360">
        <f t="shared" si="6"/>
        <v>0.49113049798015335</v>
      </c>
      <c r="M76" s="420">
        <v>33.506999677906038</v>
      </c>
      <c r="N76" s="418">
        <f t="shared" si="7"/>
        <v>33.506999677906038</v>
      </c>
    </row>
    <row r="77" spans="2:14">
      <c r="B77" s="339">
        <f>PJM_01212000!A111</f>
        <v>38808</v>
      </c>
      <c r="C77" s="340">
        <f>VLOOKUP(B77,'Super Peak Curve'!$C$23:$AN$275,38)</f>
        <v>30.996450450543918</v>
      </c>
      <c r="E77" s="357">
        <f>VLOOKUP(B77,PJM_01212000!$J$7:$AF$230,23)</f>
        <v>1.2</v>
      </c>
      <c r="G77" s="359">
        <f t="shared" si="4"/>
        <v>7.4999999999999997E-2</v>
      </c>
      <c r="H77" s="358"/>
      <c r="I77" s="359">
        <f t="shared" si="5"/>
        <v>1.599005372667078E-2</v>
      </c>
      <c r="K77" s="360">
        <f t="shared" si="6"/>
        <v>0.49563490804028593</v>
      </c>
      <c r="M77" s="420">
        <v>30.996450450543918</v>
      </c>
      <c r="N77" s="418">
        <f t="shared" si="7"/>
        <v>30.996450450543918</v>
      </c>
    </row>
    <row r="78" spans="2:14">
      <c r="B78" s="339">
        <f>PJM_01212000!A112</f>
        <v>38838</v>
      </c>
      <c r="C78" s="340">
        <f>VLOOKUP(B78,'Super Peak Curve'!$C$23:$AN$275,38)</f>
        <v>35.760971394090625</v>
      </c>
      <c r="E78" s="357">
        <f>VLOOKUP(B78,PJM_01212000!$J$7:$AF$230,23)</f>
        <v>2</v>
      </c>
      <c r="G78" s="359">
        <f t="shared" si="4"/>
        <v>0.125</v>
      </c>
      <c r="H78" s="358"/>
      <c r="I78" s="359">
        <f t="shared" si="5"/>
        <v>2.6650089544451302E-2</v>
      </c>
      <c r="K78" s="360">
        <f t="shared" si="6"/>
        <v>0.95303308984907664</v>
      </c>
      <c r="M78" s="420">
        <v>35.760971394090625</v>
      </c>
      <c r="N78" s="418">
        <f t="shared" si="7"/>
        <v>35.760971394090625</v>
      </c>
    </row>
    <row r="79" spans="2:14">
      <c r="B79" s="339">
        <f>PJM_01212000!A113</f>
        <v>38869</v>
      </c>
      <c r="C79" s="340">
        <f>VLOOKUP(B79,'Super Peak Curve'!$C$23:$AN$275,38)</f>
        <v>70.76830579651056</v>
      </c>
      <c r="E79" s="357">
        <f>VLOOKUP(B79,PJM_01212000!$J$7:$AF$230,23)</f>
        <v>2.25</v>
      </c>
      <c r="G79" s="359">
        <f t="shared" si="4"/>
        <v>0.140625</v>
      </c>
      <c r="H79" s="358"/>
      <c r="I79" s="359">
        <f t="shared" si="5"/>
        <v>2.9981350737507715E-2</v>
      </c>
      <c r="K79" s="360">
        <f t="shared" si="6"/>
        <v>2.1217293971843834</v>
      </c>
      <c r="M79" s="420">
        <v>70.76830579651056</v>
      </c>
      <c r="N79" s="418">
        <f t="shared" si="7"/>
        <v>70.76830579651056</v>
      </c>
    </row>
    <row r="80" spans="2:14">
      <c r="B80" s="339">
        <f>PJM_01212000!A114</f>
        <v>38899</v>
      </c>
      <c r="C80" s="340">
        <f>VLOOKUP(B80,'Super Peak Curve'!$C$23:$AN$275,38)</f>
        <v>128.61478753046788</v>
      </c>
      <c r="E80" s="357">
        <f>VLOOKUP(B80,PJM_01212000!$J$7:$AF$230,23)</f>
        <v>3</v>
      </c>
      <c r="G80" s="359">
        <f t="shared" si="4"/>
        <v>0.1875</v>
      </c>
      <c r="H80" s="358"/>
      <c r="I80" s="359">
        <f t="shared" si="5"/>
        <v>3.9975134316676958E-2</v>
      </c>
      <c r="K80" s="360">
        <f t="shared" si="6"/>
        <v>5.1413934066413223</v>
      </c>
      <c r="M80" s="420">
        <v>128.61478753046788</v>
      </c>
      <c r="N80" s="418">
        <f t="shared" si="7"/>
        <v>128.61478753046788</v>
      </c>
    </row>
    <row r="81" spans="2:14">
      <c r="B81" s="339">
        <f>PJM_01212000!A115</f>
        <v>38930</v>
      </c>
      <c r="C81" s="340">
        <f>VLOOKUP(B81,'Super Peak Curve'!$C$23:$AN$275,38)</f>
        <v>104.262520001659</v>
      </c>
      <c r="E81" s="357">
        <f>VLOOKUP(B81,PJM_01212000!$J$7:$AF$230,23)</f>
        <v>3</v>
      </c>
      <c r="G81" s="359">
        <f t="shared" si="4"/>
        <v>0.1875</v>
      </c>
      <c r="H81" s="358"/>
      <c r="I81" s="359">
        <f t="shared" si="5"/>
        <v>3.9975134316676958E-2</v>
      </c>
      <c r="K81" s="360">
        <f t="shared" si="6"/>
        <v>4.1679082412615367</v>
      </c>
      <c r="M81" s="420">
        <v>104.262520001659</v>
      </c>
      <c r="N81" s="418">
        <f t="shared" si="7"/>
        <v>104.262520001659</v>
      </c>
    </row>
    <row r="82" spans="2:14">
      <c r="B82" s="339">
        <f>PJM_01212000!A116</f>
        <v>38961</v>
      </c>
      <c r="C82" s="340">
        <f>VLOOKUP(B82,'Super Peak Curve'!$C$23:$AN$275,38)</f>
        <v>39.763385160026154</v>
      </c>
      <c r="E82" s="357">
        <f>VLOOKUP(B82,PJM_01212000!$J$7:$AF$230,23)</f>
        <v>1.75</v>
      </c>
      <c r="G82" s="359">
        <f t="shared" si="4"/>
        <v>0.109375</v>
      </c>
      <c r="H82" s="358"/>
      <c r="I82" s="359">
        <f t="shared" si="5"/>
        <v>2.3318828351394889E-2</v>
      </c>
      <c r="K82" s="360">
        <f t="shared" si="6"/>
        <v>0.92723555321705264</v>
      </c>
      <c r="M82" s="420">
        <v>39.763385160026154</v>
      </c>
      <c r="N82" s="418">
        <f t="shared" si="7"/>
        <v>39.763385160026154</v>
      </c>
    </row>
    <row r="83" spans="2:14">
      <c r="B83" s="339">
        <f>PJM_01212000!A117</f>
        <v>38991</v>
      </c>
      <c r="C83" s="340">
        <f>VLOOKUP(B83,'Super Peak Curve'!$C$23:$AN$275,38)</f>
        <v>32.980404823122029</v>
      </c>
      <c r="E83" s="357">
        <f>VLOOKUP(B83,PJM_01212000!$J$7:$AF$230,23)</f>
        <v>1.5</v>
      </c>
      <c r="G83" s="359">
        <f t="shared" si="4"/>
        <v>9.375E-2</v>
      </c>
      <c r="H83" s="358"/>
      <c r="I83" s="359">
        <f t="shared" si="5"/>
        <v>1.9987567158338479E-2</v>
      </c>
      <c r="K83" s="360">
        <f t="shared" si="6"/>
        <v>0.65919805631134187</v>
      </c>
      <c r="M83" s="420">
        <v>32.980404823122029</v>
      </c>
      <c r="N83" s="418">
        <f t="shared" si="7"/>
        <v>32.980404823122029</v>
      </c>
    </row>
    <row r="84" spans="2:14">
      <c r="B84" s="339">
        <f>PJM_01212000!A118</f>
        <v>39022</v>
      </c>
      <c r="C84" s="340">
        <f>VLOOKUP(B84,'Super Peak Curve'!$C$23:$AN$275,38)</f>
        <v>33.042415597267158</v>
      </c>
      <c r="E84" s="357">
        <f>VLOOKUP(B84,PJM_01212000!$J$7:$AF$230,23)</f>
        <v>1.5</v>
      </c>
      <c r="G84" s="359">
        <f t="shared" si="4"/>
        <v>9.375E-2</v>
      </c>
      <c r="H84" s="358"/>
      <c r="I84" s="359">
        <f t="shared" si="5"/>
        <v>1.9987567158338479E-2</v>
      </c>
      <c r="K84" s="360">
        <f t="shared" si="6"/>
        <v>0.66043750082410813</v>
      </c>
      <c r="M84" s="420">
        <v>33.042415597267158</v>
      </c>
      <c r="N84" s="418">
        <f t="shared" si="7"/>
        <v>33.042415597267158</v>
      </c>
    </row>
    <row r="85" spans="2:14">
      <c r="B85" s="339">
        <f>PJM_01212000!A119</f>
        <v>39052</v>
      </c>
      <c r="C85" s="340">
        <f>VLOOKUP(B85,'Super Peak Curve'!$C$23:$AN$275,38)</f>
        <v>35.575934303646967</v>
      </c>
      <c r="E85" s="357">
        <f>VLOOKUP(B85,PJM_01212000!$J$7:$AF$230,23)</f>
        <v>1.5</v>
      </c>
      <c r="G85" s="359">
        <f t="shared" si="4"/>
        <v>9.375E-2</v>
      </c>
      <c r="H85" s="358"/>
      <c r="I85" s="359">
        <f t="shared" si="5"/>
        <v>1.9987567158338479E-2</v>
      </c>
      <c r="K85" s="360">
        <f t="shared" si="6"/>
        <v>0.71107637611478147</v>
      </c>
      <c r="M85" s="420">
        <v>35.575934303646967</v>
      </c>
      <c r="N85" s="418">
        <f t="shared" si="7"/>
        <v>35.575934303646967</v>
      </c>
    </row>
    <row r="86" spans="2:14">
      <c r="B86" s="339">
        <f>PJM_01212000!A120</f>
        <v>39083</v>
      </c>
      <c r="C86" s="340">
        <f>VLOOKUP(B86,'Super Peak Curve'!$C$23:$AN$275,38)</f>
        <v>46.994793370142816</v>
      </c>
      <c r="E86" s="357">
        <f>VLOOKUP(B86,PJM_01212000!$J$7:$AF$230,23)</f>
        <v>1.75</v>
      </c>
      <c r="G86" s="359">
        <f t="shared" si="4"/>
        <v>0.109375</v>
      </c>
      <c r="H86" s="358"/>
      <c r="I86" s="359">
        <f t="shared" si="5"/>
        <v>2.3318828351394889E-2</v>
      </c>
      <c r="K86" s="360">
        <f t="shared" si="6"/>
        <v>1.0958635200076308</v>
      </c>
      <c r="M86" s="420">
        <v>46.994793370142816</v>
      </c>
      <c r="N86" s="418">
        <f t="shared" si="7"/>
        <v>46.994793370142816</v>
      </c>
    </row>
    <row r="87" spans="2:14">
      <c r="B87" s="339">
        <f>PJM_01212000!A121</f>
        <v>39114</v>
      </c>
      <c r="C87" s="340">
        <f>VLOOKUP(B87,'Super Peak Curve'!$C$23:$AN$275,38)</f>
        <v>46.994793370142816</v>
      </c>
      <c r="E87" s="357">
        <f>VLOOKUP(B87,PJM_01212000!$J$7:$AF$230,23)</f>
        <v>1.75</v>
      </c>
      <c r="G87" s="359">
        <f t="shared" si="4"/>
        <v>0.109375</v>
      </c>
      <c r="H87" s="358"/>
      <c r="I87" s="359">
        <f t="shared" si="5"/>
        <v>2.3318828351394889E-2</v>
      </c>
      <c r="K87" s="360">
        <f t="shared" si="6"/>
        <v>1.0958635200076308</v>
      </c>
      <c r="M87" s="420">
        <v>46.994793370142816</v>
      </c>
      <c r="N87" s="418">
        <f t="shared" si="7"/>
        <v>46.994793370142816</v>
      </c>
    </row>
    <row r="88" spans="2:14">
      <c r="B88" s="339">
        <f>PJM_01212000!A122</f>
        <v>39142</v>
      </c>
      <c r="C88" s="340">
        <f>VLOOKUP(B88,'Super Peak Curve'!$C$23:$AN$275,38)</f>
        <v>34.115112177906042</v>
      </c>
      <c r="E88" s="357">
        <f>VLOOKUP(B88,PJM_01212000!$J$7:$AF$230,23)</f>
        <v>1.1000000000000001</v>
      </c>
      <c r="G88" s="359">
        <f t="shared" si="4"/>
        <v>6.8750000000000006E-2</v>
      </c>
      <c r="H88" s="358"/>
      <c r="I88" s="359">
        <f t="shared" si="5"/>
        <v>1.4657549249448218E-2</v>
      </c>
      <c r="K88" s="360">
        <f t="shared" si="6"/>
        <v>0.50004393689810844</v>
      </c>
      <c r="M88" s="420">
        <v>34.115112177906042</v>
      </c>
      <c r="N88" s="418">
        <f t="shared" si="7"/>
        <v>34.115112177906042</v>
      </c>
    </row>
    <row r="89" spans="2:14">
      <c r="B89" s="339">
        <f>PJM_01212000!A123</f>
        <v>39173</v>
      </c>
      <c r="C89" s="340">
        <f>VLOOKUP(B89,'Super Peak Curve'!$C$23:$AN$275,38)</f>
        <v>31.563631595742347</v>
      </c>
      <c r="E89" s="357">
        <f>VLOOKUP(B89,PJM_01212000!$J$7:$AF$230,23)</f>
        <v>1.2</v>
      </c>
      <c r="G89" s="359">
        <f t="shared" si="4"/>
        <v>7.4999999999999997E-2</v>
      </c>
      <c r="H89" s="358"/>
      <c r="I89" s="359">
        <f t="shared" si="5"/>
        <v>1.599005372667078E-2</v>
      </c>
      <c r="K89" s="360">
        <f t="shared" si="6"/>
        <v>0.50470416502476345</v>
      </c>
      <c r="M89" s="420">
        <v>31.563631595742347</v>
      </c>
      <c r="N89" s="418">
        <f t="shared" si="7"/>
        <v>31.563631595742347</v>
      </c>
    </row>
    <row r="90" spans="2:14">
      <c r="B90" s="339">
        <f>PJM_01212000!A124</f>
        <v>39203</v>
      </c>
      <c r="C90" s="340">
        <f>VLOOKUP(B90,'Super Peak Curve'!$C$23:$AN$275,38)</f>
        <v>36.85877558116939</v>
      </c>
      <c r="E90" s="357">
        <f>VLOOKUP(B90,PJM_01212000!$J$7:$AF$230,23)</f>
        <v>2</v>
      </c>
      <c r="G90" s="359">
        <f t="shared" si="4"/>
        <v>0.125</v>
      </c>
      <c r="H90" s="358"/>
      <c r="I90" s="359">
        <f t="shared" si="5"/>
        <v>2.6650089544451302E-2</v>
      </c>
      <c r="K90" s="360">
        <f t="shared" si="6"/>
        <v>0.98228966973699927</v>
      </c>
      <c r="M90" s="420">
        <v>36.85877558116939</v>
      </c>
      <c r="N90" s="418">
        <f t="shared" si="7"/>
        <v>36.85877558116939</v>
      </c>
    </row>
    <row r="91" spans="2:14">
      <c r="B91" s="339">
        <f>PJM_01212000!A125</f>
        <v>39234</v>
      </c>
      <c r="C91" s="340">
        <f>VLOOKUP(B91,'Super Peak Curve'!$C$23:$AN$275,38)</f>
        <v>72.310771090307469</v>
      </c>
      <c r="E91" s="357">
        <f>VLOOKUP(B91,PJM_01212000!$J$7:$AF$230,23)</f>
        <v>2.25</v>
      </c>
      <c r="G91" s="359">
        <f t="shared" si="4"/>
        <v>0.140625</v>
      </c>
      <c r="H91" s="358"/>
      <c r="I91" s="359">
        <f t="shared" si="5"/>
        <v>2.9981350737507715E-2</v>
      </c>
      <c r="K91" s="360">
        <f t="shared" si="6"/>
        <v>2.1679745901581415</v>
      </c>
      <c r="M91" s="420">
        <v>72.310771090307469</v>
      </c>
      <c r="N91" s="418">
        <f t="shared" si="7"/>
        <v>72.310771090307469</v>
      </c>
    </row>
    <row r="92" spans="2:14">
      <c r="B92" s="339">
        <f>PJM_01212000!A126</f>
        <v>39264</v>
      </c>
      <c r="C92" s="340">
        <f>VLOOKUP(B92,'Super Peak Curve'!$C$23:$AN$275,38)</f>
        <v>131.56918549840722</v>
      </c>
      <c r="E92" s="357">
        <f>VLOOKUP(B92,PJM_01212000!$J$7:$AF$230,23)</f>
        <v>3</v>
      </c>
      <c r="G92" s="359">
        <f t="shared" si="4"/>
        <v>0.1875</v>
      </c>
      <c r="H92" s="358"/>
      <c r="I92" s="359">
        <f t="shared" si="5"/>
        <v>3.9975134316676958E-2</v>
      </c>
      <c r="K92" s="360">
        <f t="shared" si="6"/>
        <v>5.2594958622346146</v>
      </c>
      <c r="M92" s="420">
        <v>131.56918549840722</v>
      </c>
      <c r="N92" s="418">
        <f t="shared" si="7"/>
        <v>131.56918549840722</v>
      </c>
    </row>
    <row r="93" spans="2:14">
      <c r="B93" s="339">
        <f>PJM_01212000!A127</f>
        <v>39295</v>
      </c>
      <c r="C93" s="340">
        <f>VLOOKUP(B93,'Super Peak Curve'!$C$23:$AN$275,38)</f>
        <v>107.02403475658787</v>
      </c>
      <c r="E93" s="357">
        <f>VLOOKUP(B93,PJM_01212000!$J$7:$AF$230,23)</f>
        <v>3</v>
      </c>
      <c r="G93" s="359">
        <f t="shared" si="4"/>
        <v>0.1875</v>
      </c>
      <c r="H93" s="358"/>
      <c r="I93" s="359">
        <f t="shared" si="5"/>
        <v>3.9975134316676958E-2</v>
      </c>
      <c r="K93" s="360">
        <f t="shared" si="6"/>
        <v>4.2783001645073027</v>
      </c>
      <c r="M93" s="420">
        <v>107.02403475658787</v>
      </c>
      <c r="N93" s="418">
        <f t="shared" si="7"/>
        <v>107.02403475658787</v>
      </c>
    </row>
    <row r="94" spans="2:14">
      <c r="B94" s="339">
        <f>PJM_01212000!A128</f>
        <v>39326</v>
      </c>
      <c r="C94" s="340">
        <f>VLOOKUP(B94,'Super Peak Curve'!$C$23:$AN$275,38)</f>
        <v>40.340921644013484</v>
      </c>
      <c r="E94" s="357">
        <f>VLOOKUP(B94,PJM_01212000!$J$7:$AF$230,23)</f>
        <v>1.75</v>
      </c>
      <c r="G94" s="359">
        <f t="shared" si="4"/>
        <v>0.109375</v>
      </c>
      <c r="H94" s="358"/>
      <c r="I94" s="359">
        <f t="shared" si="5"/>
        <v>2.3318828351394889E-2</v>
      </c>
      <c r="K94" s="360">
        <f t="shared" si="6"/>
        <v>0.94070302735382139</v>
      </c>
      <c r="M94" s="420">
        <v>40.340921644013484</v>
      </c>
      <c r="N94" s="418">
        <f t="shared" si="7"/>
        <v>40.340921644013484</v>
      </c>
    </row>
    <row r="95" spans="2:14">
      <c r="B95" s="339">
        <f>PJM_01212000!A129</f>
        <v>39356</v>
      </c>
      <c r="C95" s="340">
        <f>VLOOKUP(B95,'Super Peak Curve'!$C$23:$AN$275,38)</f>
        <v>33.567767323122027</v>
      </c>
      <c r="E95" s="357">
        <f>VLOOKUP(B95,PJM_01212000!$J$7:$AF$230,23)</f>
        <v>1.5</v>
      </c>
      <c r="G95" s="359">
        <f t="shared" si="4"/>
        <v>9.375E-2</v>
      </c>
      <c r="H95" s="358"/>
      <c r="I95" s="359">
        <f t="shared" si="5"/>
        <v>1.9987567158338479E-2</v>
      </c>
      <c r="K95" s="360">
        <f t="shared" si="6"/>
        <v>0.67093800372638135</v>
      </c>
      <c r="M95" s="420">
        <v>33.567767323122027</v>
      </c>
      <c r="N95" s="418">
        <f t="shared" si="7"/>
        <v>33.567767323122027</v>
      </c>
    </row>
    <row r="96" spans="2:14">
      <c r="B96" s="339">
        <f>PJM_01212000!A130</f>
        <v>39387</v>
      </c>
      <c r="C96" s="340">
        <f>VLOOKUP(B96,'Super Peak Curve'!$C$23:$AN$275,38)</f>
        <v>33.637828097267153</v>
      </c>
      <c r="E96" s="357">
        <f>VLOOKUP(B96,PJM_01212000!$J$7:$AF$230,23)</f>
        <v>1.5</v>
      </c>
      <c r="G96" s="359">
        <f t="shared" si="4"/>
        <v>9.375E-2</v>
      </c>
      <c r="H96" s="358"/>
      <c r="I96" s="359">
        <f t="shared" si="5"/>
        <v>1.9987567158338479E-2</v>
      </c>
      <c r="K96" s="360">
        <f t="shared" si="6"/>
        <v>0.67233834815477223</v>
      </c>
      <c r="M96" s="420">
        <v>33.637828097267153</v>
      </c>
      <c r="N96" s="418">
        <f t="shared" si="7"/>
        <v>33.637828097267153</v>
      </c>
    </row>
    <row r="97" spans="2:14">
      <c r="B97" s="339">
        <f>PJM_01212000!A131</f>
        <v>39417</v>
      </c>
      <c r="C97" s="340">
        <f>VLOOKUP(B97,'Super Peak Curve'!$C$23:$AN$275,38)</f>
        <v>36.178916248794181</v>
      </c>
      <c r="E97" s="357">
        <f>VLOOKUP(B97,PJM_01212000!$J$7:$AF$230,23)</f>
        <v>1.5</v>
      </c>
      <c r="G97" s="359">
        <f t="shared" si="4"/>
        <v>9.375E-2</v>
      </c>
      <c r="H97" s="358"/>
      <c r="I97" s="359">
        <f t="shared" si="5"/>
        <v>1.9987567158338479E-2</v>
      </c>
      <c r="K97" s="360">
        <f t="shared" si="6"/>
        <v>0.72312851823867696</v>
      </c>
      <c r="M97" s="420">
        <v>36.178916248794181</v>
      </c>
      <c r="N97" s="418">
        <f t="shared" si="7"/>
        <v>36.178916248794181</v>
      </c>
    </row>
    <row r="98" spans="2:14">
      <c r="B98" s="339">
        <f>PJM_01212000!A132</f>
        <v>39448</v>
      </c>
      <c r="C98" s="340">
        <f>VLOOKUP(B98,'Super Peak Curve'!$C$23:$AN$275,38)</f>
        <v>47.607902244783425</v>
      </c>
      <c r="E98" s="357">
        <f>VLOOKUP(B98,PJM_01212000!$J$7:$AF$230,23)</f>
        <v>1.75</v>
      </c>
      <c r="G98" s="359">
        <f t="shared" si="4"/>
        <v>0.109375</v>
      </c>
      <c r="H98" s="358"/>
      <c r="I98" s="359">
        <f t="shared" si="5"/>
        <v>2.3318828351394889E-2</v>
      </c>
      <c r="K98" s="360">
        <f t="shared" si="6"/>
        <v>1.1101605006160922</v>
      </c>
      <c r="M98" s="420">
        <v>47.607902244783425</v>
      </c>
      <c r="N98" s="418">
        <f t="shared" si="7"/>
        <v>47.607902244783425</v>
      </c>
    </row>
    <row r="99" spans="2:14">
      <c r="B99" s="339">
        <f>PJM_01212000!A133</f>
        <v>39479</v>
      </c>
      <c r="C99" s="340">
        <f>VLOOKUP(B99,'Super Peak Curve'!$C$23:$AN$275,38)</f>
        <v>47.607902244783425</v>
      </c>
      <c r="E99" s="357">
        <f>VLOOKUP(B99,PJM_01212000!$J$7:$AF$230,23)</f>
        <v>1.75</v>
      </c>
      <c r="G99" s="359">
        <f t="shared" si="4"/>
        <v>0.109375</v>
      </c>
      <c r="H99" s="358"/>
      <c r="I99" s="359">
        <f t="shared" si="5"/>
        <v>2.3318828351394889E-2</v>
      </c>
      <c r="K99" s="360">
        <f t="shared" si="6"/>
        <v>1.1101605006160922</v>
      </c>
      <c r="M99" s="420">
        <v>47.607902244783425</v>
      </c>
      <c r="N99" s="418">
        <f t="shared" si="7"/>
        <v>47.607902244783425</v>
      </c>
    </row>
    <row r="100" spans="2:14">
      <c r="B100" s="339">
        <f>PJM_01212000!A134</f>
        <v>39508</v>
      </c>
      <c r="C100" s="340">
        <f>VLOOKUP(B100,'Super Peak Curve'!$C$23:$AN$275,38)</f>
        <v>34.723224677906039</v>
      </c>
      <c r="E100" s="357">
        <f>VLOOKUP(B100,PJM_01212000!$J$7:$AF$230,23)</f>
        <v>1.1000000000000001</v>
      </c>
      <c r="G100" s="359">
        <f t="shared" si="4"/>
        <v>6.8750000000000006E-2</v>
      </c>
      <c r="H100" s="358"/>
      <c r="I100" s="359">
        <f t="shared" si="5"/>
        <v>1.4657549249448218E-2</v>
      </c>
      <c r="K100" s="360">
        <f t="shared" si="6"/>
        <v>0.50895737581606348</v>
      </c>
      <c r="M100" s="420">
        <v>34.723224677906039</v>
      </c>
      <c r="N100" s="418">
        <f t="shared" si="7"/>
        <v>34.723224677906039</v>
      </c>
    </row>
    <row r="101" spans="2:14">
      <c r="B101" s="339">
        <f>PJM_01212000!A135</f>
        <v>39539</v>
      </c>
      <c r="C101" s="340">
        <f>VLOOKUP(B101,'Super Peak Curve'!$C$23:$AN$275,38)</f>
        <v>32.130812740940776</v>
      </c>
      <c r="E101" s="357">
        <f>VLOOKUP(B101,PJM_01212000!$J$7:$AF$230,23)</f>
        <v>1.2</v>
      </c>
      <c r="G101" s="359">
        <f t="shared" si="4"/>
        <v>7.4999999999999997E-2</v>
      </c>
      <c r="H101" s="358"/>
      <c r="I101" s="359">
        <f t="shared" si="5"/>
        <v>1.599005372667078E-2</v>
      </c>
      <c r="K101" s="360">
        <f t="shared" si="6"/>
        <v>0.51377342200924103</v>
      </c>
      <c r="M101" s="420">
        <v>32.130812740940776</v>
      </c>
      <c r="N101" s="418">
        <f t="shared" si="7"/>
        <v>32.130812740940776</v>
      </c>
    </row>
    <row r="102" spans="2:14">
      <c r="B102" s="339">
        <f>PJM_01212000!A136</f>
        <v>39569</v>
      </c>
      <c r="C102" s="340">
        <f>VLOOKUP(B102,'Super Peak Curve'!$C$23:$AN$275,38)</f>
        <v>38.231030815017846</v>
      </c>
      <c r="E102" s="357">
        <f>VLOOKUP(B102,PJM_01212000!$J$7:$AF$230,23)</f>
        <v>2</v>
      </c>
      <c r="G102" s="359">
        <f t="shared" si="4"/>
        <v>0.125</v>
      </c>
      <c r="H102" s="358"/>
      <c r="I102" s="359">
        <f t="shared" si="5"/>
        <v>2.6650089544451302E-2</v>
      </c>
      <c r="K102" s="360">
        <f t="shared" si="6"/>
        <v>1.0188603945969026</v>
      </c>
      <c r="M102" s="420">
        <v>38.231030815017846</v>
      </c>
      <c r="N102" s="418">
        <f t="shared" si="7"/>
        <v>38.231030815017846</v>
      </c>
    </row>
    <row r="103" spans="2:14">
      <c r="B103" s="339">
        <f>PJM_01212000!A137</f>
        <v>39600</v>
      </c>
      <c r="C103" s="340">
        <f>VLOOKUP(B103,'Super Peak Curve'!$C$23:$AN$275,38)</f>
        <v>73.853236384104392</v>
      </c>
      <c r="E103" s="357">
        <f>VLOOKUP(B103,PJM_01212000!$J$7:$AF$230,23)</f>
        <v>2.25</v>
      </c>
      <c r="G103" s="359">
        <f t="shared" si="4"/>
        <v>0.140625</v>
      </c>
      <c r="H103" s="358"/>
      <c r="I103" s="359">
        <f t="shared" si="5"/>
        <v>2.9981350737507715E-2</v>
      </c>
      <c r="K103" s="360">
        <f t="shared" si="6"/>
        <v>2.2142197831318997</v>
      </c>
      <c r="M103" s="420">
        <v>73.853236384104392</v>
      </c>
      <c r="N103" s="418">
        <f t="shared" si="7"/>
        <v>73.853236384104392</v>
      </c>
    </row>
    <row r="104" spans="2:14">
      <c r="B104" s="339">
        <f>PJM_01212000!A138</f>
        <v>39630</v>
      </c>
      <c r="C104" s="340">
        <f>VLOOKUP(B104,'Super Peak Curve'!$C$23:$AN$275,38)</f>
        <v>134.52358346634657</v>
      </c>
      <c r="E104" s="357">
        <f>VLOOKUP(B104,PJM_01212000!$J$7:$AF$230,23)</f>
        <v>3</v>
      </c>
      <c r="G104" s="359">
        <f t="shared" si="4"/>
        <v>0.1875</v>
      </c>
      <c r="H104" s="358"/>
      <c r="I104" s="359">
        <f t="shared" si="5"/>
        <v>3.9975134316676958E-2</v>
      </c>
      <c r="K104" s="360">
        <f t="shared" si="6"/>
        <v>5.3775983178279079</v>
      </c>
      <c r="M104" s="420">
        <v>134.52358346634657</v>
      </c>
      <c r="N104" s="418">
        <f t="shared" si="7"/>
        <v>134.52358346634657</v>
      </c>
    </row>
    <row r="105" spans="2:14">
      <c r="B105" s="339">
        <f>PJM_01212000!A139</f>
        <v>39661</v>
      </c>
      <c r="C105" s="340">
        <f>VLOOKUP(B105,'Super Peak Curve'!$C$23:$AN$275,38)</f>
        <v>109.78554951151672</v>
      </c>
      <c r="E105" s="357">
        <f>VLOOKUP(B105,PJM_01212000!$J$7:$AF$230,23)</f>
        <v>3</v>
      </c>
      <c r="G105" s="359">
        <f t="shared" si="4"/>
        <v>0.1875</v>
      </c>
      <c r="H105" s="358"/>
      <c r="I105" s="359">
        <f t="shared" si="5"/>
        <v>3.9975134316676958E-2</v>
      </c>
      <c r="K105" s="360">
        <f t="shared" si="6"/>
        <v>4.3886920877530695</v>
      </c>
      <c r="M105" s="420">
        <v>109.78554951151672</v>
      </c>
      <c r="N105" s="418">
        <f t="shared" si="7"/>
        <v>109.78554951151672</v>
      </c>
    </row>
    <row r="106" spans="2:14">
      <c r="B106" s="339">
        <f>PJM_01212000!A140</f>
        <v>39692</v>
      </c>
      <c r="C106" s="340">
        <f>VLOOKUP(B106,'Super Peak Curve'!$C$23:$AN$275,38)</f>
        <v>40.918458128000815</v>
      </c>
      <c r="E106" s="357">
        <f>VLOOKUP(B106,PJM_01212000!$J$7:$AF$230,23)</f>
        <v>1.75</v>
      </c>
      <c r="G106" s="359">
        <f t="shared" si="4"/>
        <v>0.109375</v>
      </c>
      <c r="H106" s="358"/>
      <c r="I106" s="359">
        <f t="shared" si="5"/>
        <v>2.3318828351394889E-2</v>
      </c>
      <c r="K106" s="360">
        <f t="shared" si="6"/>
        <v>0.95417050149059002</v>
      </c>
      <c r="M106" s="420">
        <v>40.918458128000815</v>
      </c>
      <c r="N106" s="418">
        <f t="shared" si="7"/>
        <v>40.918458128000815</v>
      </c>
    </row>
    <row r="107" spans="2:14">
      <c r="B107" s="339">
        <f>PJM_01212000!A141</f>
        <v>39722</v>
      </c>
      <c r="C107" s="340">
        <f>VLOOKUP(B107,'Super Peak Curve'!$C$23:$AN$275,38)</f>
        <v>34.155129823122024</v>
      </c>
      <c r="E107" s="357">
        <f>VLOOKUP(B107,PJM_01212000!$J$7:$AF$230,23)</f>
        <v>1.5</v>
      </c>
      <c r="G107" s="359">
        <f t="shared" si="4"/>
        <v>9.375E-2</v>
      </c>
      <c r="H107" s="358"/>
      <c r="I107" s="359">
        <f t="shared" si="5"/>
        <v>1.9987567158338479E-2</v>
      </c>
      <c r="K107" s="360">
        <f t="shared" si="6"/>
        <v>0.68267795114142094</v>
      </c>
      <c r="M107" s="420">
        <v>34.155129823122024</v>
      </c>
      <c r="N107" s="418">
        <f t="shared" si="7"/>
        <v>34.155129823122024</v>
      </c>
    </row>
    <row r="108" spans="2:14">
      <c r="B108" s="339">
        <f>PJM_01212000!A142</f>
        <v>39753</v>
      </c>
      <c r="C108" s="340">
        <f>VLOOKUP(B108,'Super Peak Curve'!$C$23:$AN$275,38)</f>
        <v>34.233240597267155</v>
      </c>
      <c r="E108" s="357">
        <f>VLOOKUP(B108,PJM_01212000!$J$7:$AF$230,23)</f>
        <v>1.5</v>
      </c>
      <c r="G108" s="359">
        <f t="shared" si="4"/>
        <v>9.375E-2</v>
      </c>
      <c r="H108" s="358"/>
      <c r="I108" s="359">
        <f t="shared" si="5"/>
        <v>1.9987567158338479E-2</v>
      </c>
      <c r="K108" s="360">
        <f t="shared" si="6"/>
        <v>0.68423919548543655</v>
      </c>
      <c r="M108" s="420">
        <v>34.233240597267155</v>
      </c>
      <c r="N108" s="418">
        <f t="shared" si="7"/>
        <v>34.233240597267155</v>
      </c>
    </row>
    <row r="109" spans="2:14">
      <c r="B109" s="339">
        <f>PJM_01212000!A143</f>
        <v>39783</v>
      </c>
      <c r="C109" s="340">
        <f>VLOOKUP(B109,'Super Peak Curve'!$C$23:$AN$275,38)</f>
        <v>36.781898193941402</v>
      </c>
      <c r="E109" s="357">
        <f>VLOOKUP(B109,PJM_01212000!$J$7:$AF$230,23)</f>
        <v>1.5</v>
      </c>
      <c r="G109" s="359">
        <f t="shared" si="4"/>
        <v>9.375E-2</v>
      </c>
      <c r="H109" s="358"/>
      <c r="I109" s="359">
        <f t="shared" si="5"/>
        <v>1.9987567158338479E-2</v>
      </c>
      <c r="K109" s="360">
        <f t="shared" si="6"/>
        <v>0.73518066036257257</v>
      </c>
      <c r="M109" s="420">
        <v>36.781898193941402</v>
      </c>
      <c r="N109" s="418">
        <f t="shared" si="7"/>
        <v>36.781898193941402</v>
      </c>
    </row>
    <row r="110" spans="2:14">
      <c r="B110" s="339">
        <f>PJM_01212000!A144</f>
        <v>39814</v>
      </c>
      <c r="C110" s="340">
        <f>VLOOKUP(B110,'Super Peak Curve'!$C$23:$AN$275,38)</f>
        <v>48.221011119424034</v>
      </c>
      <c r="E110" s="357">
        <f>VLOOKUP(B110,PJM_01212000!$J$7:$AF$230,23)</f>
        <v>1.75</v>
      </c>
      <c r="G110" s="359">
        <f t="shared" si="4"/>
        <v>0.109375</v>
      </c>
      <c r="H110" s="358"/>
      <c r="I110" s="359">
        <f t="shared" si="5"/>
        <v>2.3318828351394889E-2</v>
      </c>
      <c r="K110" s="360">
        <f t="shared" si="6"/>
        <v>1.1244574812245534</v>
      </c>
      <c r="M110" s="420">
        <v>48.221011119424034</v>
      </c>
      <c r="N110" s="418">
        <f t="shared" si="7"/>
        <v>48.221011119424034</v>
      </c>
    </row>
    <row r="111" spans="2:14">
      <c r="B111" s="339">
        <f>PJM_01212000!A145</f>
        <v>39845</v>
      </c>
      <c r="C111" s="340">
        <f>VLOOKUP(B111,'Super Peak Curve'!$C$23:$AN$275,38)</f>
        <v>48.221011119424034</v>
      </c>
      <c r="E111" s="357">
        <f>VLOOKUP(B111,PJM_01212000!$J$7:$AF$230,23)</f>
        <v>1.75</v>
      </c>
      <c r="G111" s="359">
        <f t="shared" si="4"/>
        <v>0.109375</v>
      </c>
      <c r="H111" s="358"/>
      <c r="I111" s="359">
        <f t="shared" si="5"/>
        <v>2.3318828351394889E-2</v>
      </c>
      <c r="K111" s="360">
        <f t="shared" si="6"/>
        <v>1.1244574812245534</v>
      </c>
      <c r="M111" s="420">
        <v>48.221011119424034</v>
      </c>
      <c r="N111" s="418">
        <f t="shared" si="7"/>
        <v>48.221011119424034</v>
      </c>
    </row>
    <row r="112" spans="2:14">
      <c r="B112" s="339">
        <f>PJM_01212000!A146</f>
        <v>39873</v>
      </c>
      <c r="C112" s="340">
        <f>VLOOKUP(B112,'Super Peak Curve'!$C$23:$AN$275,38)</f>
        <v>35.331337177906036</v>
      </c>
      <c r="E112" s="357">
        <f>VLOOKUP(B112,PJM_01212000!$J$7:$AF$230,23)</f>
        <v>1.1000000000000001</v>
      </c>
      <c r="G112" s="359">
        <f t="shared" si="4"/>
        <v>6.8750000000000006E-2</v>
      </c>
      <c r="H112" s="358"/>
      <c r="I112" s="359">
        <f t="shared" si="5"/>
        <v>1.4657549249448218E-2</v>
      </c>
      <c r="K112" s="360">
        <f t="shared" si="6"/>
        <v>0.51787081473401853</v>
      </c>
      <c r="M112" s="420">
        <v>35.331337177906036</v>
      </c>
      <c r="N112" s="418">
        <f t="shared" si="7"/>
        <v>35.331337177906036</v>
      </c>
    </row>
    <row r="113" spans="2:14">
      <c r="B113" s="339">
        <f>PJM_01212000!A147</f>
        <v>39904</v>
      </c>
      <c r="C113" s="340">
        <f>VLOOKUP(B113,'Super Peak Curve'!$C$23:$AN$275,38)</f>
        <v>32.697993886139209</v>
      </c>
      <c r="E113" s="357">
        <f>VLOOKUP(B113,PJM_01212000!$J$7:$AF$230,23)</f>
        <v>1.2</v>
      </c>
      <c r="G113" s="359">
        <f t="shared" si="4"/>
        <v>7.4999999999999997E-2</v>
      </c>
      <c r="H113" s="358"/>
      <c r="I113" s="359">
        <f t="shared" si="5"/>
        <v>1.599005372667078E-2</v>
      </c>
      <c r="K113" s="360">
        <f t="shared" si="6"/>
        <v>0.52284267899371861</v>
      </c>
      <c r="M113" s="420">
        <v>32.697993886139209</v>
      </c>
      <c r="N113" s="418">
        <f t="shared" si="7"/>
        <v>32.697993886139209</v>
      </c>
    </row>
    <row r="114" spans="2:14">
      <c r="B114" s="339">
        <f>PJM_01212000!A148</f>
        <v>39934</v>
      </c>
      <c r="C114" s="340">
        <f>VLOOKUP(B114,'Super Peak Curve'!$C$23:$AN$275,38)</f>
        <v>39.603286048866288</v>
      </c>
      <c r="E114" s="357">
        <f>VLOOKUP(B114,PJM_01212000!$J$7:$AF$230,23)</f>
        <v>2</v>
      </c>
      <c r="G114" s="359">
        <f t="shared" si="4"/>
        <v>0.125</v>
      </c>
      <c r="H114" s="358"/>
      <c r="I114" s="359">
        <f t="shared" si="5"/>
        <v>2.6650089544451302E-2</v>
      </c>
      <c r="K114" s="360">
        <f t="shared" si="6"/>
        <v>1.0554311194568056</v>
      </c>
      <c r="M114" s="420">
        <v>39.603286048866288</v>
      </c>
      <c r="N114" s="418">
        <f t="shared" si="7"/>
        <v>39.603286048866288</v>
      </c>
    </row>
    <row r="115" spans="2:14">
      <c r="B115" s="339">
        <f>PJM_01212000!A149</f>
        <v>39965</v>
      </c>
      <c r="C115" s="340">
        <f>VLOOKUP(B115,'Super Peak Curve'!$C$23:$AN$275,38)</f>
        <v>75.395701677901314</v>
      </c>
      <c r="E115" s="357">
        <f>VLOOKUP(B115,PJM_01212000!$J$7:$AF$230,23)</f>
        <v>2.25</v>
      </c>
      <c r="G115" s="359">
        <f t="shared" si="4"/>
        <v>0.140625</v>
      </c>
      <c r="H115" s="358"/>
      <c r="I115" s="359">
        <f t="shared" si="5"/>
        <v>2.9981350737507715E-2</v>
      </c>
      <c r="K115" s="360">
        <f t="shared" si="6"/>
        <v>2.2604649761056583</v>
      </c>
      <c r="M115" s="420">
        <v>75.395701677901314</v>
      </c>
      <c r="N115" s="418">
        <f t="shared" si="7"/>
        <v>75.395701677901314</v>
      </c>
    </row>
    <row r="116" spans="2:14">
      <c r="B116" s="339">
        <f>PJM_01212000!A150</f>
        <v>39995</v>
      </c>
      <c r="C116" s="340">
        <f>VLOOKUP(B116,'Super Peak Curve'!$C$23:$AN$275,38)</f>
        <v>137.47798143428594</v>
      </c>
      <c r="E116" s="357">
        <f>VLOOKUP(B116,PJM_01212000!$J$7:$AF$230,23)</f>
        <v>3</v>
      </c>
      <c r="G116" s="359">
        <f t="shared" si="4"/>
        <v>0.1875</v>
      </c>
      <c r="H116" s="358"/>
      <c r="I116" s="359">
        <f t="shared" si="5"/>
        <v>3.9975134316676958E-2</v>
      </c>
      <c r="K116" s="360">
        <f t="shared" si="6"/>
        <v>5.4957007734212011</v>
      </c>
      <c r="M116" s="420">
        <v>137.47798143428594</v>
      </c>
      <c r="N116" s="418">
        <f t="shared" si="7"/>
        <v>137.47798143428594</v>
      </c>
    </row>
    <row r="117" spans="2:14">
      <c r="B117" s="339">
        <f>PJM_01212000!A151</f>
        <v>40026</v>
      </c>
      <c r="C117" s="340">
        <f>VLOOKUP(B117,'Super Peak Curve'!$C$23:$AN$275,38)</f>
        <v>112.5470642664456</v>
      </c>
      <c r="E117" s="357">
        <f>VLOOKUP(B117,PJM_01212000!$J$7:$AF$230,23)</f>
        <v>3</v>
      </c>
      <c r="G117" s="359">
        <f t="shared" si="4"/>
        <v>0.1875</v>
      </c>
      <c r="H117" s="358"/>
      <c r="I117" s="359">
        <f t="shared" si="5"/>
        <v>3.9975134316676958E-2</v>
      </c>
      <c r="K117" s="360">
        <f t="shared" si="6"/>
        <v>4.4990840109988364</v>
      </c>
      <c r="M117" s="420">
        <v>112.5470642664456</v>
      </c>
      <c r="N117" s="418">
        <f t="shared" si="7"/>
        <v>112.5470642664456</v>
      </c>
    </row>
    <row r="118" spans="2:14">
      <c r="B118" s="339">
        <f>PJM_01212000!A152</f>
        <v>40057</v>
      </c>
      <c r="C118" s="340">
        <f>VLOOKUP(B118,'Super Peak Curve'!$C$23:$AN$275,38)</f>
        <v>41.495994611988145</v>
      </c>
      <c r="E118" s="357">
        <f>VLOOKUP(B118,PJM_01212000!$J$7:$AF$230,23)</f>
        <v>1.75</v>
      </c>
      <c r="G118" s="359">
        <f t="shared" si="4"/>
        <v>0.109375</v>
      </c>
      <c r="H118" s="358"/>
      <c r="I118" s="359">
        <f t="shared" si="5"/>
        <v>2.3318828351394889E-2</v>
      </c>
      <c r="K118" s="360">
        <f t="shared" si="6"/>
        <v>0.96763797562735865</v>
      </c>
      <c r="M118" s="420">
        <v>41.495994611988145</v>
      </c>
      <c r="N118" s="418">
        <f t="shared" si="7"/>
        <v>41.495994611988145</v>
      </c>
    </row>
    <row r="119" spans="2:14">
      <c r="B119" s="339">
        <f>PJM_01212000!A153</f>
        <v>40087</v>
      </c>
      <c r="C119" s="340">
        <f>VLOOKUP(B119,'Super Peak Curve'!$C$23:$AN$275,38)</f>
        <v>34.742492323122029</v>
      </c>
      <c r="E119" s="357">
        <f>VLOOKUP(B119,PJM_01212000!$J$7:$AF$230,23)</f>
        <v>1.5</v>
      </c>
      <c r="G119" s="359">
        <f t="shared" ref="G119:G182" si="8">E119/(256)^(1/2)</f>
        <v>9.375E-2</v>
      </c>
      <c r="H119" s="358"/>
      <c r="I119" s="359">
        <f t="shared" ref="I119:I182" si="9">(G119/(22)^(1/2))</f>
        <v>1.9987567158338479E-2</v>
      </c>
      <c r="K119" s="360">
        <f t="shared" ref="K119:K182" si="10">I119*C119</f>
        <v>0.69441789855646063</v>
      </c>
      <c r="M119" s="420">
        <v>34.742492323122029</v>
      </c>
      <c r="N119" s="418">
        <f t="shared" si="7"/>
        <v>34.742492323122029</v>
      </c>
    </row>
    <row r="120" spans="2:14">
      <c r="B120" s="339">
        <f>PJM_01212000!A154</f>
        <v>40118</v>
      </c>
      <c r="C120" s="340">
        <f>VLOOKUP(B120,'Super Peak Curve'!$C$23:$AN$275,38)</f>
        <v>34.828653097267157</v>
      </c>
      <c r="E120" s="357">
        <f>VLOOKUP(B120,PJM_01212000!$J$7:$AF$230,23)</f>
        <v>1.5</v>
      </c>
      <c r="G120" s="359">
        <f t="shared" si="8"/>
        <v>9.375E-2</v>
      </c>
      <c r="H120" s="358"/>
      <c r="I120" s="359">
        <f t="shared" si="9"/>
        <v>1.9987567158338479E-2</v>
      </c>
      <c r="K120" s="360">
        <f t="shared" si="10"/>
        <v>0.69614004281610076</v>
      </c>
      <c r="M120" s="420">
        <v>34.828653097267157</v>
      </c>
      <c r="N120" s="418">
        <f t="shared" si="7"/>
        <v>34.828653097267157</v>
      </c>
    </row>
    <row r="121" spans="2:14">
      <c r="B121" s="339">
        <f>PJM_01212000!A155</f>
        <v>40148</v>
      </c>
      <c r="C121" s="340">
        <f>VLOOKUP(B121,'Super Peak Curve'!$C$23:$AN$275,38)</f>
        <v>37.384880139088608</v>
      </c>
      <c r="E121" s="357">
        <f>VLOOKUP(B121,PJM_01212000!$J$7:$AF$230,23)</f>
        <v>1.5</v>
      </c>
      <c r="G121" s="359">
        <f t="shared" si="8"/>
        <v>9.375E-2</v>
      </c>
      <c r="H121" s="358"/>
      <c r="I121" s="359">
        <f t="shared" si="9"/>
        <v>1.9987567158338479E-2</v>
      </c>
      <c r="K121" s="360">
        <f t="shared" si="10"/>
        <v>0.74723280248646795</v>
      </c>
      <c r="M121" s="420">
        <v>37.384880139088608</v>
      </c>
      <c r="N121" s="418">
        <f t="shared" si="7"/>
        <v>37.384880139088608</v>
      </c>
    </row>
    <row r="122" spans="2:14">
      <c r="B122" s="339">
        <f>PJM_01212000!A156</f>
        <v>40179</v>
      </c>
      <c r="C122" s="340">
        <f>VLOOKUP(B122,'Super Peak Curve'!$C$23:$AN$275,38)</f>
        <v>48.834119994064636</v>
      </c>
      <c r="E122" s="357">
        <f>VLOOKUP(B122,PJM_01212000!$J$7:$AF$230,23)</f>
        <v>1.75</v>
      </c>
      <c r="G122" s="359">
        <f t="shared" si="8"/>
        <v>0.109375</v>
      </c>
      <c r="H122" s="358"/>
      <c r="I122" s="359">
        <f t="shared" si="9"/>
        <v>2.3318828351394889E-2</v>
      </c>
      <c r="K122" s="360">
        <f t="shared" si="10"/>
        <v>1.1387544618330145</v>
      </c>
      <c r="M122" s="420">
        <v>48.834119994064636</v>
      </c>
      <c r="N122" s="418">
        <f t="shared" si="7"/>
        <v>48.834119994064636</v>
      </c>
    </row>
    <row r="123" spans="2:14">
      <c r="B123" s="339">
        <f>PJM_01212000!A157</f>
        <v>40210</v>
      </c>
      <c r="C123" s="340">
        <f>VLOOKUP(B123,'Super Peak Curve'!$C$23:$AN$275,38)</f>
        <v>48.834119994064636</v>
      </c>
      <c r="E123" s="357">
        <f>VLOOKUP(B123,PJM_01212000!$J$7:$AF$230,23)</f>
        <v>1.75</v>
      </c>
      <c r="G123" s="359">
        <f t="shared" si="8"/>
        <v>0.109375</v>
      </c>
      <c r="H123" s="358"/>
      <c r="I123" s="359">
        <f t="shared" si="9"/>
        <v>2.3318828351394889E-2</v>
      </c>
      <c r="K123" s="360">
        <f t="shared" si="10"/>
        <v>1.1387544618330145</v>
      </c>
      <c r="M123" s="420">
        <v>48.834119994064636</v>
      </c>
      <c r="N123" s="418">
        <f t="shared" si="7"/>
        <v>48.834119994064636</v>
      </c>
    </row>
    <row r="124" spans="2:14">
      <c r="B124" s="339">
        <f>PJM_01212000!A158</f>
        <v>40238</v>
      </c>
      <c r="C124" s="340">
        <f>VLOOKUP(B124,'Super Peak Curve'!$C$23:$AN$275,38)</f>
        <v>35.93944967790604</v>
      </c>
      <c r="E124" s="357">
        <f>VLOOKUP(B124,PJM_01212000!$J$7:$AF$230,23)</f>
        <v>1.1000000000000001</v>
      </c>
      <c r="G124" s="359">
        <f t="shared" si="8"/>
        <v>6.8750000000000006E-2</v>
      </c>
      <c r="H124" s="358"/>
      <c r="I124" s="359">
        <f t="shared" si="9"/>
        <v>1.4657549249448218E-2</v>
      </c>
      <c r="K124" s="360">
        <f t="shared" si="10"/>
        <v>0.52678425365197368</v>
      </c>
      <c r="M124" s="420">
        <v>35.93944967790604</v>
      </c>
      <c r="N124" s="418">
        <f t="shared" si="7"/>
        <v>35.93944967790604</v>
      </c>
    </row>
    <row r="125" spans="2:14">
      <c r="B125" s="339">
        <f>PJM_01212000!A159</f>
        <v>40269</v>
      </c>
      <c r="C125" s="340">
        <f>VLOOKUP(B125,'Super Peak Curve'!$C$23:$AN$275,38)</f>
        <v>33.265175031337634</v>
      </c>
      <c r="E125" s="357">
        <f>VLOOKUP(B125,PJM_01212000!$J$7:$AF$230,23)</f>
        <v>1.2</v>
      </c>
      <c r="G125" s="359">
        <f t="shared" si="8"/>
        <v>7.4999999999999997E-2</v>
      </c>
      <c r="H125" s="358"/>
      <c r="I125" s="359">
        <f t="shared" si="9"/>
        <v>1.599005372667078E-2</v>
      </c>
      <c r="K125" s="360">
        <f t="shared" si="10"/>
        <v>0.53191193597819608</v>
      </c>
      <c r="M125" s="420">
        <v>33.265175031337634</v>
      </c>
      <c r="N125" s="418">
        <f t="shared" si="7"/>
        <v>33.265175031337634</v>
      </c>
    </row>
    <row r="126" spans="2:14">
      <c r="B126" s="339">
        <f>PJM_01212000!A160</f>
        <v>40299</v>
      </c>
      <c r="C126" s="340">
        <f>VLOOKUP(B126,'Super Peak Curve'!$C$23:$AN$275,38)</f>
        <v>40.975541282714737</v>
      </c>
      <c r="E126" s="357">
        <f>VLOOKUP(B126,PJM_01212000!$J$7:$AF$230,23)</f>
        <v>2</v>
      </c>
      <c r="G126" s="359">
        <f t="shared" si="8"/>
        <v>0.125</v>
      </c>
      <c r="H126" s="358"/>
      <c r="I126" s="359">
        <f t="shared" si="9"/>
        <v>2.6650089544451302E-2</v>
      </c>
      <c r="K126" s="360">
        <f t="shared" si="10"/>
        <v>1.0920018443167088</v>
      </c>
      <c r="M126" s="420">
        <v>40.975541282714737</v>
      </c>
      <c r="N126" s="418">
        <f t="shared" si="7"/>
        <v>40.975541282714737</v>
      </c>
    </row>
    <row r="127" spans="2:14">
      <c r="B127" s="339">
        <f>PJM_01212000!A161</f>
        <v>40330</v>
      </c>
      <c r="C127" s="340">
        <f>VLOOKUP(B127,'Super Peak Curve'!$C$23:$AN$275,38)</f>
        <v>76.938166971698237</v>
      </c>
      <c r="E127" s="357">
        <f>VLOOKUP(B127,PJM_01212000!$J$7:$AF$230,23)</f>
        <v>2.25</v>
      </c>
      <c r="G127" s="359">
        <f t="shared" si="8"/>
        <v>0.140625</v>
      </c>
      <c r="H127" s="358"/>
      <c r="I127" s="359">
        <f t="shared" si="9"/>
        <v>2.9981350737507715E-2</v>
      </c>
      <c r="K127" s="360">
        <f t="shared" si="10"/>
        <v>2.3067101690794165</v>
      </c>
      <c r="M127" s="420">
        <v>76.938166971698237</v>
      </c>
      <c r="N127" s="418">
        <f t="shared" si="7"/>
        <v>76.938166971698237</v>
      </c>
    </row>
    <row r="128" spans="2:14">
      <c r="B128" s="339">
        <f>PJM_01212000!A162</f>
        <v>40360</v>
      </c>
      <c r="C128" s="340">
        <f>VLOOKUP(B128,'Super Peak Curve'!$C$23:$AN$275,38)</f>
        <v>140.43237940222531</v>
      </c>
      <c r="E128" s="357">
        <f>VLOOKUP(B128,PJM_01212000!$J$7:$AF$230,23)</f>
        <v>3</v>
      </c>
      <c r="G128" s="359">
        <f t="shared" si="8"/>
        <v>0.1875</v>
      </c>
      <c r="H128" s="358"/>
      <c r="I128" s="359">
        <f t="shared" si="9"/>
        <v>3.9975134316676958E-2</v>
      </c>
      <c r="K128" s="360">
        <f t="shared" si="10"/>
        <v>5.6138032290144952</v>
      </c>
      <c r="M128" s="420">
        <v>140.43237940222531</v>
      </c>
      <c r="N128" s="418">
        <f t="shared" si="7"/>
        <v>140.43237940222531</v>
      </c>
    </row>
    <row r="129" spans="2:14">
      <c r="B129" s="339">
        <f>PJM_01212000!A163</f>
        <v>40391</v>
      </c>
      <c r="C129" s="340">
        <f>VLOOKUP(B129,'Super Peak Curve'!$C$23:$AN$275,38)</f>
        <v>115.30857902137446</v>
      </c>
      <c r="E129" s="357">
        <f>VLOOKUP(B129,PJM_01212000!$J$7:$AF$230,23)</f>
        <v>3</v>
      </c>
      <c r="G129" s="359">
        <f t="shared" si="8"/>
        <v>0.1875</v>
      </c>
      <c r="H129" s="358"/>
      <c r="I129" s="359">
        <f t="shared" si="9"/>
        <v>3.9975134316676958E-2</v>
      </c>
      <c r="K129" s="360">
        <f t="shared" si="10"/>
        <v>4.6094759342446023</v>
      </c>
      <c r="M129" s="420">
        <v>115.30857902137446</v>
      </c>
      <c r="N129" s="418">
        <f t="shared" si="7"/>
        <v>115.30857902137446</v>
      </c>
    </row>
    <row r="130" spans="2:14">
      <c r="B130" s="339">
        <f>PJM_01212000!A164</f>
        <v>40422</v>
      </c>
      <c r="C130" s="340">
        <f>VLOOKUP(B130,'Super Peak Curve'!$C$23:$AN$275,38)</f>
        <v>42.073531095975476</v>
      </c>
      <c r="E130" s="357">
        <f>VLOOKUP(B130,PJM_01212000!$J$7:$AF$230,23)</f>
        <v>1.75</v>
      </c>
      <c r="G130" s="359">
        <f t="shared" si="8"/>
        <v>0.109375</v>
      </c>
      <c r="H130" s="358"/>
      <c r="I130" s="359">
        <f t="shared" si="9"/>
        <v>2.3318828351394889E-2</v>
      </c>
      <c r="K130" s="360">
        <f t="shared" si="10"/>
        <v>0.98110544976412739</v>
      </c>
      <c r="M130" s="420">
        <v>42.073531095975476</v>
      </c>
      <c r="N130" s="418">
        <f t="shared" si="7"/>
        <v>42.073531095975476</v>
      </c>
    </row>
    <row r="131" spans="2:14">
      <c r="B131" s="339">
        <f>PJM_01212000!A165</f>
        <v>40452</v>
      </c>
      <c r="C131" s="340">
        <f>VLOOKUP(B131,'Super Peak Curve'!$C$23:$AN$275,38)</f>
        <v>35.329854823122027</v>
      </c>
      <c r="E131" s="357">
        <f>VLOOKUP(B131,PJM_01212000!$J$7:$AF$230,23)</f>
        <v>1.5</v>
      </c>
      <c r="G131" s="359">
        <f t="shared" si="8"/>
        <v>9.375E-2</v>
      </c>
      <c r="H131" s="358"/>
      <c r="I131" s="359">
        <f t="shared" si="9"/>
        <v>1.9987567158338479E-2</v>
      </c>
      <c r="K131" s="360">
        <f t="shared" si="10"/>
        <v>0.70615784597150011</v>
      </c>
      <c r="M131" s="420">
        <v>35.329854823122027</v>
      </c>
      <c r="N131" s="418">
        <f t="shared" si="7"/>
        <v>35.329854823122027</v>
      </c>
    </row>
    <row r="132" spans="2:14">
      <c r="B132" s="339">
        <f>PJM_01212000!A166</f>
        <v>40483</v>
      </c>
      <c r="C132" s="340">
        <f>VLOOKUP(B132,'Super Peak Curve'!$C$23:$AN$275,38)</f>
        <v>35.424065597267152</v>
      </c>
      <c r="E132" s="357">
        <f>VLOOKUP(B132,PJM_01212000!$J$7:$AF$230,23)</f>
        <v>1.5</v>
      </c>
      <c r="G132" s="359">
        <f t="shared" si="8"/>
        <v>9.375E-2</v>
      </c>
      <c r="H132" s="358"/>
      <c r="I132" s="359">
        <f t="shared" si="9"/>
        <v>1.9987567158338479E-2</v>
      </c>
      <c r="K132" s="360">
        <f t="shared" si="10"/>
        <v>0.70804089014676486</v>
      </c>
      <c r="M132" s="420">
        <v>35.424065597267152</v>
      </c>
      <c r="N132" s="418">
        <f t="shared" si="7"/>
        <v>35.424065597267152</v>
      </c>
    </row>
    <row r="133" spans="2:14">
      <c r="B133" s="339">
        <f>PJM_01212000!A167</f>
        <v>40513</v>
      </c>
      <c r="C133" s="340">
        <f>VLOOKUP(B133,'Super Peak Curve'!$C$23:$AN$275,38)</f>
        <v>37.987862084235829</v>
      </c>
      <c r="E133" s="357">
        <f>VLOOKUP(B133,PJM_01212000!$J$7:$AF$230,23)</f>
        <v>1.5</v>
      </c>
      <c r="G133" s="359">
        <f t="shared" si="8"/>
        <v>9.375E-2</v>
      </c>
      <c r="H133" s="358"/>
      <c r="I133" s="359">
        <f t="shared" si="9"/>
        <v>1.9987567158338479E-2</v>
      </c>
      <c r="K133" s="360">
        <f t="shared" si="10"/>
        <v>0.75928494461036355</v>
      </c>
      <c r="M133" s="420">
        <v>37.987862084235829</v>
      </c>
      <c r="N133" s="418">
        <f t="shared" ref="N133:N196" si="11">M133</f>
        <v>37.987862084235829</v>
      </c>
    </row>
    <row r="134" spans="2:14">
      <c r="B134" s="339">
        <f>PJM_01212000!A168</f>
        <v>40544</v>
      </c>
      <c r="C134" s="340">
        <f>VLOOKUP(B134,'Super Peak Curve'!$C$23:$AN$275,38)</f>
        <v>49.140674431384944</v>
      </c>
      <c r="E134" s="357">
        <f>VLOOKUP(B134,PJM_01212000!$J$7:$AF$230,23)</f>
        <v>1.75</v>
      </c>
      <c r="G134" s="359">
        <f t="shared" si="8"/>
        <v>0.109375</v>
      </c>
      <c r="H134" s="358"/>
      <c r="I134" s="359">
        <f t="shared" si="9"/>
        <v>2.3318828351394889E-2</v>
      </c>
      <c r="K134" s="360">
        <f t="shared" si="10"/>
        <v>1.1459029521372452</v>
      </c>
      <c r="M134" s="420">
        <v>49.140674431384944</v>
      </c>
      <c r="N134" s="418">
        <f t="shared" si="11"/>
        <v>49.140674431384944</v>
      </c>
    </row>
    <row r="135" spans="2:14">
      <c r="B135" s="339">
        <f>PJM_01212000!A169</f>
        <v>40575</v>
      </c>
      <c r="C135" s="340">
        <f>VLOOKUP(B135,'Super Peak Curve'!$C$23:$AN$275,38)</f>
        <v>49.140674431384944</v>
      </c>
      <c r="E135" s="357">
        <f>VLOOKUP(B135,PJM_01212000!$J$7:$AF$230,23)</f>
        <v>1.75</v>
      </c>
      <c r="G135" s="359">
        <f t="shared" si="8"/>
        <v>0.109375</v>
      </c>
      <c r="H135" s="358"/>
      <c r="I135" s="359">
        <f t="shared" si="9"/>
        <v>2.3318828351394889E-2</v>
      </c>
      <c r="K135" s="360">
        <f t="shared" si="10"/>
        <v>1.1459029521372452</v>
      </c>
      <c r="M135" s="420">
        <v>49.140674431384944</v>
      </c>
      <c r="N135" s="418">
        <f t="shared" si="11"/>
        <v>49.140674431384944</v>
      </c>
    </row>
    <row r="136" spans="2:14">
      <c r="B136" s="339">
        <f>PJM_01212000!A170</f>
        <v>40603</v>
      </c>
      <c r="C136" s="340">
        <f>VLOOKUP(B136,'Super Peak Curve'!$C$23:$AN$275,38)</f>
        <v>36.243505927906035</v>
      </c>
      <c r="E136" s="357">
        <f>VLOOKUP(B136,PJM_01212000!$J$7:$AF$230,23)</f>
        <v>1.1000000000000001</v>
      </c>
      <c r="G136" s="359">
        <f t="shared" si="8"/>
        <v>6.8750000000000006E-2</v>
      </c>
      <c r="H136" s="358"/>
      <c r="I136" s="359">
        <f t="shared" si="9"/>
        <v>1.4657549249448218E-2</v>
      </c>
      <c r="K136" s="360">
        <f t="shared" si="10"/>
        <v>0.5312409731109512</v>
      </c>
      <c r="M136" s="420">
        <v>36.243505927906035</v>
      </c>
      <c r="N136" s="418">
        <f t="shared" si="11"/>
        <v>36.243505927906035</v>
      </c>
    </row>
    <row r="137" spans="2:14">
      <c r="B137" s="339">
        <f>PJM_01212000!A171</f>
        <v>40634</v>
      </c>
      <c r="C137" s="340">
        <f>VLOOKUP(B137,'Super Peak Curve'!$C$23:$AN$275,38)</f>
        <v>33.54876560393685</v>
      </c>
      <c r="E137" s="357">
        <f>VLOOKUP(B137,PJM_01212000!$J$7:$AF$230,23)</f>
        <v>1.2</v>
      </c>
      <c r="G137" s="359">
        <f t="shared" si="8"/>
        <v>7.4999999999999997E-2</v>
      </c>
      <c r="H137" s="358"/>
      <c r="I137" s="359">
        <f t="shared" si="9"/>
        <v>1.599005372667078E-2</v>
      </c>
      <c r="K137" s="360">
        <f t="shared" si="10"/>
        <v>0.53644656447043493</v>
      </c>
      <c r="M137" s="420">
        <v>33.54876560393685</v>
      </c>
      <c r="N137" s="418">
        <f t="shared" si="11"/>
        <v>33.54876560393685</v>
      </c>
    </row>
    <row r="138" spans="2:14">
      <c r="B138" s="339">
        <f>PJM_01212000!A172</f>
        <v>40664</v>
      </c>
      <c r="C138" s="340">
        <f>VLOOKUP(B138,'Super Peak Curve'!$C$23:$AN$275,38)</f>
        <v>41.249992329484428</v>
      </c>
      <c r="E138" s="357">
        <f>VLOOKUP(B138,PJM_01212000!$J$7:$AF$230,23)</f>
        <v>2</v>
      </c>
      <c r="G138" s="359">
        <f t="shared" si="8"/>
        <v>0.125</v>
      </c>
      <c r="H138" s="358"/>
      <c r="I138" s="359">
        <f t="shared" si="9"/>
        <v>2.6650089544451302E-2</v>
      </c>
      <c r="K138" s="360">
        <f t="shared" si="10"/>
        <v>1.0993159892886895</v>
      </c>
      <c r="M138" s="420">
        <v>41.249992329484428</v>
      </c>
      <c r="N138" s="418">
        <f t="shared" si="11"/>
        <v>41.249992329484428</v>
      </c>
    </row>
    <row r="139" spans="2:14">
      <c r="B139" s="339">
        <f>PJM_01212000!A173</f>
        <v>40695</v>
      </c>
      <c r="C139" s="340">
        <f>VLOOKUP(B139,'Super Peak Curve'!$C$23:$AN$275,38)</f>
        <v>77.863646147976382</v>
      </c>
      <c r="E139" s="357">
        <f>VLOOKUP(B139,PJM_01212000!$J$7:$AF$230,23)</f>
        <v>2.25</v>
      </c>
      <c r="G139" s="359">
        <f t="shared" si="8"/>
        <v>0.140625</v>
      </c>
      <c r="H139" s="358"/>
      <c r="I139" s="359">
        <f t="shared" si="9"/>
        <v>2.9981350737507715E-2</v>
      </c>
      <c r="K139" s="360">
        <f t="shared" si="10"/>
        <v>2.3344572848636713</v>
      </c>
      <c r="M139" s="420">
        <v>77.863646147976382</v>
      </c>
      <c r="N139" s="418">
        <f t="shared" si="11"/>
        <v>77.863646147976382</v>
      </c>
    </row>
    <row r="140" spans="2:14">
      <c r="B140" s="339">
        <f>PJM_01212000!A174</f>
        <v>40725</v>
      </c>
      <c r="C140" s="340">
        <f>VLOOKUP(B140,'Super Peak Curve'!$C$23:$AN$275,38)</f>
        <v>143.38677737016465</v>
      </c>
      <c r="E140" s="357">
        <f>VLOOKUP(B140,PJM_01212000!$J$7:$AF$230,23)</f>
        <v>3</v>
      </c>
      <c r="G140" s="359">
        <f t="shared" si="8"/>
        <v>0.1875</v>
      </c>
      <c r="H140" s="358"/>
      <c r="I140" s="359">
        <f t="shared" si="9"/>
        <v>3.9975134316676958E-2</v>
      </c>
      <c r="K140" s="360">
        <f t="shared" si="10"/>
        <v>5.7319056846077876</v>
      </c>
      <c r="M140" s="420">
        <v>143.38677737016465</v>
      </c>
      <c r="N140" s="418">
        <f t="shared" si="11"/>
        <v>143.38677737016465</v>
      </c>
    </row>
    <row r="141" spans="2:14">
      <c r="B141" s="339">
        <f>PJM_01212000!A175</f>
        <v>40756</v>
      </c>
      <c r="C141" s="340">
        <f>VLOOKUP(B141,'Super Peak Curve'!$C$23:$AN$275,38)</f>
        <v>118.07009377630331</v>
      </c>
      <c r="E141" s="357">
        <f>VLOOKUP(B141,PJM_01212000!$J$7:$AF$230,23)</f>
        <v>3</v>
      </c>
      <c r="G141" s="359">
        <f t="shared" si="8"/>
        <v>0.1875</v>
      </c>
      <c r="H141" s="358"/>
      <c r="I141" s="359">
        <f t="shared" si="9"/>
        <v>3.9975134316676958E-2</v>
      </c>
      <c r="K141" s="360">
        <f t="shared" si="10"/>
        <v>4.7198678574903692</v>
      </c>
      <c r="M141" s="420">
        <v>118.07009377630331</v>
      </c>
      <c r="N141" s="418">
        <f t="shared" si="11"/>
        <v>118.07009377630331</v>
      </c>
    </row>
    <row r="142" spans="2:14">
      <c r="B142" s="339">
        <f>PJM_01212000!A176</f>
        <v>40787</v>
      </c>
      <c r="C142" s="340">
        <f>VLOOKUP(B142,'Super Peak Curve'!$C$23:$AN$275,38)</f>
        <v>42.651067579962799</v>
      </c>
      <c r="E142" s="357">
        <f>VLOOKUP(B142,PJM_01212000!$J$7:$AF$230,23)</f>
        <v>1.75</v>
      </c>
      <c r="G142" s="359">
        <f t="shared" si="8"/>
        <v>0.109375</v>
      </c>
      <c r="H142" s="358"/>
      <c r="I142" s="359">
        <f t="shared" si="9"/>
        <v>2.3318828351394889E-2</v>
      </c>
      <c r="K142" s="360">
        <f t="shared" si="10"/>
        <v>0.99457292390089591</v>
      </c>
      <c r="M142" s="420">
        <v>42.651067579962799</v>
      </c>
      <c r="N142" s="418">
        <f t="shared" si="11"/>
        <v>42.651067579962799</v>
      </c>
    </row>
    <row r="143" spans="2:14">
      <c r="B143" s="339">
        <f>PJM_01212000!A177</f>
        <v>40817</v>
      </c>
      <c r="C143" s="340">
        <f>VLOOKUP(B143,'Super Peak Curve'!$C$23:$AN$275,38)</f>
        <v>35.623536073122025</v>
      </c>
      <c r="E143" s="357">
        <f>VLOOKUP(B143,PJM_01212000!$J$7:$AF$230,23)</f>
        <v>1.5</v>
      </c>
      <c r="G143" s="359">
        <f t="shared" si="8"/>
        <v>9.375E-2</v>
      </c>
      <c r="H143" s="358"/>
      <c r="I143" s="359">
        <f t="shared" si="9"/>
        <v>1.9987567158338479E-2</v>
      </c>
      <c r="K143" s="360">
        <f t="shared" si="10"/>
        <v>0.71202781967901985</v>
      </c>
      <c r="M143" s="420">
        <v>35.623536073122025</v>
      </c>
      <c r="N143" s="418">
        <f t="shared" si="11"/>
        <v>35.623536073122025</v>
      </c>
    </row>
    <row r="144" spans="2:14">
      <c r="B144" s="339">
        <f>PJM_01212000!A178</f>
        <v>40848</v>
      </c>
      <c r="C144" s="340">
        <f>VLOOKUP(B144,'Super Peak Curve'!$C$23:$AN$275,38)</f>
        <v>35.721771847267156</v>
      </c>
      <c r="E144" s="357">
        <f>VLOOKUP(B144,PJM_01212000!$J$7:$AF$230,23)</f>
        <v>1.5</v>
      </c>
      <c r="G144" s="359">
        <f t="shared" si="8"/>
        <v>9.375E-2</v>
      </c>
      <c r="H144" s="358"/>
      <c r="I144" s="359">
        <f t="shared" si="9"/>
        <v>1.9987567158338479E-2</v>
      </c>
      <c r="K144" s="360">
        <f t="shared" si="10"/>
        <v>0.71399131381209713</v>
      </c>
      <c r="M144" s="420">
        <v>35.721771847267156</v>
      </c>
      <c r="N144" s="418">
        <f t="shared" si="11"/>
        <v>35.721771847267156</v>
      </c>
    </row>
    <row r="145" spans="2:14">
      <c r="B145" s="339">
        <f>PJM_01212000!A179</f>
        <v>40878</v>
      </c>
      <c r="C145" s="340">
        <f>VLOOKUP(B145,'Super Peak Curve'!$C$23:$AN$275,38)</f>
        <v>38.289353056809432</v>
      </c>
      <c r="E145" s="357">
        <f>VLOOKUP(B145,PJM_01212000!$J$7:$AF$230,23)</f>
        <v>1.5</v>
      </c>
      <c r="G145" s="359">
        <f t="shared" si="8"/>
        <v>9.375E-2</v>
      </c>
      <c r="H145" s="358"/>
      <c r="I145" s="359">
        <f t="shared" si="9"/>
        <v>1.9987567158338479E-2</v>
      </c>
      <c r="K145" s="360">
        <f t="shared" si="10"/>
        <v>0.7653110156723113</v>
      </c>
      <c r="M145" s="420">
        <v>38.289353056809432</v>
      </c>
      <c r="N145" s="418">
        <f t="shared" si="11"/>
        <v>38.289353056809432</v>
      </c>
    </row>
    <row r="146" spans="2:14">
      <c r="B146" s="339">
        <f>PJM_01212000!A180</f>
        <v>40909</v>
      </c>
      <c r="C146" s="340">
        <f>VLOOKUP(B146,'Super Peak Curve'!$C$23:$AN$275,38)</f>
        <v>49.447228868705253</v>
      </c>
      <c r="E146" s="357">
        <f>VLOOKUP(B146,PJM_01212000!$J$7:$AF$230,23)</f>
        <v>1.75</v>
      </c>
      <c r="G146" s="359">
        <f t="shared" si="8"/>
        <v>0.109375</v>
      </c>
      <c r="H146" s="358"/>
      <c r="I146" s="359">
        <f t="shared" si="9"/>
        <v>2.3318828351394889E-2</v>
      </c>
      <c r="K146" s="360">
        <f t="shared" si="10"/>
        <v>1.1530514424414759</v>
      </c>
      <c r="M146" s="420">
        <v>49.447228868705253</v>
      </c>
      <c r="N146" s="418">
        <f t="shared" si="11"/>
        <v>49.447228868705253</v>
      </c>
    </row>
    <row r="147" spans="2:14">
      <c r="B147" s="339">
        <f>PJM_01212000!A181</f>
        <v>40940</v>
      </c>
      <c r="C147" s="340">
        <f>VLOOKUP(B147,'Super Peak Curve'!$C$23:$AN$275,38)</f>
        <v>49.447228868705253</v>
      </c>
      <c r="E147" s="357">
        <f>VLOOKUP(B147,PJM_01212000!$J$7:$AF$230,23)</f>
        <v>1.75</v>
      </c>
      <c r="G147" s="359">
        <f t="shared" si="8"/>
        <v>0.109375</v>
      </c>
      <c r="H147" s="358"/>
      <c r="I147" s="359">
        <f t="shared" si="9"/>
        <v>2.3318828351394889E-2</v>
      </c>
      <c r="K147" s="360">
        <f t="shared" si="10"/>
        <v>1.1530514424414759</v>
      </c>
      <c r="M147" s="420">
        <v>49.447228868705253</v>
      </c>
      <c r="N147" s="418">
        <f t="shared" si="11"/>
        <v>49.447228868705253</v>
      </c>
    </row>
    <row r="148" spans="2:14">
      <c r="B148" s="339">
        <f>PJM_01212000!A182</f>
        <v>40969</v>
      </c>
      <c r="C148" s="340">
        <f>VLOOKUP(B148,'Super Peak Curve'!$C$23:$AN$275,38)</f>
        <v>36.547562177906038</v>
      </c>
      <c r="E148" s="357">
        <f>VLOOKUP(B148,PJM_01212000!$J$7:$AF$230,23)</f>
        <v>1.1000000000000001</v>
      </c>
      <c r="G148" s="359">
        <f t="shared" si="8"/>
        <v>6.8750000000000006E-2</v>
      </c>
      <c r="H148" s="358"/>
      <c r="I148" s="359">
        <f t="shared" si="9"/>
        <v>1.4657549249448218E-2</v>
      </c>
      <c r="K148" s="360">
        <f t="shared" si="10"/>
        <v>0.53569769256992872</v>
      </c>
      <c r="M148" s="420">
        <v>36.547562177906038</v>
      </c>
      <c r="N148" s="418">
        <f t="shared" si="11"/>
        <v>36.547562177906038</v>
      </c>
    </row>
    <row r="149" spans="2:14">
      <c r="B149" s="339">
        <f>PJM_01212000!A183</f>
        <v>41000</v>
      </c>
      <c r="C149" s="340">
        <f>VLOOKUP(B149,'Super Peak Curve'!$C$23:$AN$275,38)</f>
        <v>33.832356176536067</v>
      </c>
      <c r="E149" s="357">
        <f>VLOOKUP(B149,PJM_01212000!$J$7:$AF$230,23)</f>
        <v>1.2</v>
      </c>
      <c r="G149" s="359">
        <f t="shared" si="8"/>
        <v>7.4999999999999997E-2</v>
      </c>
      <c r="H149" s="358"/>
      <c r="I149" s="359">
        <f t="shared" si="9"/>
        <v>1.599005372667078E-2</v>
      </c>
      <c r="K149" s="360">
        <f t="shared" si="10"/>
        <v>0.54098119296267366</v>
      </c>
      <c r="M149" s="420">
        <v>33.832356176536067</v>
      </c>
      <c r="N149" s="418">
        <f t="shared" si="11"/>
        <v>33.832356176536067</v>
      </c>
    </row>
    <row r="150" spans="2:14">
      <c r="B150" s="339">
        <f>PJM_01212000!A184</f>
        <v>41030</v>
      </c>
      <c r="C150" s="340">
        <f>VLOOKUP(B150,'Super Peak Curve'!$C$23:$AN$275,38)</f>
        <v>41.524443376254119</v>
      </c>
      <c r="E150" s="357">
        <f>VLOOKUP(B150,PJM_01212000!$J$7:$AF$230,23)</f>
        <v>2</v>
      </c>
      <c r="G150" s="359">
        <f t="shared" si="8"/>
        <v>0.125</v>
      </c>
      <c r="H150" s="358"/>
      <c r="I150" s="359">
        <f t="shared" si="9"/>
        <v>2.6650089544451302E-2</v>
      </c>
      <c r="K150" s="360">
        <f t="shared" si="10"/>
        <v>1.1066301342606699</v>
      </c>
      <c r="M150" s="420">
        <v>41.524443376254119</v>
      </c>
      <c r="N150" s="418">
        <f t="shared" si="11"/>
        <v>41.524443376254119</v>
      </c>
    </row>
    <row r="151" spans="2:14">
      <c r="B151" s="339">
        <f>PJM_01212000!A185</f>
        <v>41061</v>
      </c>
      <c r="C151" s="340">
        <f>VLOOKUP(B151,'Super Peak Curve'!$C$23:$AN$275,38)</f>
        <v>78.789125324254542</v>
      </c>
      <c r="E151" s="357">
        <f>VLOOKUP(B151,PJM_01212000!$J$7:$AF$230,23)</f>
        <v>2.25</v>
      </c>
      <c r="G151" s="359">
        <f t="shared" si="8"/>
        <v>0.140625</v>
      </c>
      <c r="H151" s="358"/>
      <c r="I151" s="359">
        <f t="shared" si="9"/>
        <v>2.9981350737507715E-2</v>
      </c>
      <c r="K151" s="360">
        <f t="shared" si="10"/>
        <v>2.3622044006479266</v>
      </c>
      <c r="M151" s="420">
        <v>78.789125324254542</v>
      </c>
      <c r="N151" s="418">
        <f t="shared" si="11"/>
        <v>78.789125324254542</v>
      </c>
    </row>
    <row r="152" spans="2:14">
      <c r="B152" s="339">
        <f>PJM_01212000!A186</f>
        <v>41091</v>
      </c>
      <c r="C152" s="340">
        <f>VLOOKUP(B152,'Super Peak Curve'!$C$23:$AN$275,38)</f>
        <v>146.34117533810399</v>
      </c>
      <c r="E152" s="357">
        <f>VLOOKUP(B152,PJM_01212000!$J$7:$AF$230,23)</f>
        <v>3</v>
      </c>
      <c r="G152" s="359">
        <f t="shared" si="8"/>
        <v>0.1875</v>
      </c>
      <c r="H152" s="358"/>
      <c r="I152" s="359">
        <f t="shared" si="9"/>
        <v>3.9975134316676958E-2</v>
      </c>
      <c r="K152" s="360">
        <f t="shared" si="10"/>
        <v>5.8500081402010808</v>
      </c>
      <c r="M152" s="420">
        <v>146.34117533810399</v>
      </c>
      <c r="N152" s="418">
        <f t="shared" si="11"/>
        <v>146.34117533810399</v>
      </c>
    </row>
    <row r="153" spans="2:14">
      <c r="B153" s="339">
        <f>PJM_01212000!A187</f>
        <v>41122</v>
      </c>
      <c r="C153" s="340">
        <f>VLOOKUP(B153,'Super Peak Curve'!$C$23:$AN$275,38)</f>
        <v>120.83160853123218</v>
      </c>
      <c r="E153" s="357">
        <f>VLOOKUP(B153,PJM_01212000!$J$7:$AF$230,23)</f>
        <v>3</v>
      </c>
      <c r="G153" s="359">
        <f t="shared" si="8"/>
        <v>0.1875</v>
      </c>
      <c r="H153" s="358"/>
      <c r="I153" s="359">
        <f t="shared" si="9"/>
        <v>3.9975134316676958E-2</v>
      </c>
      <c r="K153" s="360">
        <f t="shared" si="10"/>
        <v>4.830259780736136</v>
      </c>
      <c r="M153" s="420">
        <v>120.83160853123218</v>
      </c>
      <c r="N153" s="418">
        <f t="shared" si="11"/>
        <v>120.83160853123218</v>
      </c>
    </row>
    <row r="154" spans="2:14">
      <c r="B154" s="339">
        <f>PJM_01212000!A188</f>
        <v>41153</v>
      </c>
      <c r="C154" s="340">
        <f>VLOOKUP(B154,'Super Peak Curve'!$C$23:$AN$275,38)</f>
        <v>43.228604063950129</v>
      </c>
      <c r="E154" s="357">
        <f>VLOOKUP(B154,PJM_01212000!$J$7:$AF$230,23)</f>
        <v>1.75</v>
      </c>
      <c r="G154" s="359">
        <f t="shared" si="8"/>
        <v>0.109375</v>
      </c>
      <c r="H154" s="358"/>
      <c r="I154" s="359">
        <f t="shared" si="9"/>
        <v>2.3318828351394889E-2</v>
      </c>
      <c r="K154" s="360">
        <f t="shared" si="10"/>
        <v>1.0080403980376647</v>
      </c>
      <c r="M154" s="420">
        <v>43.228604063950129</v>
      </c>
      <c r="N154" s="418">
        <f t="shared" si="11"/>
        <v>43.228604063950129</v>
      </c>
    </row>
    <row r="155" spans="2:14">
      <c r="B155" s="339">
        <f>PJM_01212000!A189</f>
        <v>41183</v>
      </c>
      <c r="C155" s="340">
        <f>VLOOKUP(B155,'Super Peak Curve'!$C$23:$AN$275,38)</f>
        <v>35.917217323122024</v>
      </c>
      <c r="E155" s="357">
        <f>VLOOKUP(B155,PJM_01212000!$J$7:$AF$230,23)</f>
        <v>1.5</v>
      </c>
      <c r="G155" s="359">
        <f t="shared" si="8"/>
        <v>9.375E-2</v>
      </c>
      <c r="H155" s="358"/>
      <c r="I155" s="359">
        <f t="shared" si="9"/>
        <v>1.9987567158338479E-2</v>
      </c>
      <c r="K155" s="360">
        <f t="shared" si="10"/>
        <v>0.7178977933865397</v>
      </c>
      <c r="M155" s="420">
        <v>35.917217323122024</v>
      </c>
      <c r="N155" s="418">
        <f t="shared" si="11"/>
        <v>35.917217323122024</v>
      </c>
    </row>
    <row r="156" spans="2:14">
      <c r="B156" s="339">
        <f>PJM_01212000!A190</f>
        <v>41214</v>
      </c>
      <c r="C156" s="340">
        <f>VLOOKUP(B156,'Super Peak Curve'!$C$23:$AN$275,38)</f>
        <v>36.019478097267154</v>
      </c>
      <c r="E156" s="357">
        <f>VLOOKUP(B156,PJM_01212000!$J$7:$AF$230,23)</f>
        <v>1.5</v>
      </c>
      <c r="G156" s="359">
        <f t="shared" si="8"/>
        <v>9.375E-2</v>
      </c>
      <c r="H156" s="358"/>
      <c r="I156" s="359">
        <f t="shared" si="9"/>
        <v>1.9987567158338479E-2</v>
      </c>
      <c r="K156" s="360">
        <f t="shared" si="10"/>
        <v>0.71994173747742918</v>
      </c>
      <c r="M156" s="420">
        <v>36.019478097267154</v>
      </c>
      <c r="N156" s="418">
        <f t="shared" si="11"/>
        <v>36.019478097267154</v>
      </c>
    </row>
    <row r="157" spans="2:14">
      <c r="B157" s="339">
        <f>PJM_01212000!A191</f>
        <v>41244</v>
      </c>
      <c r="C157" s="340">
        <f>VLOOKUP(B157,'Super Peak Curve'!$C$23:$AN$275,38)</f>
        <v>38.590844029383035</v>
      </c>
      <c r="E157" s="357">
        <f>VLOOKUP(B157,PJM_01212000!$J$7:$AF$230,23)</f>
        <v>1.5</v>
      </c>
      <c r="G157" s="359">
        <f t="shared" si="8"/>
        <v>9.375E-2</v>
      </c>
      <c r="H157" s="358"/>
      <c r="I157" s="359">
        <f t="shared" si="9"/>
        <v>1.9987567158338479E-2</v>
      </c>
      <c r="K157" s="360">
        <f t="shared" si="10"/>
        <v>0.77133708673425894</v>
      </c>
      <c r="M157" s="420">
        <v>38.590844029383035</v>
      </c>
      <c r="N157" s="418">
        <f t="shared" si="11"/>
        <v>38.590844029383035</v>
      </c>
    </row>
    <row r="158" spans="2:14">
      <c r="B158" s="339">
        <f>PJM_01212000!A192</f>
        <v>41275</v>
      </c>
      <c r="C158" s="340">
        <f>VLOOKUP(B158,'Super Peak Curve'!$C$23:$AN$275,38)</f>
        <v>49.753783306025554</v>
      </c>
      <c r="E158" s="357">
        <f>VLOOKUP(B158,PJM_01212000!$J$7:$AF$230,23)</f>
        <v>1.75</v>
      </c>
      <c r="G158" s="359">
        <f t="shared" si="8"/>
        <v>0.109375</v>
      </c>
      <c r="H158" s="358"/>
      <c r="I158" s="359">
        <f t="shared" si="9"/>
        <v>2.3318828351394889E-2</v>
      </c>
      <c r="K158" s="360">
        <f t="shared" si="10"/>
        <v>1.1601999327457064</v>
      </c>
      <c r="M158" s="420">
        <v>49.753783306025554</v>
      </c>
      <c r="N158" s="418">
        <f t="shared" si="11"/>
        <v>49.753783306025554</v>
      </c>
    </row>
    <row r="159" spans="2:14">
      <c r="B159" s="339">
        <f>PJM_01212000!A193</f>
        <v>41306</v>
      </c>
      <c r="C159" s="340">
        <f>VLOOKUP(B159,'Super Peak Curve'!$C$23:$AN$275,38)</f>
        <v>49.753783306025554</v>
      </c>
      <c r="E159" s="357">
        <f>VLOOKUP(B159,PJM_01212000!$J$7:$AF$230,23)</f>
        <v>1.75</v>
      </c>
      <c r="G159" s="359">
        <f t="shared" si="8"/>
        <v>0.109375</v>
      </c>
      <c r="H159" s="358"/>
      <c r="I159" s="359">
        <f t="shared" si="9"/>
        <v>2.3318828351394889E-2</v>
      </c>
      <c r="K159" s="360">
        <f t="shared" si="10"/>
        <v>1.1601999327457064</v>
      </c>
      <c r="M159" s="420">
        <v>49.753783306025554</v>
      </c>
      <c r="N159" s="418">
        <f t="shared" si="11"/>
        <v>49.753783306025554</v>
      </c>
    </row>
    <row r="160" spans="2:14">
      <c r="B160" s="339">
        <f>PJM_01212000!A194</f>
        <v>41334</v>
      </c>
      <c r="C160" s="340">
        <f>VLOOKUP(B160,'Super Peak Curve'!$C$23:$AN$275,38)</f>
        <v>36.85161842790604</v>
      </c>
      <c r="E160" s="357">
        <f>VLOOKUP(B160,PJM_01212000!$J$7:$AF$230,23)</f>
        <v>1.1000000000000001</v>
      </c>
      <c r="G160" s="359">
        <f t="shared" si="8"/>
        <v>6.8750000000000006E-2</v>
      </c>
      <c r="H160" s="358"/>
      <c r="I160" s="359">
        <f t="shared" si="9"/>
        <v>1.4657549249448218E-2</v>
      </c>
      <c r="K160" s="360">
        <f t="shared" si="10"/>
        <v>0.54015441202890624</v>
      </c>
      <c r="M160" s="420">
        <v>36.85161842790604</v>
      </c>
      <c r="N160" s="418">
        <f t="shared" si="11"/>
        <v>36.85161842790604</v>
      </c>
    </row>
    <row r="161" spans="2:14">
      <c r="B161" s="339">
        <f>PJM_01212000!A195</f>
        <v>41365</v>
      </c>
      <c r="C161" s="340">
        <f>VLOOKUP(B161,'Super Peak Curve'!$C$23:$AN$275,38)</f>
        <v>34.115946749135276</v>
      </c>
      <c r="E161" s="357">
        <f>VLOOKUP(B161,PJM_01212000!$J$7:$AF$230,23)</f>
        <v>1.2</v>
      </c>
      <c r="G161" s="359">
        <f t="shared" si="8"/>
        <v>7.4999999999999997E-2</v>
      </c>
      <c r="H161" s="358"/>
      <c r="I161" s="359">
        <f t="shared" si="9"/>
        <v>1.599005372667078E-2</v>
      </c>
      <c r="K161" s="360">
        <f t="shared" si="10"/>
        <v>0.5455158214549124</v>
      </c>
      <c r="M161" s="420">
        <v>34.115946749135276</v>
      </c>
      <c r="N161" s="418">
        <f t="shared" si="11"/>
        <v>34.115946749135276</v>
      </c>
    </row>
    <row r="162" spans="2:14">
      <c r="B162" s="339">
        <f>PJM_01212000!A196</f>
        <v>41395</v>
      </c>
      <c r="C162" s="340">
        <f>VLOOKUP(B162,'Super Peak Curve'!$C$23:$AN$275,38)</f>
        <v>41.79889442302381</v>
      </c>
      <c r="E162" s="357">
        <f>VLOOKUP(B162,PJM_01212000!$J$7:$AF$230,23)</f>
        <v>2</v>
      </c>
      <c r="G162" s="359">
        <f t="shared" si="8"/>
        <v>0.125</v>
      </c>
      <c r="H162" s="358"/>
      <c r="I162" s="359">
        <f t="shared" si="9"/>
        <v>2.6650089544451302E-2</v>
      </c>
      <c r="K162" s="360">
        <f t="shared" si="10"/>
        <v>1.1139442792326506</v>
      </c>
      <c r="M162" s="420">
        <v>41.79889442302381</v>
      </c>
      <c r="N162" s="418">
        <f t="shared" si="11"/>
        <v>41.79889442302381</v>
      </c>
    </row>
    <row r="163" spans="2:14">
      <c r="B163" s="339">
        <f>PJM_01212000!A197</f>
        <v>41426</v>
      </c>
      <c r="C163" s="340">
        <f>VLOOKUP(B163,'Super Peak Curve'!$C$23:$AN$275,38)</f>
        <v>79.714604500532701</v>
      </c>
      <c r="E163" s="357">
        <f>VLOOKUP(B163,PJM_01212000!$J$7:$AF$230,23)</f>
        <v>2.25</v>
      </c>
      <c r="G163" s="359">
        <f t="shared" si="8"/>
        <v>0.140625</v>
      </c>
      <c r="H163" s="358"/>
      <c r="I163" s="359">
        <f t="shared" si="9"/>
        <v>2.9981350737507715E-2</v>
      </c>
      <c r="K163" s="360">
        <f t="shared" si="10"/>
        <v>2.3899515164321818</v>
      </c>
      <c r="M163" s="420">
        <v>79.714604500532701</v>
      </c>
      <c r="N163" s="418">
        <f t="shared" si="11"/>
        <v>79.714604500532701</v>
      </c>
    </row>
    <row r="164" spans="2:14">
      <c r="B164" s="339">
        <f>PJM_01212000!A198</f>
        <v>41456</v>
      </c>
      <c r="C164" s="340">
        <f>VLOOKUP(B164,'Super Peak Curve'!$C$23:$AN$275,38)</f>
        <v>149.29557330604337</v>
      </c>
      <c r="E164" s="357">
        <f>VLOOKUP(B164,PJM_01212000!$J$7:$AF$230,23)</f>
        <v>3</v>
      </c>
      <c r="G164" s="359">
        <f t="shared" si="8"/>
        <v>0.1875</v>
      </c>
      <c r="H164" s="358"/>
      <c r="I164" s="359">
        <f t="shared" si="9"/>
        <v>3.9975134316676958E-2</v>
      </c>
      <c r="K164" s="360">
        <f t="shared" si="10"/>
        <v>5.968110595794375</v>
      </c>
      <c r="M164" s="420">
        <v>149.29557330604337</v>
      </c>
      <c r="N164" s="418">
        <f t="shared" si="11"/>
        <v>149.29557330604337</v>
      </c>
    </row>
    <row r="165" spans="2:14">
      <c r="B165" s="339">
        <f>PJM_01212000!A199</f>
        <v>41487</v>
      </c>
      <c r="C165" s="340">
        <f>VLOOKUP(B165,'Super Peak Curve'!$C$23:$AN$275,38)</f>
        <v>123.59312328616105</v>
      </c>
      <c r="E165" s="357">
        <f>VLOOKUP(B165,PJM_01212000!$J$7:$AF$230,23)</f>
        <v>3</v>
      </c>
      <c r="G165" s="359">
        <f t="shared" si="8"/>
        <v>0.1875</v>
      </c>
      <c r="H165" s="358"/>
      <c r="I165" s="359">
        <f t="shared" si="9"/>
        <v>3.9975134316676958E-2</v>
      </c>
      <c r="K165" s="360">
        <f t="shared" si="10"/>
        <v>4.940651703981902</v>
      </c>
      <c r="M165" s="420">
        <v>123.59312328616105</v>
      </c>
      <c r="N165" s="418">
        <f t="shared" si="11"/>
        <v>123.59312328616105</v>
      </c>
    </row>
    <row r="166" spans="2:14">
      <c r="B166" s="339">
        <f>PJM_01212000!A200</f>
        <v>41518</v>
      </c>
      <c r="C166" s="340">
        <f>VLOOKUP(B166,'Super Peak Curve'!$C$23:$AN$275,38)</f>
        <v>43.80614054793746</v>
      </c>
      <c r="E166" s="357">
        <f>VLOOKUP(B166,PJM_01212000!$J$7:$AF$230,23)</f>
        <v>1.75</v>
      </c>
      <c r="G166" s="359">
        <f t="shared" si="8"/>
        <v>0.109375</v>
      </c>
      <c r="H166" s="358"/>
      <c r="I166" s="359">
        <f t="shared" si="9"/>
        <v>2.3318828351394889E-2</v>
      </c>
      <c r="K166" s="360">
        <f t="shared" si="10"/>
        <v>1.0215078721744333</v>
      </c>
      <c r="M166" s="420">
        <v>43.80614054793746</v>
      </c>
      <c r="N166" s="418">
        <f t="shared" si="11"/>
        <v>43.80614054793746</v>
      </c>
    </row>
    <row r="167" spans="2:14">
      <c r="B167" s="339">
        <f>PJM_01212000!A201</f>
        <v>41548</v>
      </c>
      <c r="C167" s="340">
        <f>VLOOKUP(B167,'Super Peak Curve'!$C$23:$AN$275,38)</f>
        <v>36.210898573122023</v>
      </c>
      <c r="E167" s="357">
        <f>VLOOKUP(B167,PJM_01212000!$J$7:$AF$230,23)</f>
        <v>1.5</v>
      </c>
      <c r="G167" s="359">
        <f t="shared" si="8"/>
        <v>9.375E-2</v>
      </c>
      <c r="H167" s="358"/>
      <c r="I167" s="359">
        <f t="shared" si="9"/>
        <v>1.9987567158338479E-2</v>
      </c>
      <c r="K167" s="360">
        <f t="shared" si="10"/>
        <v>0.72376776709405943</v>
      </c>
      <c r="M167" s="420">
        <v>36.210898573122023</v>
      </c>
      <c r="N167" s="418">
        <f t="shared" si="11"/>
        <v>36.210898573122023</v>
      </c>
    </row>
    <row r="168" spans="2:14">
      <c r="B168" s="339">
        <f>PJM_01212000!A202</f>
        <v>41579</v>
      </c>
      <c r="C168" s="340">
        <f>VLOOKUP(B168,'Super Peak Curve'!$C$23:$AN$275,38)</f>
        <v>36.317184347267158</v>
      </c>
      <c r="E168" s="357">
        <f>VLOOKUP(B168,PJM_01212000!$J$7:$AF$230,23)</f>
        <v>1.5</v>
      </c>
      <c r="G168" s="359">
        <f t="shared" si="8"/>
        <v>9.375E-2</v>
      </c>
      <c r="H168" s="358"/>
      <c r="I168" s="359">
        <f t="shared" si="9"/>
        <v>1.9987567158338479E-2</v>
      </c>
      <c r="K168" s="360">
        <f t="shared" si="10"/>
        <v>0.72589216114276134</v>
      </c>
      <c r="M168" s="420">
        <v>36.317184347267158</v>
      </c>
      <c r="N168" s="418">
        <f t="shared" si="11"/>
        <v>36.317184347267158</v>
      </c>
    </row>
    <row r="169" spans="2:14">
      <c r="B169" s="339">
        <f>PJM_01212000!A203</f>
        <v>41609</v>
      </c>
      <c r="C169" s="340">
        <f>VLOOKUP(B169,'Super Peak Curve'!$C$23:$AN$275,38)</f>
        <v>38.892335001956646</v>
      </c>
      <c r="E169" s="357">
        <f>VLOOKUP(B169,PJM_01212000!$J$7:$AF$230,23)</f>
        <v>1.5</v>
      </c>
      <c r="G169" s="359">
        <f t="shared" si="8"/>
        <v>9.375E-2</v>
      </c>
      <c r="H169" s="358"/>
      <c r="I169" s="359">
        <f t="shared" si="9"/>
        <v>1.9987567158338479E-2</v>
      </c>
      <c r="K169" s="360">
        <f t="shared" si="10"/>
        <v>0.77736315779620679</v>
      </c>
      <c r="M169" s="420">
        <v>38.892335001956646</v>
      </c>
      <c r="N169" s="418">
        <f t="shared" si="11"/>
        <v>38.892335001956646</v>
      </c>
    </row>
    <row r="170" spans="2:14">
      <c r="B170" s="339">
        <f>PJM_01212000!A204</f>
        <v>41640</v>
      </c>
      <c r="C170" s="340">
        <f>VLOOKUP(B170,'Super Peak Curve'!$C$23:$AN$275,38)</f>
        <v>50.060337743345862</v>
      </c>
      <c r="E170" s="357">
        <f>VLOOKUP(B170,PJM_01212000!$J$7:$AF$230,23)</f>
        <v>1.75</v>
      </c>
      <c r="G170" s="359">
        <f t="shared" si="8"/>
        <v>0.109375</v>
      </c>
      <c r="H170" s="358"/>
      <c r="I170" s="359">
        <f t="shared" si="9"/>
        <v>2.3318828351394889E-2</v>
      </c>
      <c r="K170" s="360">
        <f t="shared" si="10"/>
        <v>1.1673484230499371</v>
      </c>
      <c r="M170" s="420">
        <v>50.060337743345862</v>
      </c>
      <c r="N170" s="418">
        <f t="shared" si="11"/>
        <v>50.060337743345862</v>
      </c>
    </row>
    <row r="171" spans="2:14">
      <c r="B171" s="339">
        <f>PJM_01212000!A205</f>
        <v>41671</v>
      </c>
      <c r="C171" s="340">
        <f>VLOOKUP(B171,'Super Peak Curve'!$C$23:$AN$275,38)</f>
        <v>50.060337743345862</v>
      </c>
      <c r="E171" s="357">
        <f>VLOOKUP(B171,PJM_01212000!$J$7:$AF$230,23)</f>
        <v>1.75</v>
      </c>
      <c r="G171" s="359">
        <f t="shared" si="8"/>
        <v>0.109375</v>
      </c>
      <c r="H171" s="358"/>
      <c r="I171" s="359">
        <f t="shared" si="9"/>
        <v>2.3318828351394889E-2</v>
      </c>
      <c r="K171" s="360">
        <f t="shared" si="10"/>
        <v>1.1673484230499371</v>
      </c>
      <c r="M171" s="420">
        <v>50.060337743345862</v>
      </c>
      <c r="N171" s="418">
        <f t="shared" si="11"/>
        <v>50.060337743345862</v>
      </c>
    </row>
    <row r="172" spans="2:14">
      <c r="B172" s="339">
        <f>PJM_01212000!A206</f>
        <v>41699</v>
      </c>
      <c r="C172" s="340">
        <f>VLOOKUP(B172,'Super Peak Curve'!$C$23:$AN$275,38)</f>
        <v>37.155674677906035</v>
      </c>
      <c r="E172" s="357">
        <f>VLOOKUP(B172,PJM_01212000!$J$7:$AF$230,23)</f>
        <v>1.1000000000000001</v>
      </c>
      <c r="G172" s="359">
        <f t="shared" si="8"/>
        <v>6.8750000000000006E-2</v>
      </c>
      <c r="H172" s="358"/>
      <c r="I172" s="359">
        <f t="shared" si="9"/>
        <v>1.4657549249448218E-2</v>
      </c>
      <c r="K172" s="360">
        <f t="shared" si="10"/>
        <v>0.54461113148788376</v>
      </c>
      <c r="M172" s="420">
        <v>37.155674677906035</v>
      </c>
      <c r="N172" s="418">
        <f t="shared" si="11"/>
        <v>37.155674677906035</v>
      </c>
    </row>
    <row r="173" spans="2:14">
      <c r="B173" s="339">
        <f>PJM_01212000!A207</f>
        <v>41730</v>
      </c>
      <c r="C173" s="340">
        <f>VLOOKUP(B173,'Super Peak Curve'!$C$23:$AN$275,38)</f>
        <v>34.399537321734492</v>
      </c>
      <c r="E173" s="357">
        <f>VLOOKUP(B173,PJM_01212000!$J$7:$AF$230,23)</f>
        <v>1.2</v>
      </c>
      <c r="G173" s="359">
        <f t="shared" si="8"/>
        <v>7.4999999999999997E-2</v>
      </c>
      <c r="H173" s="358"/>
      <c r="I173" s="359">
        <f t="shared" si="9"/>
        <v>1.599005372667078E-2</v>
      </c>
      <c r="K173" s="360">
        <f t="shared" si="10"/>
        <v>0.55005044994715113</v>
      </c>
      <c r="M173" s="420">
        <v>34.399537321734492</v>
      </c>
      <c r="N173" s="418">
        <f t="shared" si="11"/>
        <v>34.399537321734492</v>
      </c>
    </row>
    <row r="174" spans="2:14">
      <c r="B174" s="339">
        <f>PJM_01212000!A208</f>
        <v>41760</v>
      </c>
      <c r="C174" s="340">
        <f>VLOOKUP(B174,'Super Peak Curve'!$C$23:$AN$275,38)</f>
        <v>42.073345469793502</v>
      </c>
      <c r="E174" s="357">
        <f>VLOOKUP(B174,PJM_01212000!$J$7:$AF$230,23)</f>
        <v>2</v>
      </c>
      <c r="G174" s="359">
        <f t="shared" si="8"/>
        <v>0.125</v>
      </c>
      <c r="H174" s="358"/>
      <c r="I174" s="359">
        <f t="shared" si="9"/>
        <v>2.6650089544451302E-2</v>
      </c>
      <c r="K174" s="360">
        <f t="shared" si="10"/>
        <v>1.1212584242046313</v>
      </c>
      <c r="M174" s="420">
        <v>42.073345469793502</v>
      </c>
      <c r="N174" s="418">
        <f t="shared" si="11"/>
        <v>42.073345469793502</v>
      </c>
    </row>
    <row r="175" spans="2:14">
      <c r="B175" s="339">
        <f>PJM_01212000!A209</f>
        <v>41791</v>
      </c>
      <c r="C175" s="340">
        <f>VLOOKUP(B175,'Super Peak Curve'!$C$23:$AN$275,38)</f>
        <v>80.64008367681086</v>
      </c>
      <c r="E175" s="357">
        <f>VLOOKUP(B175,PJM_01212000!$J$7:$AF$230,23)</f>
        <v>2.25</v>
      </c>
      <c r="G175" s="359">
        <f t="shared" si="8"/>
        <v>0.140625</v>
      </c>
      <c r="H175" s="358"/>
      <c r="I175" s="359">
        <f t="shared" si="9"/>
        <v>2.9981350737507715E-2</v>
      </c>
      <c r="K175" s="360">
        <f t="shared" si="10"/>
        <v>2.4176986322164371</v>
      </c>
      <c r="M175" s="420">
        <v>80.64008367681086</v>
      </c>
      <c r="N175" s="418">
        <f t="shared" si="11"/>
        <v>80.64008367681086</v>
      </c>
    </row>
    <row r="176" spans="2:14">
      <c r="B176" s="339">
        <f>PJM_01212000!A210</f>
        <v>41821</v>
      </c>
      <c r="C176" s="340">
        <f>VLOOKUP(B176,'Super Peak Curve'!$C$23:$AN$275,38)</f>
        <v>152.24997127398271</v>
      </c>
      <c r="E176" s="357">
        <f>VLOOKUP(B176,PJM_01212000!$J$7:$AF$230,23)</f>
        <v>3</v>
      </c>
      <c r="G176" s="359">
        <f t="shared" si="8"/>
        <v>0.1875</v>
      </c>
      <c r="H176" s="358"/>
      <c r="I176" s="359">
        <f t="shared" si="9"/>
        <v>3.9975134316676958E-2</v>
      </c>
      <c r="K176" s="360">
        <f t="shared" si="10"/>
        <v>6.0862130513876673</v>
      </c>
      <c r="M176" s="420">
        <v>152.24997127398271</v>
      </c>
      <c r="N176" s="418">
        <f t="shared" si="11"/>
        <v>152.24997127398271</v>
      </c>
    </row>
    <row r="177" spans="2:14">
      <c r="B177" s="339">
        <f>PJM_01212000!A211</f>
        <v>41852</v>
      </c>
      <c r="C177" s="340">
        <f>VLOOKUP(B177,'Super Peak Curve'!$C$23:$AN$275,38)</f>
        <v>126.3546380410899</v>
      </c>
      <c r="E177" s="357">
        <f>VLOOKUP(B177,PJM_01212000!$J$7:$AF$230,23)</f>
        <v>3</v>
      </c>
      <c r="G177" s="359">
        <f t="shared" si="8"/>
        <v>0.1875</v>
      </c>
      <c r="H177" s="358"/>
      <c r="I177" s="359">
        <f t="shared" si="9"/>
        <v>3.9975134316676958E-2</v>
      </c>
      <c r="K177" s="360">
        <f t="shared" si="10"/>
        <v>5.0510436272276689</v>
      </c>
      <c r="M177" s="420">
        <v>126.3546380410899</v>
      </c>
      <c r="N177" s="418">
        <f t="shared" si="11"/>
        <v>126.3546380410899</v>
      </c>
    </row>
    <row r="178" spans="2:14">
      <c r="B178" s="339">
        <f>PJM_01212000!A212</f>
        <v>41883</v>
      </c>
      <c r="C178" s="340">
        <f>VLOOKUP(B178,'Super Peak Curve'!$C$23:$AN$275,38)</f>
        <v>44.38367703192479</v>
      </c>
      <c r="E178" s="357">
        <f>VLOOKUP(B178,PJM_01212000!$J$7:$AF$230,23)</f>
        <v>1.75</v>
      </c>
      <c r="G178" s="359">
        <f t="shared" si="8"/>
        <v>0.109375</v>
      </c>
      <c r="H178" s="358"/>
      <c r="I178" s="359">
        <f t="shared" si="9"/>
        <v>2.3318828351394889E-2</v>
      </c>
      <c r="K178" s="360">
        <f t="shared" si="10"/>
        <v>1.0349753463112019</v>
      </c>
      <c r="M178" s="420">
        <v>44.38367703192479</v>
      </c>
      <c r="N178" s="418">
        <f t="shared" si="11"/>
        <v>44.38367703192479</v>
      </c>
    </row>
    <row r="179" spans="2:14">
      <c r="B179" s="339">
        <f>PJM_01212000!A213</f>
        <v>41913</v>
      </c>
      <c r="C179" s="340">
        <f>VLOOKUP(B179,'Super Peak Curve'!$C$23:$AN$275,38)</f>
        <v>36.504579823122029</v>
      </c>
      <c r="E179" s="357">
        <f>VLOOKUP(B179,PJM_01212000!$J$7:$AF$230,23)</f>
        <v>1.5</v>
      </c>
      <c r="G179" s="359">
        <f t="shared" si="8"/>
        <v>9.375E-2</v>
      </c>
      <c r="H179" s="358"/>
      <c r="I179" s="359">
        <f t="shared" si="9"/>
        <v>1.9987567158338479E-2</v>
      </c>
      <c r="K179" s="360">
        <f t="shared" si="10"/>
        <v>0.72963774080157939</v>
      </c>
      <c r="M179" s="420">
        <v>36.504579823122029</v>
      </c>
      <c r="N179" s="418">
        <f t="shared" si="11"/>
        <v>36.504579823122029</v>
      </c>
    </row>
    <row r="180" spans="2:14">
      <c r="B180" s="339">
        <f>PJM_01212000!A214</f>
        <v>41944</v>
      </c>
      <c r="C180" s="340">
        <f>VLOOKUP(B180,'Super Peak Curve'!$C$23:$AN$275,38)</f>
        <v>36.614890597267149</v>
      </c>
      <c r="E180" s="357">
        <f>VLOOKUP(B180,PJM_01212000!$J$7:$AF$230,23)</f>
        <v>1.5</v>
      </c>
      <c r="G180" s="359">
        <f t="shared" si="8"/>
        <v>9.375E-2</v>
      </c>
      <c r="H180" s="358"/>
      <c r="I180" s="359">
        <f t="shared" si="9"/>
        <v>1.9987567158338479E-2</v>
      </c>
      <c r="K180" s="360">
        <f t="shared" si="10"/>
        <v>0.73184258480809328</v>
      </c>
      <c r="M180" s="420">
        <v>36.614890597267149</v>
      </c>
      <c r="N180" s="418">
        <f t="shared" si="11"/>
        <v>36.614890597267149</v>
      </c>
    </row>
    <row r="181" spans="2:14">
      <c r="B181" s="339">
        <f>PJM_01212000!A215</f>
        <v>41974</v>
      </c>
      <c r="C181" s="340">
        <f>VLOOKUP(B181,'Super Peak Curve'!$C$23:$AN$275,38)</f>
        <v>39.193825974530256</v>
      </c>
      <c r="E181" s="357">
        <f>VLOOKUP(B181,PJM_01212000!$J$7:$AF$230,23)</f>
        <v>1.5</v>
      </c>
      <c r="G181" s="359">
        <f t="shared" si="8"/>
        <v>9.375E-2</v>
      </c>
      <c r="H181" s="358"/>
      <c r="I181" s="359">
        <f t="shared" si="9"/>
        <v>1.9987567158338479E-2</v>
      </c>
      <c r="K181" s="360">
        <f t="shared" si="10"/>
        <v>0.78338922885815454</v>
      </c>
      <c r="M181" s="420">
        <v>39.193825974530256</v>
      </c>
      <c r="N181" s="418">
        <f t="shared" si="11"/>
        <v>39.193825974530256</v>
      </c>
    </row>
    <row r="182" spans="2:14">
      <c r="B182" s="339">
        <f>PJM_01212000!A216</f>
        <v>42005</v>
      </c>
      <c r="C182" s="340">
        <f>VLOOKUP(B182,'Super Peak Curve'!$C$23:$AN$275,38)</f>
        <v>50.366892180666163</v>
      </c>
      <c r="E182" s="357">
        <f>VLOOKUP(B182,PJM_01212000!$J$7:$AF$230,23)</f>
        <v>1.75</v>
      </c>
      <c r="G182" s="359">
        <f t="shared" si="8"/>
        <v>0.109375</v>
      </c>
      <c r="H182" s="358"/>
      <c r="I182" s="359">
        <f t="shared" si="9"/>
        <v>2.3318828351394889E-2</v>
      </c>
      <c r="K182" s="360">
        <f t="shared" si="10"/>
        <v>1.1744969133541676</v>
      </c>
      <c r="M182" s="420">
        <v>50.366892180666163</v>
      </c>
      <c r="N182" s="418">
        <f t="shared" si="11"/>
        <v>50.366892180666163</v>
      </c>
    </row>
    <row r="183" spans="2:14">
      <c r="B183" s="339">
        <f>PJM_01212000!A217</f>
        <v>42036</v>
      </c>
      <c r="C183" s="340">
        <f>VLOOKUP(B183,'Super Peak Curve'!$C$23:$AN$275,38)</f>
        <v>50.366892180666163</v>
      </c>
      <c r="E183" s="357">
        <f>VLOOKUP(B183,PJM_01212000!$J$7:$AF$230,23)</f>
        <v>1.75</v>
      </c>
      <c r="G183" s="359">
        <f t="shared" ref="G183:G225" si="12">E183/(256)^(1/2)</f>
        <v>0.109375</v>
      </c>
      <c r="H183" s="358"/>
      <c r="I183" s="359">
        <f t="shared" ref="I183:I225" si="13">(G183/(22)^(1/2))</f>
        <v>2.3318828351394889E-2</v>
      </c>
      <c r="K183" s="360">
        <f t="shared" ref="K183:K225" si="14">I183*C183</f>
        <v>1.1744969133541676</v>
      </c>
      <c r="M183" s="420">
        <v>50.366892180666163</v>
      </c>
      <c r="N183" s="418">
        <f t="shared" si="11"/>
        <v>50.366892180666163</v>
      </c>
    </row>
    <row r="184" spans="2:14">
      <c r="B184" s="339">
        <f>PJM_01212000!A218</f>
        <v>42064</v>
      </c>
      <c r="C184" s="340">
        <f>VLOOKUP(B184,'Super Peak Curve'!$C$23:$AN$275,38)</f>
        <v>37.459730927906037</v>
      </c>
      <c r="E184" s="357">
        <f>VLOOKUP(B184,PJM_01212000!$J$7:$AF$230,23)</f>
        <v>1.1000000000000001</v>
      </c>
      <c r="G184" s="359">
        <f t="shared" si="12"/>
        <v>6.8750000000000006E-2</v>
      </c>
      <c r="H184" s="358"/>
      <c r="I184" s="359">
        <f t="shared" si="13"/>
        <v>1.4657549249448218E-2</v>
      </c>
      <c r="K184" s="360">
        <f t="shared" si="14"/>
        <v>0.54906785094686128</v>
      </c>
      <c r="M184" s="420">
        <v>37.459730927906037</v>
      </c>
      <c r="N184" s="418">
        <f t="shared" si="11"/>
        <v>37.459730927906037</v>
      </c>
    </row>
    <row r="185" spans="2:14">
      <c r="B185" s="339">
        <f>PJM_01212000!A219</f>
        <v>42095</v>
      </c>
      <c r="C185" s="340">
        <f>VLOOKUP(B185,'Super Peak Curve'!$C$23:$AN$275,38)</f>
        <v>34.683127894333708</v>
      </c>
      <c r="E185" s="357">
        <f>VLOOKUP(B185,PJM_01212000!$J$7:$AF$230,23)</f>
        <v>1.2</v>
      </c>
      <c r="G185" s="359">
        <f t="shared" si="12"/>
        <v>7.4999999999999997E-2</v>
      </c>
      <c r="H185" s="358"/>
      <c r="I185" s="359">
        <f t="shared" si="13"/>
        <v>1.599005372667078E-2</v>
      </c>
      <c r="K185" s="360">
        <f t="shared" si="14"/>
        <v>0.55458507843938998</v>
      </c>
      <c r="M185" s="420">
        <v>34.683127894333708</v>
      </c>
      <c r="N185" s="418">
        <f t="shared" si="11"/>
        <v>34.683127894333708</v>
      </c>
    </row>
    <row r="186" spans="2:14">
      <c r="B186" s="339">
        <f>PJM_01212000!A220</f>
        <v>42125</v>
      </c>
      <c r="C186" s="340">
        <f>VLOOKUP(B186,'Super Peak Curve'!$C$23:$AN$275,38)</f>
        <v>42.347796516563193</v>
      </c>
      <c r="E186" s="357">
        <f>VLOOKUP(B186,PJM_01212000!$J$7:$AF$230,23)</f>
        <v>2</v>
      </c>
      <c r="G186" s="359">
        <f t="shared" si="12"/>
        <v>0.125</v>
      </c>
      <c r="H186" s="358"/>
      <c r="I186" s="359">
        <f t="shared" si="13"/>
        <v>2.6650089544451302E-2</v>
      </c>
      <c r="K186" s="360">
        <f t="shared" si="14"/>
        <v>1.128572569176612</v>
      </c>
      <c r="M186" s="420">
        <v>42.347796516563193</v>
      </c>
      <c r="N186" s="418">
        <f t="shared" si="11"/>
        <v>42.347796516563193</v>
      </c>
    </row>
    <row r="187" spans="2:14">
      <c r="B187" s="339">
        <f>PJM_01212000!A221</f>
        <v>42156</v>
      </c>
      <c r="C187" s="340">
        <f>VLOOKUP(B187,'Super Peak Curve'!$C$23:$AN$275,38)</f>
        <v>81.565562853089006</v>
      </c>
      <c r="E187" s="357">
        <f>VLOOKUP(B187,PJM_01212000!$J$7:$AF$230,23)</f>
        <v>2.25</v>
      </c>
      <c r="G187" s="359">
        <f t="shared" si="12"/>
        <v>0.140625</v>
      </c>
      <c r="H187" s="358"/>
      <c r="I187" s="359">
        <f t="shared" si="13"/>
        <v>2.9981350737507715E-2</v>
      </c>
      <c r="K187" s="360">
        <f t="shared" si="14"/>
        <v>2.4454457480006919</v>
      </c>
      <c r="M187" s="420">
        <v>81.565562853089006</v>
      </c>
      <c r="N187" s="418">
        <f t="shared" si="11"/>
        <v>81.565562853089006</v>
      </c>
    </row>
    <row r="188" spans="2:14">
      <c r="B188" s="339">
        <f>PJM_01212000!A222</f>
        <v>42186</v>
      </c>
      <c r="C188" s="340">
        <f>VLOOKUP(B188,'Super Peak Curve'!$C$23:$AN$275,38)</f>
        <v>155.20436924192205</v>
      </c>
      <c r="E188" s="357">
        <f>VLOOKUP(B188,PJM_01212000!$J$7:$AF$230,23)</f>
        <v>3</v>
      </c>
      <c r="G188" s="359">
        <f t="shared" si="12"/>
        <v>0.1875</v>
      </c>
      <c r="H188" s="358"/>
      <c r="I188" s="359">
        <f t="shared" si="13"/>
        <v>3.9975134316676958E-2</v>
      </c>
      <c r="K188" s="360">
        <f t="shared" si="14"/>
        <v>6.2043155069809597</v>
      </c>
      <c r="M188" s="420">
        <v>155.20436924192205</v>
      </c>
      <c r="N188" s="418">
        <f t="shared" si="11"/>
        <v>155.20436924192205</v>
      </c>
    </row>
    <row r="189" spans="2:14">
      <c r="B189" s="339">
        <f>PJM_01212000!A223</f>
        <v>42217</v>
      </c>
      <c r="C189" s="340">
        <f>VLOOKUP(B189,'Super Peak Curve'!$C$23:$AN$275,38)</f>
        <v>129.11615279601878</v>
      </c>
      <c r="E189" s="357">
        <f>VLOOKUP(B189,PJM_01212000!$J$7:$AF$230,23)</f>
        <v>3</v>
      </c>
      <c r="G189" s="359">
        <f t="shared" si="12"/>
        <v>0.1875</v>
      </c>
      <c r="H189" s="358"/>
      <c r="I189" s="359">
        <f t="shared" si="13"/>
        <v>3.9975134316676958E-2</v>
      </c>
      <c r="K189" s="360">
        <f t="shared" si="14"/>
        <v>5.1614355504734357</v>
      </c>
      <c r="M189" s="420">
        <v>129.11615279601878</v>
      </c>
      <c r="N189" s="418">
        <f t="shared" si="11"/>
        <v>129.11615279601878</v>
      </c>
    </row>
    <row r="190" spans="2:14">
      <c r="B190" s="339">
        <f>PJM_01212000!A224</f>
        <v>42248</v>
      </c>
      <c r="C190" s="340">
        <f>VLOOKUP(B190,'Super Peak Curve'!$C$23:$AN$275,38)</f>
        <v>44.961213515912121</v>
      </c>
      <c r="E190" s="357">
        <f>VLOOKUP(B190,PJM_01212000!$J$7:$AF$230,23)</f>
        <v>1.75</v>
      </c>
      <c r="G190" s="359">
        <f t="shared" si="12"/>
        <v>0.109375</v>
      </c>
      <c r="H190" s="358"/>
      <c r="I190" s="359">
        <f t="shared" si="13"/>
        <v>2.3318828351394889E-2</v>
      </c>
      <c r="K190" s="360">
        <f t="shared" si="14"/>
        <v>1.0484428204479705</v>
      </c>
      <c r="M190" s="420">
        <v>44.961213515912121</v>
      </c>
      <c r="N190" s="418">
        <f t="shared" si="11"/>
        <v>44.961213515912121</v>
      </c>
    </row>
    <row r="191" spans="2:14">
      <c r="B191" s="339">
        <f>PJM_01212000!A225</f>
        <v>42278</v>
      </c>
      <c r="C191" s="340">
        <f>VLOOKUP(B191,'Super Peak Curve'!$C$23:$AN$275,38)</f>
        <v>36.798261073122028</v>
      </c>
      <c r="E191" s="357">
        <f>VLOOKUP(B191,PJM_01212000!$J$7:$AF$230,23)</f>
        <v>1.5</v>
      </c>
      <c r="G191" s="359">
        <f t="shared" si="12"/>
        <v>9.375E-2</v>
      </c>
      <c r="H191" s="358"/>
      <c r="I191" s="359">
        <f t="shared" si="13"/>
        <v>1.9987567158338479E-2</v>
      </c>
      <c r="K191" s="360">
        <f t="shared" si="14"/>
        <v>0.73550771450909913</v>
      </c>
      <c r="M191" s="420">
        <v>36.798261073122028</v>
      </c>
      <c r="N191" s="418">
        <f t="shared" si="11"/>
        <v>36.798261073122028</v>
      </c>
    </row>
    <row r="192" spans="2:14">
      <c r="B192" s="339">
        <f>PJM_01212000!A226</f>
        <v>42309</v>
      </c>
      <c r="C192" s="340">
        <f>VLOOKUP(B192,'Super Peak Curve'!$C$23:$AN$275,38)</f>
        <v>36.912596847267153</v>
      </c>
      <c r="E192" s="357">
        <f>VLOOKUP(B192,PJM_01212000!$J$7:$AF$230,23)</f>
        <v>1.5</v>
      </c>
      <c r="G192" s="359">
        <f t="shared" si="12"/>
        <v>9.375E-2</v>
      </c>
      <c r="H192" s="358"/>
      <c r="I192" s="359">
        <f t="shared" si="13"/>
        <v>1.9987567158338479E-2</v>
      </c>
      <c r="K192" s="360">
        <f t="shared" si="14"/>
        <v>0.73779300847342544</v>
      </c>
      <c r="M192" s="420">
        <v>36.912596847267153</v>
      </c>
      <c r="N192" s="418">
        <f t="shared" si="11"/>
        <v>36.912596847267153</v>
      </c>
    </row>
    <row r="193" spans="2:14">
      <c r="B193" s="339">
        <f>PJM_01212000!A227</f>
        <v>42339</v>
      </c>
      <c r="C193" s="340">
        <f>VLOOKUP(B193,'Super Peak Curve'!$C$23:$AN$275,38)</f>
        <v>39.495316947103859</v>
      </c>
      <c r="E193" s="357">
        <f>VLOOKUP(B193,PJM_01212000!$J$7:$AF$230,23)</f>
        <v>1.5</v>
      </c>
      <c r="G193" s="359">
        <f t="shared" si="12"/>
        <v>9.375E-2</v>
      </c>
      <c r="H193" s="358"/>
      <c r="I193" s="359">
        <f t="shared" si="13"/>
        <v>1.9987567158338479E-2</v>
      </c>
      <c r="K193" s="360">
        <f t="shared" si="14"/>
        <v>0.78941529992010229</v>
      </c>
      <c r="M193" s="420">
        <v>39.495316947103859</v>
      </c>
      <c r="N193" s="418">
        <f t="shared" si="11"/>
        <v>39.495316947103859</v>
      </c>
    </row>
    <row r="194" spans="2:14">
      <c r="B194" s="339">
        <f>PJM_01212000!A228</f>
        <v>42370</v>
      </c>
      <c r="C194" s="340">
        <f>VLOOKUP(B194,'Super Peak Curve'!$C$23:$AN$275,38)</f>
        <v>50.673446617986471</v>
      </c>
      <c r="E194" s="357">
        <f>VLOOKUP(B194,PJM_01212000!$J$7:$AF$230,23)</f>
        <v>1.75</v>
      </c>
      <c r="G194" s="359">
        <f t="shared" si="12"/>
        <v>0.109375</v>
      </c>
      <c r="H194" s="358"/>
      <c r="I194" s="359">
        <f t="shared" si="13"/>
        <v>2.3318828351394889E-2</v>
      </c>
      <c r="K194" s="360">
        <f t="shared" si="14"/>
        <v>1.1816454036583983</v>
      </c>
      <c r="M194" s="420">
        <v>50.673446617986471</v>
      </c>
      <c r="N194" s="418">
        <f t="shared" si="11"/>
        <v>50.673446617986471</v>
      </c>
    </row>
    <row r="195" spans="2:14">
      <c r="B195" s="339">
        <f>PJM_01212000!A229</f>
        <v>42401</v>
      </c>
      <c r="C195" s="340">
        <f>VLOOKUP(B195,'Super Peak Curve'!$C$23:$AN$275,38)</f>
        <v>50.673446617986471</v>
      </c>
      <c r="E195" s="357">
        <f>VLOOKUP(B195,PJM_01212000!$J$7:$AF$230,23)</f>
        <v>1.75</v>
      </c>
      <c r="G195" s="359">
        <f t="shared" si="12"/>
        <v>0.109375</v>
      </c>
      <c r="H195" s="358"/>
      <c r="I195" s="359">
        <f t="shared" si="13"/>
        <v>2.3318828351394889E-2</v>
      </c>
      <c r="K195" s="360">
        <f t="shared" si="14"/>
        <v>1.1816454036583983</v>
      </c>
      <c r="M195" s="420">
        <v>50.673446617986471</v>
      </c>
      <c r="N195" s="418">
        <f t="shared" si="11"/>
        <v>50.673446617986471</v>
      </c>
    </row>
    <row r="196" spans="2:14">
      <c r="B196" s="339">
        <f>PJM_01212000!A230</f>
        <v>42430</v>
      </c>
      <c r="C196" s="340">
        <f>VLOOKUP(B196,'Super Peak Curve'!$C$23:$AN$275,38)</f>
        <v>37.763787177906039</v>
      </c>
      <c r="E196" s="357">
        <f>VLOOKUP(B196,PJM_01212000!$J$7:$AF$230,23)</f>
        <v>1.1000000000000001</v>
      </c>
      <c r="G196" s="359">
        <f t="shared" si="12"/>
        <v>6.8750000000000006E-2</v>
      </c>
      <c r="H196" s="358"/>
      <c r="I196" s="359">
        <f t="shared" si="13"/>
        <v>1.4657549249448218E-2</v>
      </c>
      <c r="K196" s="360">
        <f t="shared" si="14"/>
        <v>0.55352457040583891</v>
      </c>
      <c r="M196" s="420">
        <v>37.763787177906039</v>
      </c>
      <c r="N196" s="418">
        <f t="shared" si="11"/>
        <v>37.763787177906039</v>
      </c>
    </row>
    <row r="197" spans="2:14">
      <c r="B197" s="339">
        <f>PJM_01212000!A231</f>
        <v>42461</v>
      </c>
      <c r="C197" s="340">
        <f>VLOOKUP(B197,'Super Peak Curve'!$C$23:$AN$275,38)</f>
        <v>34.966718466932925</v>
      </c>
      <c r="E197" s="357">
        <f>VLOOKUP(B197,PJM_01212000!$J$7:$AF$230,23)</f>
        <v>1.2</v>
      </c>
      <c r="G197" s="359">
        <f t="shared" si="12"/>
        <v>7.4999999999999997E-2</v>
      </c>
      <c r="H197" s="358"/>
      <c r="I197" s="359">
        <f t="shared" si="13"/>
        <v>1.599005372667078E-2</v>
      </c>
      <c r="K197" s="360">
        <f t="shared" si="14"/>
        <v>0.55911970693162882</v>
      </c>
      <c r="M197" s="420">
        <v>34.966718466932925</v>
      </c>
      <c r="N197" s="418">
        <f t="shared" ref="N197:N225" si="15">M197</f>
        <v>34.966718466932925</v>
      </c>
    </row>
    <row r="198" spans="2:14">
      <c r="B198" s="339">
        <f>PJM_01212000!A232</f>
        <v>42491</v>
      </c>
      <c r="C198" s="340">
        <f>VLOOKUP(B198,'Super Peak Curve'!$C$23:$AN$275,38)</f>
        <v>42.622247563332877</v>
      </c>
      <c r="E198" s="357">
        <f>VLOOKUP(B198,PJM_01212000!$J$7:$AF$230,23)</f>
        <v>2</v>
      </c>
      <c r="G198" s="359">
        <f t="shared" si="12"/>
        <v>0.125</v>
      </c>
      <c r="H198" s="358"/>
      <c r="I198" s="359">
        <f t="shared" si="13"/>
        <v>2.6650089544451302E-2</v>
      </c>
      <c r="K198" s="360">
        <f t="shared" si="14"/>
        <v>1.1358867141485924</v>
      </c>
      <c r="M198" s="420">
        <v>42.622247563332877</v>
      </c>
      <c r="N198" s="418">
        <f t="shared" si="15"/>
        <v>42.622247563332877</v>
      </c>
    </row>
    <row r="199" spans="2:14">
      <c r="B199" s="339">
        <f>PJM_01212000!A233</f>
        <v>42522</v>
      </c>
      <c r="C199" s="340">
        <f>VLOOKUP(B199,'Super Peak Curve'!$C$23:$AN$275,38)</f>
        <v>82.491042029367151</v>
      </c>
      <c r="E199" s="357">
        <f>VLOOKUP(B199,PJM_01212000!$J$7:$AF$230,23)</f>
        <v>2.25</v>
      </c>
      <c r="G199" s="359">
        <f t="shared" si="12"/>
        <v>0.140625</v>
      </c>
      <c r="H199" s="358"/>
      <c r="I199" s="359">
        <f t="shared" si="13"/>
        <v>2.9981350737507715E-2</v>
      </c>
      <c r="K199" s="360">
        <f t="shared" si="14"/>
        <v>2.4731928637849467</v>
      </c>
      <c r="M199" s="420">
        <v>82.491042029367151</v>
      </c>
      <c r="N199" s="418">
        <f t="shared" si="15"/>
        <v>82.491042029367151</v>
      </c>
    </row>
    <row r="200" spans="2:14">
      <c r="B200" s="339">
        <f>PJM_01212000!A234</f>
        <v>42552</v>
      </c>
      <c r="C200" s="340">
        <f>VLOOKUP(B200,'Super Peak Curve'!$C$23:$AN$275,38)</f>
        <v>158.15876720986142</v>
      </c>
      <c r="E200" s="357">
        <f>VLOOKUP(B200,PJM_01212000!$J$7:$AF$230,23)</f>
        <v>3</v>
      </c>
      <c r="G200" s="359">
        <f t="shared" si="12"/>
        <v>0.1875</v>
      </c>
      <c r="H200" s="358"/>
      <c r="I200" s="359">
        <f t="shared" si="13"/>
        <v>3.9975134316676958E-2</v>
      </c>
      <c r="K200" s="360">
        <f t="shared" si="14"/>
        <v>6.3224179625742538</v>
      </c>
      <c r="M200" s="420">
        <v>158.15876720986142</v>
      </c>
      <c r="N200" s="418">
        <f t="shared" si="15"/>
        <v>158.15876720986142</v>
      </c>
    </row>
    <row r="201" spans="2:14">
      <c r="B201" s="339">
        <f>PJM_01212000!A235</f>
        <v>42583</v>
      </c>
      <c r="C201" s="340">
        <f>VLOOKUP(B201,'Super Peak Curve'!$C$23:$AN$275,38)</f>
        <v>131.87766755094762</v>
      </c>
      <c r="E201" s="357">
        <f>VLOOKUP(B201,PJM_01212000!$J$7:$AF$230,23)</f>
        <v>3</v>
      </c>
      <c r="G201" s="359">
        <f t="shared" si="12"/>
        <v>0.1875</v>
      </c>
      <c r="H201" s="358"/>
      <c r="I201" s="359">
        <f t="shared" si="13"/>
        <v>3.9975134316676958E-2</v>
      </c>
      <c r="K201" s="360">
        <f t="shared" si="14"/>
        <v>5.2718274737192017</v>
      </c>
      <c r="M201" s="420">
        <v>131.87766755094762</v>
      </c>
      <c r="N201" s="418">
        <f t="shared" si="15"/>
        <v>131.87766755094762</v>
      </c>
    </row>
    <row r="202" spans="2:14">
      <c r="B202" s="339">
        <f>PJM_01212000!A236</f>
        <v>42614</v>
      </c>
      <c r="C202" s="340">
        <f>VLOOKUP(B202,'Super Peak Curve'!$C$23:$AN$275,38)</f>
        <v>45.538749999899451</v>
      </c>
      <c r="E202" s="357">
        <f>VLOOKUP(B202,PJM_01212000!$J$7:$AF$230,23)</f>
        <v>1.75</v>
      </c>
      <c r="G202" s="359">
        <f t="shared" si="12"/>
        <v>0.109375</v>
      </c>
      <c r="H202" s="358"/>
      <c r="I202" s="359">
        <f t="shared" si="13"/>
        <v>2.3318828351394889E-2</v>
      </c>
      <c r="K202" s="360">
        <f t="shared" si="14"/>
        <v>1.0619102945847394</v>
      </c>
      <c r="M202" s="420">
        <v>45.538749999899451</v>
      </c>
      <c r="N202" s="418">
        <f t="shared" si="15"/>
        <v>45.538749999899451</v>
      </c>
    </row>
    <row r="203" spans="2:14">
      <c r="B203" s="339">
        <f>PJM_01212000!A237</f>
        <v>42644</v>
      </c>
      <c r="C203" s="340">
        <f>VLOOKUP(B203,'Super Peak Curve'!$C$23:$AN$275,38)</f>
        <v>37.091942323122026</v>
      </c>
      <c r="E203" s="357">
        <f>VLOOKUP(B203,PJM_01212000!$J$7:$AF$230,23)</f>
        <v>1.5</v>
      </c>
      <c r="G203" s="359">
        <f t="shared" si="12"/>
        <v>9.375E-2</v>
      </c>
      <c r="H203" s="358"/>
      <c r="I203" s="359">
        <f t="shared" si="13"/>
        <v>1.9987567158338479E-2</v>
      </c>
      <c r="K203" s="360">
        <f t="shared" si="14"/>
        <v>0.74137768821661887</v>
      </c>
      <c r="M203" s="420">
        <v>37.091942323122026</v>
      </c>
      <c r="N203" s="418">
        <f t="shared" si="15"/>
        <v>37.091942323122026</v>
      </c>
    </row>
    <row r="204" spans="2:14">
      <c r="B204" s="339">
        <f>PJM_01212000!A238</f>
        <v>42675</v>
      </c>
      <c r="C204" s="340">
        <f>VLOOKUP(B204,'Super Peak Curve'!$C$23:$AN$275,38)</f>
        <v>37.210303097267158</v>
      </c>
      <c r="E204" s="357">
        <f>VLOOKUP(B204,PJM_01212000!$J$7:$AF$230,23)</f>
        <v>1.5</v>
      </c>
      <c r="G204" s="359">
        <f t="shared" si="12"/>
        <v>9.375E-2</v>
      </c>
      <c r="H204" s="358"/>
      <c r="I204" s="359">
        <f t="shared" si="13"/>
        <v>1.9987567158338479E-2</v>
      </c>
      <c r="K204" s="360">
        <f t="shared" si="14"/>
        <v>0.7437434321387576</v>
      </c>
      <c r="M204" s="420">
        <v>37.210303097267158</v>
      </c>
      <c r="N204" s="418">
        <f t="shared" si="15"/>
        <v>37.210303097267158</v>
      </c>
    </row>
    <row r="205" spans="2:14">
      <c r="B205" s="339">
        <f>PJM_01212000!A239</f>
        <v>42705</v>
      </c>
      <c r="C205" s="340">
        <f>VLOOKUP(B205,'Super Peak Curve'!$C$23:$AN$275,38)</f>
        <v>39.79680791967747</v>
      </c>
      <c r="E205" s="357">
        <f>VLOOKUP(B205,PJM_01212000!$J$7:$AF$230,23)</f>
        <v>1.5</v>
      </c>
      <c r="G205" s="359">
        <f t="shared" si="12"/>
        <v>9.375E-2</v>
      </c>
      <c r="H205" s="358"/>
      <c r="I205" s="359">
        <f t="shared" si="13"/>
        <v>1.9987567158338479E-2</v>
      </c>
      <c r="K205" s="360">
        <f t="shared" si="14"/>
        <v>0.79544137098205003</v>
      </c>
      <c r="M205" s="420">
        <v>39.79680791967747</v>
      </c>
      <c r="N205" s="418">
        <f t="shared" si="15"/>
        <v>39.79680791967747</v>
      </c>
    </row>
    <row r="206" spans="2:14">
      <c r="B206" s="339">
        <f>PJM_01212000!A240</f>
        <v>42736</v>
      </c>
      <c r="C206" s="340">
        <f>VLOOKUP(B206,'Super Peak Curve'!$C$23:$AN$275,38)</f>
        <v>50.980001055306772</v>
      </c>
      <c r="E206" s="357">
        <f>VLOOKUP(B206,PJM_01212000!$J$7:$AF$230,23)</f>
        <v>1.75</v>
      </c>
      <c r="G206" s="359">
        <f t="shared" si="12"/>
        <v>0.109375</v>
      </c>
      <c r="H206" s="358"/>
      <c r="I206" s="359">
        <f t="shared" si="13"/>
        <v>2.3318828351394889E-2</v>
      </c>
      <c r="K206" s="360">
        <f t="shared" si="14"/>
        <v>1.1887938939626288</v>
      </c>
      <c r="M206" s="420">
        <v>50.980001055306772</v>
      </c>
      <c r="N206" s="418">
        <f t="shared" si="15"/>
        <v>50.980001055306772</v>
      </c>
    </row>
    <row r="207" spans="2:14">
      <c r="B207" s="339">
        <f>PJM_01212000!A241</f>
        <v>42767</v>
      </c>
      <c r="C207" s="340">
        <f>VLOOKUP(B207,'Super Peak Curve'!$C$23:$AN$275,38)</f>
        <v>50.980001055306772</v>
      </c>
      <c r="E207" s="357">
        <f>VLOOKUP(B207,PJM_01212000!$J$7:$AF$230,23)</f>
        <v>1.75</v>
      </c>
      <c r="G207" s="359">
        <f t="shared" si="12"/>
        <v>0.109375</v>
      </c>
      <c r="H207" s="358"/>
      <c r="I207" s="359">
        <f t="shared" si="13"/>
        <v>2.3318828351394889E-2</v>
      </c>
      <c r="K207" s="360">
        <f t="shared" si="14"/>
        <v>1.1887938939626288</v>
      </c>
      <c r="M207" s="420">
        <v>50.980001055306772</v>
      </c>
      <c r="N207" s="418">
        <f t="shared" si="15"/>
        <v>50.980001055306772</v>
      </c>
    </row>
    <row r="208" spans="2:14">
      <c r="B208" s="339">
        <f>PJM_01212000!A242</f>
        <v>42795</v>
      </c>
      <c r="C208" s="340">
        <f>VLOOKUP(B208,'Super Peak Curve'!$C$23:$AN$275,38)</f>
        <v>38.067843427906041</v>
      </c>
      <c r="E208" s="357">
        <f>VLOOKUP(B208,PJM_01212000!$J$7:$AF$230,23)</f>
        <v>1.1000000000000001</v>
      </c>
      <c r="G208" s="359">
        <f t="shared" si="12"/>
        <v>6.8750000000000006E-2</v>
      </c>
      <c r="H208" s="358"/>
      <c r="I208" s="359">
        <f t="shared" si="13"/>
        <v>1.4657549249448218E-2</v>
      </c>
      <c r="K208" s="360">
        <f t="shared" si="14"/>
        <v>0.55798128986481643</v>
      </c>
      <c r="M208" s="420">
        <v>38.067843427906041</v>
      </c>
      <c r="N208" s="418">
        <f t="shared" si="15"/>
        <v>38.067843427906041</v>
      </c>
    </row>
    <row r="209" spans="2:14">
      <c r="B209" s="339">
        <f>PJM_01212000!A243</f>
        <v>42826</v>
      </c>
      <c r="C209" s="340">
        <f>VLOOKUP(B209,'Super Peak Curve'!$C$23:$AN$275,38)</f>
        <v>35.250309039532141</v>
      </c>
      <c r="E209" s="357">
        <f>VLOOKUP(B209,PJM_01212000!$J$7:$AF$230,23)</f>
        <v>1.2</v>
      </c>
      <c r="G209" s="359">
        <f t="shared" si="12"/>
        <v>7.4999999999999997E-2</v>
      </c>
      <c r="H209" s="358"/>
      <c r="I209" s="359">
        <f t="shared" si="13"/>
        <v>1.599005372667078E-2</v>
      </c>
      <c r="K209" s="360">
        <f t="shared" si="14"/>
        <v>0.56365433542386756</v>
      </c>
      <c r="M209" s="420">
        <v>35.250309039532141</v>
      </c>
      <c r="N209" s="418">
        <f t="shared" si="15"/>
        <v>35.250309039532141</v>
      </c>
    </row>
    <row r="210" spans="2:14">
      <c r="B210" s="339">
        <f>PJM_01212000!A244</f>
        <v>42856</v>
      </c>
      <c r="C210" s="340">
        <f>VLOOKUP(B210,'Super Peak Curve'!$C$23:$AN$275,38)</f>
        <v>42.896698610102575</v>
      </c>
      <c r="E210" s="357">
        <f>VLOOKUP(B210,PJM_01212000!$J$7:$AF$230,23)</f>
        <v>2</v>
      </c>
      <c r="G210" s="359">
        <f t="shared" si="12"/>
        <v>0.125</v>
      </c>
      <c r="H210" s="358"/>
      <c r="I210" s="359">
        <f t="shared" si="13"/>
        <v>2.6650089544451302E-2</v>
      </c>
      <c r="K210" s="360">
        <f t="shared" si="14"/>
        <v>1.1432008591205733</v>
      </c>
      <c r="M210" s="420">
        <v>42.896698610102575</v>
      </c>
      <c r="N210" s="418">
        <f t="shared" si="15"/>
        <v>42.896698610102575</v>
      </c>
    </row>
    <row r="211" spans="2:14">
      <c r="B211" s="339">
        <f>PJM_01212000!A245</f>
        <v>42887</v>
      </c>
      <c r="C211" s="340">
        <f>VLOOKUP(B211,'Super Peak Curve'!$C$23:$AN$275,38)</f>
        <v>83.416521205645296</v>
      </c>
      <c r="E211" s="357">
        <f>VLOOKUP(B211,PJM_01212000!$J$7:$AF$230,23)</f>
        <v>2.25</v>
      </c>
      <c r="G211" s="359">
        <f t="shared" si="12"/>
        <v>0.140625</v>
      </c>
      <c r="H211" s="358"/>
      <c r="I211" s="359">
        <f t="shared" si="13"/>
        <v>2.9981350737507715E-2</v>
      </c>
      <c r="K211" s="360">
        <f t="shared" si="14"/>
        <v>2.5009399795692016</v>
      </c>
      <c r="M211" s="420">
        <v>83.416521205645296</v>
      </c>
      <c r="N211" s="418">
        <f t="shared" si="15"/>
        <v>83.416521205645296</v>
      </c>
    </row>
    <row r="212" spans="2:14">
      <c r="B212" s="339">
        <f>PJM_01212000!A246</f>
        <v>42917</v>
      </c>
      <c r="C212" s="340">
        <f>VLOOKUP(B212,'Super Peak Curve'!$C$23:$AN$275,38)</f>
        <v>161.11316517780077</v>
      </c>
      <c r="E212" s="357">
        <f>VLOOKUP(B212,PJM_01212000!$J$7:$AF$230,23)</f>
        <v>3</v>
      </c>
      <c r="G212" s="359">
        <f t="shared" si="12"/>
        <v>0.1875</v>
      </c>
      <c r="H212" s="358"/>
      <c r="I212" s="359">
        <f t="shared" si="13"/>
        <v>3.9975134316676958E-2</v>
      </c>
      <c r="K212" s="360">
        <f t="shared" si="14"/>
        <v>6.4405204181675462</v>
      </c>
      <c r="M212" s="420">
        <v>161.11316517780077</v>
      </c>
      <c r="N212" s="418">
        <f t="shared" si="15"/>
        <v>161.11316517780077</v>
      </c>
    </row>
    <row r="213" spans="2:14">
      <c r="B213" s="339">
        <f>PJM_01212000!A247</f>
        <v>42948</v>
      </c>
      <c r="C213" s="340">
        <f>VLOOKUP(B213,'Super Peak Curve'!$C$23:$AN$275,38)</f>
        <v>134.63918230587652</v>
      </c>
      <c r="E213" s="357">
        <f>VLOOKUP(B213,PJM_01212000!$J$7:$AF$230,23)</f>
        <v>3</v>
      </c>
      <c r="G213" s="359">
        <f t="shared" si="12"/>
        <v>0.1875</v>
      </c>
      <c r="H213" s="358"/>
      <c r="I213" s="359">
        <f t="shared" si="13"/>
        <v>3.9975134316676958E-2</v>
      </c>
      <c r="K213" s="360">
        <f t="shared" si="14"/>
        <v>5.3822193969649694</v>
      </c>
      <c r="M213" s="420">
        <v>134.63918230587652</v>
      </c>
      <c r="N213" s="418">
        <f t="shared" si="15"/>
        <v>134.63918230587652</v>
      </c>
    </row>
    <row r="214" spans="2:14">
      <c r="B214" s="339">
        <f>PJM_01212000!A248</f>
        <v>42979</v>
      </c>
      <c r="C214" s="340">
        <f>VLOOKUP(B214,'Super Peak Curve'!$C$23:$AN$275,38)</f>
        <v>46.116286483886782</v>
      </c>
      <c r="E214" s="357">
        <f>VLOOKUP(B214,PJM_01212000!$J$7:$AF$230,23)</f>
        <v>1.75</v>
      </c>
      <c r="G214" s="359">
        <f t="shared" si="12"/>
        <v>0.109375</v>
      </c>
      <c r="H214" s="358"/>
      <c r="I214" s="359">
        <f t="shared" si="13"/>
        <v>2.3318828351394889E-2</v>
      </c>
      <c r="K214" s="360">
        <f t="shared" si="14"/>
        <v>1.075377768721508</v>
      </c>
      <c r="M214" s="420">
        <v>46.116286483886782</v>
      </c>
      <c r="N214" s="418">
        <f t="shared" si="15"/>
        <v>46.116286483886782</v>
      </c>
    </row>
    <row r="215" spans="2:14">
      <c r="B215" s="339">
        <f>PJM_01212000!A249</f>
        <v>43009</v>
      </c>
      <c r="C215" s="340">
        <f>VLOOKUP(B215,'Super Peak Curve'!$C$23:$AN$275,38)</f>
        <v>37.385623573122025</v>
      </c>
      <c r="E215" s="357">
        <f>VLOOKUP(B215,PJM_01212000!$J$7:$AF$230,23)</f>
        <v>1.5</v>
      </c>
      <c r="G215" s="359">
        <f t="shared" si="12"/>
        <v>9.375E-2</v>
      </c>
      <c r="H215" s="358"/>
      <c r="I215" s="359">
        <f t="shared" si="13"/>
        <v>1.9987567158338479E-2</v>
      </c>
      <c r="K215" s="360">
        <f t="shared" si="14"/>
        <v>0.74724766192413861</v>
      </c>
      <c r="M215" s="420">
        <v>37.385623573122025</v>
      </c>
      <c r="N215" s="418">
        <f t="shared" si="15"/>
        <v>37.385623573122025</v>
      </c>
    </row>
    <row r="216" spans="2:14">
      <c r="B216" s="339">
        <f>PJM_01212000!A250</f>
        <v>43040</v>
      </c>
      <c r="C216" s="340">
        <f>VLOOKUP(B216,'Super Peak Curve'!$C$23:$AN$275,38)</f>
        <v>37.508009347267155</v>
      </c>
      <c r="E216" s="357">
        <f>VLOOKUP(B216,PJM_01212000!$J$7:$AF$230,23)</f>
        <v>1.5</v>
      </c>
      <c r="G216" s="359">
        <f t="shared" si="12"/>
        <v>9.375E-2</v>
      </c>
      <c r="H216" s="358"/>
      <c r="I216" s="359">
        <f t="shared" si="13"/>
        <v>1.9987567158338479E-2</v>
      </c>
      <c r="K216" s="360">
        <f t="shared" si="14"/>
        <v>0.74969385580408965</v>
      </c>
      <c r="M216" s="420">
        <v>37.508009347267155</v>
      </c>
      <c r="N216" s="418">
        <f t="shared" si="15"/>
        <v>37.508009347267155</v>
      </c>
    </row>
    <row r="217" spans="2:14">
      <c r="B217" s="339">
        <f>PJM_01212000!A251</f>
        <v>43070</v>
      </c>
      <c r="C217" s="340">
        <f>VLOOKUP(B217,'Super Peak Curve'!$C$23:$AN$275,38)</f>
        <v>40.09829889225108</v>
      </c>
      <c r="E217" s="357">
        <f>VLOOKUP(B217,PJM_01212000!$J$7:$AF$230,23)</f>
        <v>1.5</v>
      </c>
      <c r="G217" s="359">
        <f t="shared" si="12"/>
        <v>9.375E-2</v>
      </c>
      <c r="H217" s="358"/>
      <c r="I217" s="359">
        <f t="shared" si="13"/>
        <v>1.9987567158338479E-2</v>
      </c>
      <c r="K217" s="360">
        <f t="shared" si="14"/>
        <v>0.80146744204399789</v>
      </c>
      <c r="M217" s="420">
        <v>40.09829889225108</v>
      </c>
      <c r="N217" s="418">
        <f t="shared" si="15"/>
        <v>40.09829889225108</v>
      </c>
    </row>
    <row r="218" spans="2:14">
      <c r="B218" s="339">
        <f>PJM_01212000!A252</f>
        <v>43101</v>
      </c>
      <c r="C218" s="340">
        <f>VLOOKUP(B218,'Super Peak Curve'!$C$23:$AN$275,38)</f>
        <v>51.286555492627073</v>
      </c>
      <c r="E218" s="357">
        <f>VLOOKUP(B218,PJM_01212000!$J$7:$AF$230,23)</f>
        <v>1.75</v>
      </c>
      <c r="G218" s="359">
        <f t="shared" si="12"/>
        <v>0.109375</v>
      </c>
      <c r="H218" s="358"/>
      <c r="I218" s="359">
        <f t="shared" si="13"/>
        <v>2.3318828351394889E-2</v>
      </c>
      <c r="K218" s="360">
        <f t="shared" si="14"/>
        <v>1.1959423842668595</v>
      </c>
      <c r="M218" s="420">
        <v>51.286555492627073</v>
      </c>
      <c r="N218" s="418">
        <f t="shared" si="15"/>
        <v>51.286555492627073</v>
      </c>
    </row>
    <row r="219" spans="2:14">
      <c r="B219" s="339">
        <f>PJM_01212000!A253</f>
        <v>43132</v>
      </c>
      <c r="C219" s="340">
        <f>VLOOKUP(B219,'Super Peak Curve'!$C$23:$AN$275,38)</f>
        <v>51.286555492627073</v>
      </c>
      <c r="E219" s="357">
        <f>VLOOKUP(B219,PJM_01212000!$J$7:$AF$230,23)</f>
        <v>1.75</v>
      </c>
      <c r="G219" s="359">
        <f t="shared" si="12"/>
        <v>0.109375</v>
      </c>
      <c r="H219" s="358"/>
      <c r="I219" s="359">
        <f t="shared" si="13"/>
        <v>2.3318828351394889E-2</v>
      </c>
      <c r="K219" s="360">
        <f t="shared" si="14"/>
        <v>1.1959423842668595</v>
      </c>
      <c r="M219" s="420">
        <v>51.286555492627073</v>
      </c>
      <c r="N219" s="418">
        <f t="shared" si="15"/>
        <v>51.286555492627073</v>
      </c>
    </row>
    <row r="220" spans="2:14">
      <c r="B220" s="339">
        <f>PJM_01212000!A254</f>
        <v>43160</v>
      </c>
      <c r="C220" s="340">
        <f>VLOOKUP(B220,'Super Peak Curve'!$C$23:$AN$275,38)</f>
        <v>38.371899677906043</v>
      </c>
      <c r="E220" s="357">
        <f>VLOOKUP(B220,PJM_01212000!$J$7:$AF$230,23)</f>
        <v>1.1000000000000001</v>
      </c>
      <c r="G220" s="359">
        <f t="shared" si="12"/>
        <v>6.8750000000000006E-2</v>
      </c>
      <c r="H220" s="358"/>
      <c r="I220" s="359">
        <f t="shared" si="13"/>
        <v>1.4657549249448218E-2</v>
      </c>
      <c r="K220" s="360">
        <f t="shared" si="14"/>
        <v>0.56243800932379406</v>
      </c>
      <c r="M220" s="420">
        <v>38.371899677906043</v>
      </c>
      <c r="N220" s="418">
        <f t="shared" si="15"/>
        <v>38.371899677906043</v>
      </c>
    </row>
    <row r="221" spans="2:14">
      <c r="B221" s="339">
        <f>PJM_01212000!A255</f>
        <v>43191</v>
      </c>
      <c r="C221" s="340">
        <f>VLOOKUP(B221,'Super Peak Curve'!$C$23:$AN$275,38)</f>
        <v>35.53389961213135</v>
      </c>
      <c r="E221" s="357">
        <f>VLOOKUP(B221,PJM_01212000!$J$7:$AF$230,23)</f>
        <v>1.2</v>
      </c>
      <c r="G221" s="359">
        <f t="shared" si="12"/>
        <v>7.4999999999999997E-2</v>
      </c>
      <c r="H221" s="358"/>
      <c r="I221" s="359">
        <f t="shared" si="13"/>
        <v>1.599005372667078E-2</v>
      </c>
      <c r="K221" s="360">
        <f t="shared" si="14"/>
        <v>0.56818896391610629</v>
      </c>
      <c r="M221" s="420">
        <v>35.53389961213135</v>
      </c>
      <c r="N221" s="418">
        <f t="shared" si="15"/>
        <v>35.53389961213135</v>
      </c>
    </row>
    <row r="222" spans="2:14">
      <c r="B222" s="339">
        <f>PJM_01212000!A256</f>
        <v>43221</v>
      </c>
      <c r="C222" s="340">
        <f>VLOOKUP(B222,'Super Peak Curve'!$C$23:$AN$275,38)</f>
        <v>43.171149656872267</v>
      </c>
      <c r="E222" s="357">
        <f>VLOOKUP(B222,PJM_01212000!$J$7:$AF$230,23)</f>
        <v>2</v>
      </c>
      <c r="G222" s="359">
        <f t="shared" si="12"/>
        <v>0.125</v>
      </c>
      <c r="H222" s="358"/>
      <c r="I222" s="359">
        <f t="shared" si="13"/>
        <v>2.6650089544451302E-2</v>
      </c>
      <c r="K222" s="360">
        <f t="shared" si="14"/>
        <v>1.150515004092554</v>
      </c>
      <c r="M222" s="420">
        <v>43.171149656872267</v>
      </c>
      <c r="N222" s="418">
        <f t="shared" si="15"/>
        <v>43.171149656872267</v>
      </c>
    </row>
    <row r="223" spans="2:14">
      <c r="B223" s="339">
        <f>PJM_01212000!A257</f>
        <v>43252</v>
      </c>
      <c r="C223" s="340">
        <f>VLOOKUP(B223,'Super Peak Curve'!$C$23:$AN$275,38)</f>
        <v>84.342000381923455</v>
      </c>
      <c r="E223" s="357">
        <f>VLOOKUP(B223,PJM_01212000!$J$7:$AF$230,23)</f>
        <v>2.25</v>
      </c>
      <c r="G223" s="359">
        <f t="shared" si="12"/>
        <v>0.140625</v>
      </c>
      <c r="H223" s="358"/>
      <c r="I223" s="359">
        <f t="shared" si="13"/>
        <v>2.9981350737507715E-2</v>
      </c>
      <c r="K223" s="360">
        <f t="shared" si="14"/>
        <v>2.5286870953534568</v>
      </c>
      <c r="M223" s="420">
        <v>84.342000381923455</v>
      </c>
      <c r="N223" s="418">
        <f t="shared" si="15"/>
        <v>84.342000381923455</v>
      </c>
    </row>
    <row r="224" spans="2:14">
      <c r="B224" s="339">
        <f>PJM_01212000!A258</f>
        <v>43282</v>
      </c>
      <c r="C224" s="340">
        <f>VLOOKUP(B224,'Super Peak Curve'!$C$23:$AN$275,38)</f>
        <v>164.06756314574017</v>
      </c>
      <c r="E224" s="357">
        <f>VLOOKUP(B224,PJM_01212000!$J$7:$AF$230,23)</f>
        <v>3</v>
      </c>
      <c r="G224" s="359">
        <f t="shared" si="12"/>
        <v>0.1875</v>
      </c>
      <c r="H224" s="358"/>
      <c r="I224" s="359">
        <f t="shared" si="13"/>
        <v>3.9975134316676958E-2</v>
      </c>
      <c r="K224" s="360">
        <f t="shared" si="14"/>
        <v>6.5586228737608412</v>
      </c>
      <c r="M224" s="420">
        <v>164.06756314574017</v>
      </c>
      <c r="N224" s="418">
        <f t="shared" si="15"/>
        <v>164.06756314574017</v>
      </c>
    </row>
    <row r="225" spans="2:14">
      <c r="B225" s="339">
        <f>PJM_01212000!A259</f>
        <v>43313</v>
      </c>
      <c r="C225" s="340">
        <f>VLOOKUP(B225,'Super Peak Curve'!$C$23:$AN$275,38)</f>
        <v>137.40069706080536</v>
      </c>
      <c r="E225" s="357">
        <f>VLOOKUP(B225,PJM_01212000!$J$7:$AF$230,23)</f>
        <v>3</v>
      </c>
      <c r="G225" s="359">
        <f t="shared" si="12"/>
        <v>0.1875</v>
      </c>
      <c r="H225" s="358"/>
      <c r="I225" s="359">
        <f t="shared" si="13"/>
        <v>3.9975134316676958E-2</v>
      </c>
      <c r="K225" s="360">
        <f t="shared" si="14"/>
        <v>5.4926113202107354</v>
      </c>
      <c r="M225" s="421">
        <v>137.40069706080536</v>
      </c>
      <c r="N225" s="419">
        <f t="shared" si="15"/>
        <v>137.40069706080536</v>
      </c>
    </row>
    <row r="228" spans="2:14">
      <c r="C228" s="342">
        <f>SUM(C4:C225)</f>
        <v>12655.196699961887</v>
      </c>
    </row>
    <row r="229" spans="2:14">
      <c r="C229" s="343">
        <f>SUM('Super Peak Curve'!AN55:AN275)+'Super Peak Curve'!AN41</f>
        <v>12655.196699961887</v>
      </c>
    </row>
    <row r="230" spans="2:14">
      <c r="C230" s="344" t="str">
        <f>IF(C228=C229,"OK","Error")</f>
        <v>OK</v>
      </c>
    </row>
  </sheetData>
  <pageMargins left="0.75" right="0.75" top="1" bottom="1" header="0.5" footer="0.5"/>
  <pageSetup orientation="landscape" horizont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69"/>
  <sheetViews>
    <sheetView workbookViewId="0">
      <selection activeCell="K8" sqref="K8"/>
    </sheetView>
  </sheetViews>
  <sheetFormatPr defaultColWidth="9.109375" defaultRowHeight="13.2"/>
  <cols>
    <col min="1" max="1" width="9.109375" style="57"/>
    <col min="2" max="2" width="11.5546875" style="57" bestFit="1" customWidth="1"/>
    <col min="3" max="4" width="14.109375" style="57" bestFit="1" customWidth="1"/>
    <col min="5" max="5" width="18.6640625" style="57" bestFit="1" customWidth="1"/>
    <col min="6" max="6" width="17" style="258" bestFit="1" customWidth="1"/>
    <col min="7" max="7" width="9.109375" style="57"/>
    <col min="8" max="8" width="9.88671875" style="57" bestFit="1" customWidth="1"/>
    <col min="9" max="16384" width="9.109375" style="57"/>
  </cols>
  <sheetData>
    <row r="2" spans="2:8">
      <c r="H2" s="386" t="s">
        <v>0</v>
      </c>
    </row>
    <row r="3" spans="2:8">
      <c r="B3" s="32" t="s">
        <v>55</v>
      </c>
      <c r="C3" s="58" t="s">
        <v>79</v>
      </c>
      <c r="D3" s="58" t="s">
        <v>79</v>
      </c>
      <c r="E3" s="59" t="s">
        <v>80</v>
      </c>
      <c r="F3" s="253" t="s">
        <v>87</v>
      </c>
      <c r="H3" s="390">
        <f>'Revenues &amp; Expenses'!S2</f>
        <v>9579</v>
      </c>
    </row>
    <row r="4" spans="2:8">
      <c r="B4" s="35" t="s">
        <v>56</v>
      </c>
      <c r="C4" s="16" t="s">
        <v>81</v>
      </c>
      <c r="D4" s="16" t="s">
        <v>82</v>
      </c>
      <c r="E4" s="60" t="s">
        <v>83</v>
      </c>
      <c r="F4" s="254">
        <v>5.8</v>
      </c>
      <c r="H4" s="387"/>
    </row>
    <row r="5" spans="2:8">
      <c r="B5" s="61" t="s">
        <v>84</v>
      </c>
      <c r="C5" s="62" t="s">
        <v>85</v>
      </c>
      <c r="D5" s="62"/>
      <c r="E5" s="63" t="s">
        <v>86</v>
      </c>
      <c r="F5" s="255" t="s">
        <v>88</v>
      </c>
      <c r="H5" s="387"/>
    </row>
    <row r="6" spans="2:8">
      <c r="B6" s="64">
        <v>36525</v>
      </c>
      <c r="E6" s="65"/>
      <c r="F6" s="256"/>
      <c r="H6" s="387"/>
    </row>
    <row r="7" spans="2:8">
      <c r="B7" s="66">
        <v>36526</v>
      </c>
      <c r="C7" s="67">
        <v>43.994999999999997</v>
      </c>
      <c r="D7" s="68">
        <v>0.36100000000000004</v>
      </c>
      <c r="E7" s="69">
        <f>C7+(0.03*42)</f>
        <v>45.254999999999995</v>
      </c>
      <c r="F7" s="254">
        <f>E7/$F$4</f>
        <v>7.8025862068965512</v>
      </c>
      <c r="H7" s="388">
        <f>(F7*$H$3)/1000</f>
        <v>74.740973275862061</v>
      </c>
    </row>
    <row r="8" spans="2:8">
      <c r="B8" s="66">
        <v>36557</v>
      </c>
      <c r="C8" s="67">
        <v>36.901000000000003</v>
      </c>
      <c r="D8" s="68">
        <v>0.36100000000000004</v>
      </c>
      <c r="E8" s="69">
        <f t="shared" ref="E8:E71" si="0">C8+(0.03*42)</f>
        <v>38.161000000000001</v>
      </c>
      <c r="F8" s="254">
        <f t="shared" ref="F8:F71" si="1">E8/$F$4</f>
        <v>6.5794827586206903</v>
      </c>
      <c r="H8" s="388">
        <f t="shared" ref="H8:H71" si="2">(F8*$H$3)/1000</f>
        <v>63.024865344827596</v>
      </c>
    </row>
    <row r="9" spans="2:8">
      <c r="B9" s="66">
        <v>36586</v>
      </c>
      <c r="C9" s="67">
        <v>34.170999999999999</v>
      </c>
      <c r="D9" s="68">
        <v>0.32600000000000001</v>
      </c>
      <c r="E9" s="69">
        <f t="shared" si="0"/>
        <v>35.430999999999997</v>
      </c>
      <c r="F9" s="254">
        <f t="shared" si="1"/>
        <v>6.1087931034482752</v>
      </c>
      <c r="H9" s="388">
        <f t="shared" si="2"/>
        <v>58.516129137931031</v>
      </c>
    </row>
    <row r="10" spans="2:8">
      <c r="B10" s="66">
        <v>36617</v>
      </c>
      <c r="C10" s="67">
        <v>32.365000000000002</v>
      </c>
      <c r="D10" s="68">
        <v>0.32100000000000001</v>
      </c>
      <c r="E10" s="69">
        <f t="shared" si="0"/>
        <v>33.625</v>
      </c>
      <c r="F10" s="254">
        <f t="shared" si="1"/>
        <v>5.7974137931034484</v>
      </c>
      <c r="H10" s="388">
        <f t="shared" si="2"/>
        <v>55.533426724137932</v>
      </c>
    </row>
    <row r="11" spans="2:8">
      <c r="B11" s="66">
        <v>36647</v>
      </c>
      <c r="C11" s="67">
        <v>31.105</v>
      </c>
      <c r="D11" s="68">
        <v>0.29699999999999999</v>
      </c>
      <c r="E11" s="69">
        <f t="shared" si="0"/>
        <v>32.365000000000002</v>
      </c>
      <c r="F11" s="254">
        <f t="shared" si="1"/>
        <v>5.5801724137931039</v>
      </c>
      <c r="H11" s="388">
        <f t="shared" si="2"/>
        <v>53.452471551724145</v>
      </c>
    </row>
    <row r="12" spans="2:8">
      <c r="B12" s="66">
        <v>36678</v>
      </c>
      <c r="C12" s="67">
        <v>30.390999999999998</v>
      </c>
      <c r="D12" s="68">
        <v>0.28699999999999998</v>
      </c>
      <c r="E12" s="69">
        <f t="shared" si="0"/>
        <v>31.651</v>
      </c>
      <c r="F12" s="254">
        <f t="shared" si="1"/>
        <v>5.4570689655172417</v>
      </c>
      <c r="H12" s="388">
        <f t="shared" si="2"/>
        <v>52.273263620689654</v>
      </c>
    </row>
    <row r="13" spans="2:8">
      <c r="B13" s="66">
        <v>36708</v>
      </c>
      <c r="C13" s="67">
        <v>29.971</v>
      </c>
      <c r="D13" s="68">
        <v>0.28800000000000003</v>
      </c>
      <c r="E13" s="69">
        <f t="shared" si="0"/>
        <v>31.231000000000002</v>
      </c>
      <c r="F13" s="254">
        <f>E13/$F$4</f>
        <v>5.3846551724137939</v>
      </c>
      <c r="H13" s="388">
        <f>(F13*$H$3)/1000</f>
        <v>51.579611896551732</v>
      </c>
    </row>
    <row r="14" spans="2:8">
      <c r="B14" s="66">
        <v>36739</v>
      </c>
      <c r="C14" s="67">
        <v>30.013000000000002</v>
      </c>
      <c r="D14" s="68">
        <v>0.27900000000000003</v>
      </c>
      <c r="E14" s="69">
        <f t="shared" si="0"/>
        <v>31.273000000000003</v>
      </c>
      <c r="F14" s="254">
        <f t="shared" si="1"/>
        <v>5.3918965517241384</v>
      </c>
      <c r="H14" s="388">
        <f t="shared" si="2"/>
        <v>51.648977068965522</v>
      </c>
    </row>
    <row r="15" spans="2:8">
      <c r="B15" s="66">
        <v>36770</v>
      </c>
      <c r="C15" s="67">
        <v>30.076000000000001</v>
      </c>
      <c r="D15" s="68">
        <v>0.28100000000000003</v>
      </c>
      <c r="E15" s="69">
        <f t="shared" si="0"/>
        <v>31.336000000000002</v>
      </c>
      <c r="F15" s="254">
        <f t="shared" si="1"/>
        <v>5.4027586206896556</v>
      </c>
      <c r="H15" s="388">
        <f t="shared" si="2"/>
        <v>51.753024827586209</v>
      </c>
    </row>
    <row r="16" spans="2:8">
      <c r="B16" s="66">
        <v>36800</v>
      </c>
      <c r="C16" s="67">
        <v>30.16</v>
      </c>
      <c r="D16" s="68">
        <v>0.28000000000000003</v>
      </c>
      <c r="E16" s="69">
        <f t="shared" si="0"/>
        <v>31.42</v>
      </c>
      <c r="F16" s="254">
        <f t="shared" si="1"/>
        <v>5.4172413793103456</v>
      </c>
      <c r="H16" s="388">
        <f t="shared" si="2"/>
        <v>51.891755172413802</v>
      </c>
    </row>
    <row r="17" spans="2:8">
      <c r="B17" s="66">
        <v>36831</v>
      </c>
      <c r="C17" s="67">
        <v>30.223000000000003</v>
      </c>
      <c r="D17" s="68">
        <v>0.27300000000000002</v>
      </c>
      <c r="E17" s="69">
        <f t="shared" si="0"/>
        <v>31.483000000000004</v>
      </c>
      <c r="F17" s="254">
        <f t="shared" si="1"/>
        <v>5.4281034482758628</v>
      </c>
      <c r="H17" s="388">
        <f t="shared" si="2"/>
        <v>51.99580293103449</v>
      </c>
    </row>
    <row r="18" spans="2:8">
      <c r="B18" s="66">
        <v>36861</v>
      </c>
      <c r="C18" s="67">
        <v>30.118000000000002</v>
      </c>
      <c r="D18" s="68">
        <v>0.27500000000000002</v>
      </c>
      <c r="E18" s="69">
        <f t="shared" si="0"/>
        <v>31.378000000000004</v>
      </c>
      <c r="F18" s="254">
        <f t="shared" si="1"/>
        <v>5.410000000000001</v>
      </c>
      <c r="H18" s="388">
        <f t="shared" si="2"/>
        <v>51.822390000000006</v>
      </c>
    </row>
    <row r="19" spans="2:8">
      <c r="B19" s="66">
        <v>36892</v>
      </c>
      <c r="C19" s="67">
        <v>29.698000000000004</v>
      </c>
      <c r="D19" s="68">
        <v>0.27500000000000002</v>
      </c>
      <c r="E19" s="69">
        <f t="shared" si="0"/>
        <v>30.958000000000006</v>
      </c>
      <c r="F19" s="254">
        <f t="shared" si="1"/>
        <v>5.3375862068965532</v>
      </c>
      <c r="H19" s="388">
        <f t="shared" si="2"/>
        <v>51.128738275862084</v>
      </c>
    </row>
    <row r="20" spans="2:8">
      <c r="B20" s="66">
        <v>36923</v>
      </c>
      <c r="C20" s="67">
        <v>28.795000000000002</v>
      </c>
      <c r="D20" s="68">
        <v>0.27100000000000002</v>
      </c>
      <c r="E20" s="69">
        <f t="shared" si="0"/>
        <v>30.055000000000003</v>
      </c>
      <c r="F20" s="254">
        <f t="shared" si="1"/>
        <v>5.1818965517241384</v>
      </c>
      <c r="H20" s="388">
        <f t="shared" si="2"/>
        <v>49.637387068965523</v>
      </c>
    </row>
    <row r="21" spans="2:8">
      <c r="B21" s="66">
        <v>36951</v>
      </c>
      <c r="C21" s="67">
        <v>27.892000000000003</v>
      </c>
      <c r="D21" s="68">
        <v>0.27</v>
      </c>
      <c r="E21" s="69">
        <f t="shared" si="0"/>
        <v>29.152000000000005</v>
      </c>
      <c r="F21" s="254">
        <f t="shared" si="1"/>
        <v>5.0262068965517255</v>
      </c>
      <c r="H21" s="388">
        <f t="shared" si="2"/>
        <v>48.146035862068977</v>
      </c>
    </row>
    <row r="22" spans="2:8">
      <c r="B22" s="66">
        <v>36982</v>
      </c>
      <c r="C22" s="67">
        <v>27.030999999999999</v>
      </c>
      <c r="D22" s="68">
        <v>0.26600000000000001</v>
      </c>
      <c r="E22" s="69">
        <f t="shared" si="0"/>
        <v>28.291</v>
      </c>
      <c r="F22" s="254">
        <f t="shared" si="1"/>
        <v>4.8777586206896553</v>
      </c>
      <c r="H22" s="388">
        <f t="shared" si="2"/>
        <v>46.724049827586207</v>
      </c>
    </row>
    <row r="23" spans="2:8">
      <c r="B23" s="66">
        <v>37012</v>
      </c>
      <c r="C23" s="67">
        <v>26.38</v>
      </c>
      <c r="D23" s="68">
        <v>0.26100000000000001</v>
      </c>
      <c r="E23" s="69">
        <f t="shared" si="0"/>
        <v>27.64</v>
      </c>
      <c r="F23" s="254">
        <f t="shared" si="1"/>
        <v>4.7655172413793103</v>
      </c>
      <c r="H23" s="388">
        <f t="shared" si="2"/>
        <v>45.648889655172411</v>
      </c>
    </row>
    <row r="24" spans="2:8">
      <c r="B24" s="66">
        <v>37043</v>
      </c>
      <c r="C24" s="67">
        <v>26.128000000000004</v>
      </c>
      <c r="D24" s="68">
        <v>0.25800000000000001</v>
      </c>
      <c r="E24" s="69">
        <f t="shared" si="0"/>
        <v>27.388000000000005</v>
      </c>
      <c r="F24" s="254">
        <f t="shared" si="1"/>
        <v>4.7220689655172423</v>
      </c>
      <c r="H24" s="388">
        <f t="shared" si="2"/>
        <v>45.232698620689661</v>
      </c>
    </row>
    <row r="25" spans="2:8">
      <c r="B25" s="66">
        <v>37073</v>
      </c>
      <c r="C25" s="67">
        <v>26.271000000000001</v>
      </c>
      <c r="D25" s="68">
        <v>0.254</v>
      </c>
      <c r="E25" s="69">
        <f t="shared" si="0"/>
        <v>27.531000000000002</v>
      </c>
      <c r="F25" s="254">
        <f t="shared" si="1"/>
        <v>4.746724137931035</v>
      </c>
      <c r="H25" s="388">
        <f t="shared" si="2"/>
        <v>45.468870517241385</v>
      </c>
    </row>
    <row r="26" spans="2:8">
      <c r="B26" s="66">
        <v>37104</v>
      </c>
      <c r="C26" s="67">
        <v>26.624000000000002</v>
      </c>
      <c r="D26" s="68">
        <v>0.25</v>
      </c>
      <c r="E26" s="69">
        <f t="shared" si="0"/>
        <v>27.884000000000004</v>
      </c>
      <c r="F26" s="254">
        <f t="shared" si="1"/>
        <v>4.8075862068965529</v>
      </c>
      <c r="H26" s="388">
        <f t="shared" si="2"/>
        <v>46.051868275862077</v>
      </c>
    </row>
    <row r="27" spans="2:8">
      <c r="B27" s="66">
        <v>37135</v>
      </c>
      <c r="C27" s="67">
        <v>27.027000000000005</v>
      </c>
      <c r="D27" s="68">
        <v>0.24800000000000003</v>
      </c>
      <c r="E27" s="69">
        <f t="shared" si="0"/>
        <v>28.287000000000006</v>
      </c>
      <c r="F27" s="254">
        <f t="shared" si="1"/>
        <v>4.8770689655172426</v>
      </c>
      <c r="H27" s="388">
        <f t="shared" si="2"/>
        <v>46.717443620689664</v>
      </c>
    </row>
    <row r="28" spans="2:8">
      <c r="B28" s="66">
        <v>37165</v>
      </c>
      <c r="C28" s="67">
        <v>27.413000000000004</v>
      </c>
      <c r="D28" s="68">
        <v>0.24600000000000002</v>
      </c>
      <c r="E28" s="69">
        <f t="shared" si="0"/>
        <v>28.673000000000005</v>
      </c>
      <c r="F28" s="254">
        <f t="shared" si="1"/>
        <v>4.9436206896551731</v>
      </c>
      <c r="H28" s="388">
        <f t="shared" si="2"/>
        <v>47.354942586206903</v>
      </c>
    </row>
    <row r="29" spans="2:8">
      <c r="B29" s="66">
        <v>37196</v>
      </c>
      <c r="C29" s="67">
        <v>27.774999999999999</v>
      </c>
      <c r="D29" s="68">
        <v>0.24199999999999999</v>
      </c>
      <c r="E29" s="69">
        <f t="shared" si="0"/>
        <v>29.035</v>
      </c>
      <c r="F29" s="254">
        <f t="shared" si="1"/>
        <v>5.0060344827586212</v>
      </c>
      <c r="H29" s="388">
        <f t="shared" si="2"/>
        <v>47.952804310344831</v>
      </c>
    </row>
    <row r="30" spans="2:8">
      <c r="B30" s="66">
        <v>37226</v>
      </c>
      <c r="C30" s="67">
        <v>27.905000000000001</v>
      </c>
      <c r="D30" s="68">
        <v>0.24</v>
      </c>
      <c r="E30" s="69">
        <f t="shared" si="0"/>
        <v>29.165000000000003</v>
      </c>
      <c r="F30" s="254">
        <f t="shared" si="1"/>
        <v>5.0284482758620692</v>
      </c>
      <c r="H30" s="388">
        <f t="shared" si="2"/>
        <v>48.167506034482756</v>
      </c>
    </row>
    <row r="31" spans="2:8">
      <c r="B31" s="66">
        <v>37257</v>
      </c>
      <c r="C31" s="67">
        <v>27.623000000000001</v>
      </c>
      <c r="D31" s="68">
        <v>0.23699999999999999</v>
      </c>
      <c r="E31" s="69">
        <f t="shared" si="0"/>
        <v>28.883000000000003</v>
      </c>
      <c r="F31" s="254">
        <f t="shared" si="1"/>
        <v>4.9798275862068975</v>
      </c>
      <c r="H31" s="388">
        <f t="shared" si="2"/>
        <v>47.701768448275871</v>
      </c>
    </row>
    <row r="32" spans="2:8">
      <c r="B32" s="66">
        <v>37288</v>
      </c>
      <c r="C32" s="67">
        <v>26.943000000000001</v>
      </c>
      <c r="D32" s="68">
        <v>0.23400000000000001</v>
      </c>
      <c r="E32" s="69">
        <f t="shared" si="0"/>
        <v>28.203000000000003</v>
      </c>
      <c r="F32" s="254">
        <f t="shared" si="1"/>
        <v>4.8625862068965526</v>
      </c>
      <c r="H32" s="388">
        <f t="shared" si="2"/>
        <v>46.578713275862079</v>
      </c>
    </row>
    <row r="33" spans="2:8">
      <c r="B33" s="66">
        <v>37316</v>
      </c>
      <c r="C33" s="67">
        <v>26.279</v>
      </c>
      <c r="D33" s="68">
        <v>0.23300000000000001</v>
      </c>
      <c r="E33" s="69">
        <f t="shared" si="0"/>
        <v>27.539000000000001</v>
      </c>
      <c r="F33" s="254">
        <f t="shared" si="1"/>
        <v>4.7481034482758622</v>
      </c>
      <c r="H33" s="388">
        <f t="shared" si="2"/>
        <v>45.482082931034483</v>
      </c>
    </row>
    <row r="34" spans="2:8">
      <c r="B34" s="66">
        <v>37347</v>
      </c>
      <c r="C34" s="67">
        <v>25.624000000000002</v>
      </c>
      <c r="D34" s="68">
        <v>0.23100000000000001</v>
      </c>
      <c r="E34" s="69">
        <f t="shared" si="0"/>
        <v>26.884000000000004</v>
      </c>
      <c r="F34" s="254">
        <f t="shared" si="1"/>
        <v>4.6351724137931045</v>
      </c>
      <c r="H34" s="388">
        <f t="shared" si="2"/>
        <v>44.400316551724153</v>
      </c>
    </row>
    <row r="35" spans="2:8">
      <c r="B35" s="66">
        <v>37377</v>
      </c>
      <c r="C35" s="67">
        <v>25.145</v>
      </c>
      <c r="D35" s="68">
        <v>0.23</v>
      </c>
      <c r="E35" s="69">
        <f t="shared" si="0"/>
        <v>26.405000000000001</v>
      </c>
      <c r="F35" s="254">
        <f t="shared" si="1"/>
        <v>4.5525862068965521</v>
      </c>
      <c r="H35" s="388">
        <f t="shared" si="2"/>
        <v>43.609223275862071</v>
      </c>
    </row>
    <row r="36" spans="2:8">
      <c r="B36" s="66">
        <v>37408</v>
      </c>
      <c r="C36" s="67">
        <v>25.024000000000001</v>
      </c>
      <c r="D36" s="68">
        <v>0.22700000000000001</v>
      </c>
      <c r="E36" s="69">
        <f t="shared" si="0"/>
        <v>26.284000000000002</v>
      </c>
      <c r="F36" s="254">
        <f t="shared" si="1"/>
        <v>4.5317241379310351</v>
      </c>
      <c r="H36" s="388">
        <f t="shared" si="2"/>
        <v>43.409385517241383</v>
      </c>
    </row>
    <row r="37" spans="2:8">
      <c r="B37" s="66">
        <v>37438</v>
      </c>
      <c r="C37" s="67">
        <v>25.263000000000002</v>
      </c>
      <c r="D37" s="68">
        <v>0.22500000000000001</v>
      </c>
      <c r="E37" s="69">
        <f t="shared" si="0"/>
        <v>26.523000000000003</v>
      </c>
      <c r="F37" s="254">
        <f t="shared" si="1"/>
        <v>4.5729310344827594</v>
      </c>
      <c r="H37" s="388">
        <f t="shared" si="2"/>
        <v>43.804106379310355</v>
      </c>
    </row>
    <row r="38" spans="2:8">
      <c r="B38" s="66">
        <v>37469</v>
      </c>
      <c r="C38" s="67">
        <v>25.690999999999999</v>
      </c>
      <c r="D38" s="68">
        <v>0.222</v>
      </c>
      <c r="E38" s="69">
        <f t="shared" si="0"/>
        <v>26.951000000000001</v>
      </c>
      <c r="F38" s="254">
        <f t="shared" si="1"/>
        <v>4.6467241379310344</v>
      </c>
      <c r="H38" s="388">
        <f t="shared" si="2"/>
        <v>44.510970517241383</v>
      </c>
    </row>
    <row r="39" spans="2:8">
      <c r="B39" s="66">
        <v>37500</v>
      </c>
      <c r="C39" s="67">
        <v>26.158000000000001</v>
      </c>
      <c r="D39" s="68">
        <v>0.22100000000000003</v>
      </c>
      <c r="E39" s="69">
        <f t="shared" si="0"/>
        <v>27.418000000000003</v>
      </c>
      <c r="F39" s="254">
        <f t="shared" si="1"/>
        <v>4.7272413793103452</v>
      </c>
      <c r="H39" s="388">
        <f t="shared" si="2"/>
        <v>45.282245172413795</v>
      </c>
    </row>
    <row r="40" spans="2:8">
      <c r="B40" s="66">
        <v>37530</v>
      </c>
      <c r="C40" s="67">
        <v>26.603000000000002</v>
      </c>
      <c r="D40" s="68">
        <v>0.21900000000000003</v>
      </c>
      <c r="E40" s="69">
        <f t="shared" si="0"/>
        <v>27.863000000000003</v>
      </c>
      <c r="F40" s="254">
        <f t="shared" si="1"/>
        <v>4.8039655172413802</v>
      </c>
      <c r="H40" s="388">
        <f t="shared" si="2"/>
        <v>46.017185689655186</v>
      </c>
    </row>
    <row r="41" spans="2:8">
      <c r="B41" s="66">
        <v>37561</v>
      </c>
      <c r="C41" s="67">
        <v>27.035</v>
      </c>
      <c r="D41" s="68">
        <v>0.218</v>
      </c>
      <c r="E41" s="69">
        <f t="shared" si="0"/>
        <v>28.295000000000002</v>
      </c>
      <c r="F41" s="254">
        <f t="shared" si="1"/>
        <v>4.8784482758620697</v>
      </c>
      <c r="H41" s="388">
        <f t="shared" si="2"/>
        <v>46.73065603448277</v>
      </c>
    </row>
    <row r="42" spans="2:8">
      <c r="B42" s="66">
        <v>37591</v>
      </c>
      <c r="C42" s="67">
        <v>27.216000000000001</v>
      </c>
      <c r="D42" s="68">
        <v>0.21600000000000003</v>
      </c>
      <c r="E42" s="69">
        <f t="shared" si="0"/>
        <v>28.476000000000003</v>
      </c>
      <c r="F42" s="254">
        <f t="shared" si="1"/>
        <v>4.9096551724137933</v>
      </c>
      <c r="H42" s="388">
        <f t="shared" si="2"/>
        <v>47.029586896551727</v>
      </c>
    </row>
    <row r="43" spans="2:8">
      <c r="B43" s="66">
        <v>37622</v>
      </c>
      <c r="C43" s="67">
        <v>26.820999999999998</v>
      </c>
      <c r="D43" s="68">
        <v>0.215</v>
      </c>
      <c r="E43" s="69">
        <f t="shared" si="0"/>
        <v>28.081</v>
      </c>
      <c r="F43" s="254">
        <f t="shared" si="1"/>
        <v>4.8415517241379309</v>
      </c>
      <c r="H43" s="388">
        <f t="shared" si="2"/>
        <v>46.377223965517238</v>
      </c>
    </row>
    <row r="44" spans="2:8">
      <c r="B44" s="66">
        <v>37653</v>
      </c>
      <c r="C44" s="67">
        <v>26.183000000000003</v>
      </c>
      <c r="D44" s="68">
        <v>0.21300000000000002</v>
      </c>
      <c r="E44" s="69">
        <f t="shared" si="0"/>
        <v>27.443000000000005</v>
      </c>
      <c r="F44" s="254">
        <f t="shared" si="1"/>
        <v>4.7315517241379323</v>
      </c>
      <c r="H44" s="388">
        <f t="shared" si="2"/>
        <v>45.323533965517257</v>
      </c>
    </row>
    <row r="45" spans="2:8">
      <c r="B45" s="66">
        <v>37681</v>
      </c>
      <c r="C45" s="67">
        <v>25.549000000000003</v>
      </c>
      <c r="D45" s="68">
        <v>0.21400000000000002</v>
      </c>
      <c r="E45" s="69">
        <f t="shared" si="0"/>
        <v>26.809000000000005</v>
      </c>
      <c r="F45" s="254">
        <f t="shared" si="1"/>
        <v>4.6222413793103456</v>
      </c>
      <c r="H45" s="388">
        <f t="shared" si="2"/>
        <v>44.276450172413803</v>
      </c>
    </row>
    <row r="46" spans="2:8">
      <c r="B46" s="66">
        <v>37712</v>
      </c>
      <c r="C46" s="67">
        <v>24.905999999999999</v>
      </c>
      <c r="D46" s="68">
        <v>0.21199999999999999</v>
      </c>
      <c r="E46" s="69">
        <f t="shared" si="0"/>
        <v>26.166</v>
      </c>
      <c r="F46" s="254">
        <f t="shared" si="1"/>
        <v>4.5113793103448279</v>
      </c>
      <c r="H46" s="388">
        <f t="shared" si="2"/>
        <v>43.214502413793106</v>
      </c>
    </row>
    <row r="47" spans="2:8">
      <c r="B47" s="66">
        <v>37742</v>
      </c>
      <c r="C47" s="67">
        <v>24.444000000000003</v>
      </c>
      <c r="D47" s="68">
        <v>0.21100000000000002</v>
      </c>
      <c r="E47" s="69">
        <f t="shared" si="0"/>
        <v>25.704000000000004</v>
      </c>
      <c r="F47" s="254">
        <f t="shared" si="1"/>
        <v>4.4317241379310355</v>
      </c>
      <c r="H47" s="388">
        <f t="shared" si="2"/>
        <v>42.451485517241387</v>
      </c>
    </row>
    <row r="48" spans="2:8">
      <c r="B48" s="66">
        <v>37773</v>
      </c>
      <c r="C48" s="67">
        <v>24.347000000000005</v>
      </c>
      <c r="D48" s="68">
        <v>0.21</v>
      </c>
      <c r="E48" s="69">
        <f t="shared" si="0"/>
        <v>25.607000000000006</v>
      </c>
      <c r="F48" s="254">
        <f t="shared" si="1"/>
        <v>4.4150000000000009</v>
      </c>
      <c r="H48" s="388">
        <f t="shared" si="2"/>
        <v>42.291285000000009</v>
      </c>
    </row>
    <row r="49" spans="2:8">
      <c r="B49" s="66">
        <v>37803</v>
      </c>
      <c r="C49" s="67">
        <v>24.612000000000002</v>
      </c>
      <c r="D49" s="68">
        <v>0.20900000000000002</v>
      </c>
      <c r="E49" s="69">
        <f t="shared" si="0"/>
        <v>25.872000000000003</v>
      </c>
      <c r="F49" s="254">
        <f t="shared" si="1"/>
        <v>4.4606896551724144</v>
      </c>
      <c r="H49" s="388">
        <f t="shared" si="2"/>
        <v>42.728946206896559</v>
      </c>
    </row>
    <row r="50" spans="2:8">
      <c r="B50" s="66">
        <v>37834</v>
      </c>
      <c r="C50" s="67">
        <v>25.065999999999999</v>
      </c>
      <c r="D50" s="68">
        <v>0.20900000000000002</v>
      </c>
      <c r="E50" s="69">
        <f t="shared" si="0"/>
        <v>26.326000000000001</v>
      </c>
      <c r="F50" s="254">
        <f t="shared" si="1"/>
        <v>4.5389655172413796</v>
      </c>
      <c r="H50" s="388">
        <f t="shared" si="2"/>
        <v>43.478750689655179</v>
      </c>
    </row>
    <row r="51" spans="2:8">
      <c r="B51" s="66">
        <v>37865</v>
      </c>
      <c r="C51" s="67">
        <v>25.557000000000002</v>
      </c>
      <c r="D51" s="68">
        <v>0.20800000000000002</v>
      </c>
      <c r="E51" s="69">
        <f t="shared" si="0"/>
        <v>26.817000000000004</v>
      </c>
      <c r="F51" s="254">
        <f t="shared" si="1"/>
        <v>4.6236206896551728</v>
      </c>
      <c r="H51" s="388">
        <f t="shared" si="2"/>
        <v>44.289662586206894</v>
      </c>
    </row>
    <row r="52" spans="2:8">
      <c r="B52" s="66">
        <v>37895</v>
      </c>
      <c r="C52" s="67">
        <v>26.023000000000003</v>
      </c>
      <c r="D52" s="68">
        <v>0.20699999999999999</v>
      </c>
      <c r="E52" s="69">
        <f t="shared" si="0"/>
        <v>27.283000000000005</v>
      </c>
      <c r="F52" s="254">
        <f t="shared" si="1"/>
        <v>4.7039655172413806</v>
      </c>
      <c r="H52" s="388">
        <f t="shared" si="2"/>
        <v>45.059285689655184</v>
      </c>
    </row>
    <row r="53" spans="2:8">
      <c r="B53" s="66">
        <v>37926</v>
      </c>
      <c r="C53" s="67">
        <v>26.484999999999999</v>
      </c>
      <c r="D53" s="68">
        <v>0.20699999999999999</v>
      </c>
      <c r="E53" s="69">
        <f t="shared" si="0"/>
        <v>27.745000000000001</v>
      </c>
      <c r="F53" s="254">
        <f t="shared" si="1"/>
        <v>4.783620689655173</v>
      </c>
      <c r="H53" s="388">
        <f t="shared" si="2"/>
        <v>45.822302586206902</v>
      </c>
    </row>
    <row r="54" spans="2:8">
      <c r="B54" s="66">
        <v>37956</v>
      </c>
      <c r="C54" s="67">
        <v>26.699000000000002</v>
      </c>
      <c r="D54" s="68">
        <v>0.20499999999999999</v>
      </c>
      <c r="E54" s="69">
        <f t="shared" si="0"/>
        <v>27.959000000000003</v>
      </c>
      <c r="F54" s="254">
        <f t="shared" si="1"/>
        <v>4.8205172413793109</v>
      </c>
      <c r="H54" s="388">
        <f t="shared" si="2"/>
        <v>46.17573465517242</v>
      </c>
    </row>
    <row r="55" spans="2:8">
      <c r="B55" s="66">
        <v>37987</v>
      </c>
      <c r="C55" s="67">
        <v>26.338000000000001</v>
      </c>
      <c r="D55" s="68">
        <v>0.20499999999999999</v>
      </c>
      <c r="E55" s="69">
        <f t="shared" si="0"/>
        <v>27.598000000000003</v>
      </c>
      <c r="F55" s="254">
        <f t="shared" si="1"/>
        <v>4.7582758620689658</v>
      </c>
      <c r="H55" s="388">
        <f t="shared" si="2"/>
        <v>45.579524482758622</v>
      </c>
    </row>
    <row r="56" spans="2:8">
      <c r="B56" s="66">
        <v>38018</v>
      </c>
      <c r="C56" s="67">
        <v>25.733000000000004</v>
      </c>
      <c r="D56" s="68">
        <v>0.20400000000000001</v>
      </c>
      <c r="E56" s="69">
        <f t="shared" si="0"/>
        <v>26.993000000000006</v>
      </c>
      <c r="F56" s="254">
        <f t="shared" si="1"/>
        <v>4.6539655172413807</v>
      </c>
      <c r="H56" s="388">
        <f t="shared" si="2"/>
        <v>44.580335689655186</v>
      </c>
    </row>
    <row r="57" spans="2:8">
      <c r="B57" s="66">
        <v>38047</v>
      </c>
      <c r="C57" s="67">
        <v>25.133000000000003</v>
      </c>
      <c r="D57" s="68">
        <v>0.20300000000000001</v>
      </c>
      <c r="E57" s="69">
        <f t="shared" si="0"/>
        <v>26.393000000000004</v>
      </c>
      <c r="F57" s="254">
        <f t="shared" si="1"/>
        <v>4.5505172413793114</v>
      </c>
      <c r="H57" s="388">
        <f t="shared" si="2"/>
        <v>43.589404655172423</v>
      </c>
    </row>
    <row r="58" spans="2:8">
      <c r="B58" s="66">
        <v>38078</v>
      </c>
      <c r="C58" s="67">
        <v>24.52</v>
      </c>
      <c r="D58" s="68">
        <v>0.20199999999999999</v>
      </c>
      <c r="E58" s="69">
        <f t="shared" si="0"/>
        <v>25.78</v>
      </c>
      <c r="F58" s="254">
        <f t="shared" si="1"/>
        <v>4.4448275862068964</v>
      </c>
      <c r="H58" s="388">
        <f t="shared" si="2"/>
        <v>42.57700344827586</v>
      </c>
    </row>
    <row r="59" spans="2:8">
      <c r="B59" s="66">
        <v>38108</v>
      </c>
      <c r="C59" s="67">
        <v>24.094999999999999</v>
      </c>
      <c r="D59" s="68">
        <v>0.20199999999999999</v>
      </c>
      <c r="E59" s="69">
        <f t="shared" si="0"/>
        <v>25.355</v>
      </c>
      <c r="F59" s="254">
        <f t="shared" si="1"/>
        <v>4.3715517241379311</v>
      </c>
      <c r="H59" s="388">
        <f t="shared" si="2"/>
        <v>41.875093965517237</v>
      </c>
    </row>
    <row r="60" spans="2:8">
      <c r="B60" s="66">
        <v>38139</v>
      </c>
      <c r="C60" s="67">
        <v>24.032000000000004</v>
      </c>
      <c r="D60" s="68">
        <v>0.2</v>
      </c>
      <c r="E60" s="69">
        <f t="shared" si="0"/>
        <v>25.292000000000005</v>
      </c>
      <c r="F60" s="254">
        <f t="shared" si="1"/>
        <v>4.3606896551724148</v>
      </c>
      <c r="H60" s="388">
        <f t="shared" si="2"/>
        <v>41.771046206896564</v>
      </c>
    </row>
    <row r="61" spans="2:8">
      <c r="B61" s="66">
        <v>38169</v>
      </c>
      <c r="C61" s="67">
        <v>24.326000000000001</v>
      </c>
      <c r="D61" s="68">
        <v>0.19900000000000004</v>
      </c>
      <c r="E61" s="69">
        <f t="shared" si="0"/>
        <v>25.586000000000002</v>
      </c>
      <c r="F61" s="254">
        <f t="shared" si="1"/>
        <v>4.4113793103448282</v>
      </c>
      <c r="H61" s="388">
        <f t="shared" si="2"/>
        <v>42.256602413793111</v>
      </c>
    </row>
    <row r="62" spans="2:8">
      <c r="B62" s="66">
        <v>38200</v>
      </c>
      <c r="C62" s="67">
        <v>24.818000000000001</v>
      </c>
      <c r="D62" s="68">
        <v>0.19900000000000004</v>
      </c>
      <c r="E62" s="69">
        <f t="shared" si="0"/>
        <v>26.078000000000003</v>
      </c>
      <c r="F62" s="254">
        <f t="shared" si="1"/>
        <v>4.4962068965517243</v>
      </c>
      <c r="H62" s="388">
        <f t="shared" si="2"/>
        <v>43.069165862068971</v>
      </c>
    </row>
    <row r="63" spans="2:8">
      <c r="B63" s="66">
        <v>38231</v>
      </c>
      <c r="C63" s="67">
        <v>25.339000000000002</v>
      </c>
      <c r="D63" s="68">
        <v>0.19800000000000001</v>
      </c>
      <c r="E63" s="69">
        <f t="shared" si="0"/>
        <v>26.599000000000004</v>
      </c>
      <c r="F63" s="254">
        <f t="shared" si="1"/>
        <v>4.5860344827586212</v>
      </c>
      <c r="H63" s="388">
        <f t="shared" si="2"/>
        <v>43.929624310344835</v>
      </c>
    </row>
    <row r="64" spans="2:8">
      <c r="B64" s="66">
        <v>38261</v>
      </c>
      <c r="C64" s="67">
        <v>25.843000000000004</v>
      </c>
      <c r="D64" s="68">
        <v>0.19700000000000001</v>
      </c>
      <c r="E64" s="69">
        <f t="shared" si="0"/>
        <v>27.103000000000005</v>
      </c>
      <c r="F64" s="254">
        <f t="shared" si="1"/>
        <v>4.6729310344827599</v>
      </c>
      <c r="H64" s="388">
        <f t="shared" si="2"/>
        <v>44.762006379310357</v>
      </c>
    </row>
    <row r="65" spans="2:8">
      <c r="B65" s="66">
        <v>38292</v>
      </c>
      <c r="C65" s="67">
        <v>26.33</v>
      </c>
      <c r="D65" s="68">
        <v>0.19700000000000001</v>
      </c>
      <c r="E65" s="69">
        <f t="shared" si="0"/>
        <v>27.59</v>
      </c>
      <c r="F65" s="254">
        <f t="shared" si="1"/>
        <v>4.7568965517241377</v>
      </c>
      <c r="H65" s="388">
        <f t="shared" si="2"/>
        <v>45.566312068965516</v>
      </c>
    </row>
    <row r="66" spans="2:8">
      <c r="B66" s="66">
        <v>38322</v>
      </c>
      <c r="C66" s="67">
        <v>26.552000000000003</v>
      </c>
      <c r="D66" s="68">
        <v>0.19700000000000001</v>
      </c>
      <c r="E66" s="69">
        <f t="shared" si="0"/>
        <v>27.812000000000005</v>
      </c>
      <c r="F66" s="254">
        <f t="shared" si="1"/>
        <v>4.7951724137931047</v>
      </c>
      <c r="H66" s="388">
        <f t="shared" si="2"/>
        <v>45.932956551724153</v>
      </c>
    </row>
    <row r="67" spans="2:8">
      <c r="B67" s="66">
        <v>38353</v>
      </c>
      <c r="C67" s="67">
        <v>26.2</v>
      </c>
      <c r="D67" s="68">
        <v>0.19700000000000001</v>
      </c>
      <c r="E67" s="69">
        <f t="shared" si="0"/>
        <v>27.46</v>
      </c>
      <c r="F67" s="254">
        <f t="shared" si="1"/>
        <v>4.7344827586206897</v>
      </c>
      <c r="H67" s="388">
        <f t="shared" si="2"/>
        <v>45.351610344827591</v>
      </c>
    </row>
    <row r="68" spans="2:8">
      <c r="B68" s="66">
        <v>38384</v>
      </c>
      <c r="C68" s="67">
        <v>25.603000000000002</v>
      </c>
      <c r="D68" s="68">
        <v>0.19700000000000001</v>
      </c>
      <c r="E68" s="69">
        <f t="shared" si="0"/>
        <v>26.863000000000003</v>
      </c>
      <c r="F68" s="254">
        <f t="shared" si="1"/>
        <v>4.6315517241379318</v>
      </c>
      <c r="H68" s="388">
        <f t="shared" si="2"/>
        <v>44.365633965517247</v>
      </c>
    </row>
    <row r="69" spans="2:8">
      <c r="B69" s="66">
        <v>38412</v>
      </c>
      <c r="C69" s="67">
        <v>25.015000000000001</v>
      </c>
      <c r="D69" s="68">
        <v>0.19700000000000001</v>
      </c>
      <c r="E69" s="69">
        <f t="shared" si="0"/>
        <v>26.275000000000002</v>
      </c>
      <c r="F69" s="254">
        <f t="shared" si="1"/>
        <v>4.5301724137931041</v>
      </c>
      <c r="H69" s="388">
        <f t="shared" si="2"/>
        <v>43.394521551724146</v>
      </c>
    </row>
    <row r="70" spans="2:8">
      <c r="B70" s="66">
        <v>38443</v>
      </c>
      <c r="C70" s="67">
        <v>24.41</v>
      </c>
      <c r="D70" s="68">
        <v>0.19600000000000001</v>
      </c>
      <c r="E70" s="69">
        <f t="shared" si="0"/>
        <v>25.67</v>
      </c>
      <c r="F70" s="254">
        <f t="shared" si="1"/>
        <v>4.4258620689655173</v>
      </c>
      <c r="H70" s="388">
        <f t="shared" si="2"/>
        <v>42.39533275862069</v>
      </c>
    </row>
    <row r="71" spans="2:8">
      <c r="B71" s="66">
        <v>38473</v>
      </c>
      <c r="C71" s="67">
        <v>23.995000000000001</v>
      </c>
      <c r="D71" s="68">
        <v>0.19600000000000001</v>
      </c>
      <c r="E71" s="69">
        <f t="shared" si="0"/>
        <v>25.255000000000003</v>
      </c>
      <c r="F71" s="254">
        <f t="shared" si="1"/>
        <v>4.3543103448275868</v>
      </c>
      <c r="H71" s="388">
        <f t="shared" si="2"/>
        <v>41.709938793103454</v>
      </c>
    </row>
    <row r="72" spans="2:8">
      <c r="B72" s="66">
        <v>38504</v>
      </c>
      <c r="C72" s="67">
        <v>23.936</v>
      </c>
      <c r="D72" s="68">
        <v>0.19500000000000001</v>
      </c>
      <c r="E72" s="69">
        <f t="shared" ref="E72:E135" si="3">C72+(0.03*42)</f>
        <v>25.196000000000002</v>
      </c>
      <c r="F72" s="254">
        <f t="shared" ref="F72:F135" si="4">E72/$F$4</f>
        <v>4.3441379310344832</v>
      </c>
      <c r="H72" s="388">
        <f t="shared" ref="H72:H135" si="5">(F72*$H$3)/1000</f>
        <v>41.612497241379316</v>
      </c>
    </row>
    <row r="73" spans="2:8">
      <c r="B73" s="66">
        <v>38534</v>
      </c>
      <c r="C73" s="67">
        <v>24.242000000000004</v>
      </c>
      <c r="D73" s="68">
        <v>0.19500000000000001</v>
      </c>
      <c r="E73" s="69">
        <f t="shared" si="3"/>
        <v>25.502000000000006</v>
      </c>
      <c r="F73" s="254">
        <f t="shared" si="4"/>
        <v>4.3968965517241392</v>
      </c>
      <c r="H73" s="388">
        <f t="shared" si="5"/>
        <v>42.117872068965532</v>
      </c>
    </row>
    <row r="74" spans="2:8">
      <c r="B74" s="66">
        <v>38565</v>
      </c>
      <c r="C74" s="67">
        <v>24.745999999999999</v>
      </c>
      <c r="D74" s="68">
        <v>0.19500000000000001</v>
      </c>
      <c r="E74" s="69">
        <f t="shared" si="3"/>
        <v>26.006</v>
      </c>
      <c r="F74" s="254">
        <f t="shared" si="4"/>
        <v>4.4837931034482761</v>
      </c>
      <c r="H74" s="388">
        <f t="shared" si="5"/>
        <v>42.950254137931033</v>
      </c>
    </row>
    <row r="75" spans="2:8">
      <c r="B75" s="66">
        <v>38596</v>
      </c>
      <c r="C75" s="67">
        <v>25.271000000000001</v>
      </c>
      <c r="D75" s="68">
        <v>0.19400000000000003</v>
      </c>
      <c r="E75" s="69">
        <f t="shared" si="3"/>
        <v>26.531000000000002</v>
      </c>
      <c r="F75" s="254">
        <f t="shared" si="4"/>
        <v>4.5743103448275866</v>
      </c>
      <c r="H75" s="388">
        <f t="shared" si="5"/>
        <v>43.817318793103453</v>
      </c>
    </row>
    <row r="76" spans="2:8">
      <c r="B76" s="66">
        <v>38626</v>
      </c>
      <c r="C76" s="67">
        <v>25.788000000000004</v>
      </c>
      <c r="D76" s="68">
        <v>0.19400000000000003</v>
      </c>
      <c r="E76" s="69">
        <f t="shared" si="3"/>
        <v>27.048000000000005</v>
      </c>
      <c r="F76" s="254">
        <f t="shared" si="4"/>
        <v>4.6634482758620699</v>
      </c>
      <c r="H76" s="388">
        <f t="shared" si="5"/>
        <v>44.671171034482768</v>
      </c>
    </row>
    <row r="77" spans="2:8">
      <c r="B77" s="66">
        <v>38657</v>
      </c>
      <c r="C77" s="67">
        <v>26.284000000000002</v>
      </c>
      <c r="D77" s="68">
        <v>0.193</v>
      </c>
      <c r="E77" s="69">
        <f t="shared" si="3"/>
        <v>27.544000000000004</v>
      </c>
      <c r="F77" s="254">
        <f t="shared" si="4"/>
        <v>4.7489655172413805</v>
      </c>
      <c r="H77" s="388">
        <f t="shared" si="5"/>
        <v>45.490340689655184</v>
      </c>
    </row>
    <row r="78" spans="2:8">
      <c r="B78" s="66">
        <v>38687</v>
      </c>
      <c r="C78" s="67">
        <v>26.519000000000002</v>
      </c>
      <c r="D78" s="68">
        <v>0.193</v>
      </c>
      <c r="E78" s="69">
        <f t="shared" si="3"/>
        <v>27.779000000000003</v>
      </c>
      <c r="F78" s="254">
        <f t="shared" si="4"/>
        <v>4.7894827586206903</v>
      </c>
      <c r="H78" s="388">
        <f t="shared" si="5"/>
        <v>45.878455344827593</v>
      </c>
    </row>
    <row r="79" spans="2:8">
      <c r="B79" s="66">
        <v>38718</v>
      </c>
      <c r="C79" s="67">
        <v>26.179000000000002</v>
      </c>
      <c r="D79" s="68">
        <v>0.19</v>
      </c>
      <c r="E79" s="69">
        <f t="shared" si="3"/>
        <v>27.439000000000004</v>
      </c>
      <c r="F79" s="254">
        <f t="shared" si="4"/>
        <v>4.7308620689655179</v>
      </c>
      <c r="H79" s="388">
        <f t="shared" si="5"/>
        <v>45.316927758620693</v>
      </c>
    </row>
    <row r="80" spans="2:8">
      <c r="B80" s="66">
        <v>38749</v>
      </c>
      <c r="C80" s="67">
        <v>25.591000000000001</v>
      </c>
      <c r="D80" s="68">
        <v>0.19</v>
      </c>
      <c r="E80" s="69">
        <f t="shared" si="3"/>
        <v>26.851000000000003</v>
      </c>
      <c r="F80" s="254">
        <f t="shared" si="4"/>
        <v>4.6294827586206901</v>
      </c>
      <c r="H80" s="388">
        <f t="shared" si="5"/>
        <v>44.345815344827592</v>
      </c>
    </row>
    <row r="81" spans="2:8">
      <c r="B81" s="66">
        <v>38777</v>
      </c>
      <c r="C81" s="67">
        <v>25.019000000000002</v>
      </c>
      <c r="D81" s="68">
        <v>0.188</v>
      </c>
      <c r="E81" s="69">
        <f t="shared" si="3"/>
        <v>26.279000000000003</v>
      </c>
      <c r="F81" s="254">
        <f t="shared" si="4"/>
        <v>4.5308620689655177</v>
      </c>
      <c r="H81" s="388">
        <f t="shared" si="5"/>
        <v>43.401127758620696</v>
      </c>
    </row>
    <row r="82" spans="2:8">
      <c r="B82" s="66">
        <v>38808</v>
      </c>
      <c r="C82" s="67">
        <v>24.427000000000003</v>
      </c>
      <c r="D82" s="68">
        <v>0.187</v>
      </c>
      <c r="E82" s="69">
        <f t="shared" si="3"/>
        <v>25.687000000000005</v>
      </c>
      <c r="F82" s="254">
        <f t="shared" si="4"/>
        <v>4.4287931034482764</v>
      </c>
      <c r="H82" s="388">
        <f t="shared" si="5"/>
        <v>42.423409137931039</v>
      </c>
    </row>
    <row r="83" spans="2:8">
      <c r="B83" s="66">
        <v>38838</v>
      </c>
      <c r="C83" s="67">
        <v>24.024000000000001</v>
      </c>
      <c r="D83" s="68">
        <v>0.187</v>
      </c>
      <c r="E83" s="69">
        <f t="shared" si="3"/>
        <v>25.284000000000002</v>
      </c>
      <c r="F83" s="254">
        <f t="shared" si="4"/>
        <v>4.3593103448275867</v>
      </c>
      <c r="H83" s="388">
        <f t="shared" si="5"/>
        <v>41.757833793103458</v>
      </c>
    </row>
    <row r="84" spans="2:8">
      <c r="B84" s="66">
        <v>38869</v>
      </c>
      <c r="C84" s="67">
        <v>23.978000000000002</v>
      </c>
      <c r="D84" s="68">
        <v>0.18600000000000003</v>
      </c>
      <c r="E84" s="69">
        <f t="shared" si="3"/>
        <v>25.238000000000003</v>
      </c>
      <c r="F84" s="254">
        <f t="shared" si="4"/>
        <v>4.3513793103448286</v>
      </c>
      <c r="H84" s="388">
        <f t="shared" si="5"/>
        <v>41.681862413793112</v>
      </c>
    </row>
    <row r="85" spans="2:8">
      <c r="B85" s="66">
        <v>38899</v>
      </c>
      <c r="C85" s="67">
        <v>24.297000000000004</v>
      </c>
      <c r="D85" s="68">
        <v>0.18600000000000003</v>
      </c>
      <c r="E85" s="69">
        <f t="shared" si="3"/>
        <v>25.557000000000006</v>
      </c>
      <c r="F85" s="254">
        <f t="shared" si="4"/>
        <v>4.4063793103448283</v>
      </c>
      <c r="H85" s="388">
        <f t="shared" si="5"/>
        <v>42.208707413793114</v>
      </c>
    </row>
    <row r="86" spans="2:8">
      <c r="B86" s="66">
        <v>38930</v>
      </c>
      <c r="C86" s="67">
        <v>24.809000000000001</v>
      </c>
      <c r="D86" s="68">
        <v>0.185</v>
      </c>
      <c r="E86" s="69">
        <f t="shared" si="3"/>
        <v>26.069000000000003</v>
      </c>
      <c r="F86" s="254">
        <f t="shared" si="4"/>
        <v>4.4946551724137933</v>
      </c>
      <c r="H86" s="388">
        <f t="shared" si="5"/>
        <v>43.054301896551728</v>
      </c>
    </row>
    <row r="87" spans="2:8">
      <c r="B87" s="66">
        <v>38961</v>
      </c>
      <c r="C87" s="67">
        <v>25.350999999999999</v>
      </c>
      <c r="D87" s="68">
        <v>0.185</v>
      </c>
      <c r="E87" s="69">
        <f t="shared" si="3"/>
        <v>26.611000000000001</v>
      </c>
      <c r="F87" s="254">
        <f t="shared" si="4"/>
        <v>4.588103448275862</v>
      </c>
      <c r="H87" s="388">
        <f t="shared" si="5"/>
        <v>43.949442931034483</v>
      </c>
    </row>
    <row r="88" spans="2:8">
      <c r="B88" s="66">
        <v>38991</v>
      </c>
      <c r="C88" s="67">
        <v>25.876000000000001</v>
      </c>
      <c r="D88" s="68">
        <v>0.18400000000000002</v>
      </c>
      <c r="E88" s="69">
        <f t="shared" si="3"/>
        <v>27.136000000000003</v>
      </c>
      <c r="F88" s="254">
        <f t="shared" si="4"/>
        <v>4.6786206896551734</v>
      </c>
      <c r="H88" s="388">
        <f t="shared" si="5"/>
        <v>44.816507586206903</v>
      </c>
    </row>
    <row r="89" spans="2:8">
      <c r="B89" s="66">
        <v>39022</v>
      </c>
      <c r="C89" s="67">
        <v>26.389000000000003</v>
      </c>
      <c r="D89" s="68">
        <v>0.18400000000000002</v>
      </c>
      <c r="E89" s="69">
        <f t="shared" si="3"/>
        <v>27.649000000000004</v>
      </c>
      <c r="F89" s="254">
        <f t="shared" si="4"/>
        <v>4.7670689655172422</v>
      </c>
      <c r="H89" s="388">
        <f t="shared" si="5"/>
        <v>45.663753620689661</v>
      </c>
    </row>
    <row r="90" spans="2:8">
      <c r="B90" s="66">
        <v>39052</v>
      </c>
      <c r="C90" s="67">
        <v>26.632000000000005</v>
      </c>
      <c r="D90" s="68">
        <v>0.18300000000000002</v>
      </c>
      <c r="E90" s="69">
        <f t="shared" si="3"/>
        <v>27.892000000000007</v>
      </c>
      <c r="F90" s="254">
        <f t="shared" si="4"/>
        <v>4.808965517241381</v>
      </c>
      <c r="H90" s="388">
        <f t="shared" si="5"/>
        <v>46.06508068965519</v>
      </c>
    </row>
    <row r="91" spans="2:8">
      <c r="B91" s="66">
        <v>39083</v>
      </c>
      <c r="C91" s="67">
        <v>26.305</v>
      </c>
      <c r="D91" s="68">
        <v>0.18300000000000002</v>
      </c>
      <c r="E91" s="69">
        <f t="shared" si="3"/>
        <v>27.565000000000001</v>
      </c>
      <c r="F91" s="254">
        <f t="shared" si="4"/>
        <v>4.7525862068965523</v>
      </c>
      <c r="H91" s="388">
        <f t="shared" si="5"/>
        <v>45.525023275862075</v>
      </c>
    </row>
    <row r="92" spans="2:8">
      <c r="B92" s="66">
        <v>39114</v>
      </c>
      <c r="C92" s="67">
        <v>25.725000000000001</v>
      </c>
      <c r="D92" s="68">
        <v>0.182</v>
      </c>
      <c r="E92" s="69">
        <f t="shared" si="3"/>
        <v>26.985000000000003</v>
      </c>
      <c r="F92" s="254">
        <f t="shared" si="4"/>
        <v>4.6525862068965527</v>
      </c>
      <c r="H92" s="388">
        <f t="shared" si="5"/>
        <v>44.567123275862073</v>
      </c>
    </row>
    <row r="93" spans="2:8">
      <c r="B93" s="66">
        <v>39142</v>
      </c>
      <c r="C93" s="67">
        <v>25.162000000000003</v>
      </c>
      <c r="D93" s="68">
        <v>0.182</v>
      </c>
      <c r="E93" s="69">
        <f t="shared" si="3"/>
        <v>26.422000000000004</v>
      </c>
      <c r="F93" s="254">
        <f t="shared" si="4"/>
        <v>4.5555172413793112</v>
      </c>
      <c r="H93" s="388">
        <f t="shared" si="5"/>
        <v>43.63729965517242</v>
      </c>
    </row>
    <row r="94" spans="2:8">
      <c r="B94" s="66">
        <v>39173</v>
      </c>
      <c r="C94" s="67">
        <v>24.578000000000003</v>
      </c>
      <c r="D94" s="68">
        <v>0.18100000000000002</v>
      </c>
      <c r="E94" s="69">
        <f t="shared" si="3"/>
        <v>25.838000000000005</v>
      </c>
      <c r="F94" s="254">
        <f t="shared" si="4"/>
        <v>4.4548275862068971</v>
      </c>
      <c r="H94" s="388">
        <f t="shared" si="5"/>
        <v>42.672793448275861</v>
      </c>
    </row>
    <row r="95" spans="2:8">
      <c r="B95" s="66">
        <v>39203</v>
      </c>
      <c r="C95" s="67">
        <v>24.188000000000002</v>
      </c>
      <c r="D95" s="68">
        <v>0.18100000000000002</v>
      </c>
      <c r="E95" s="69">
        <f t="shared" si="3"/>
        <v>25.448000000000004</v>
      </c>
      <c r="F95" s="254">
        <f t="shared" si="4"/>
        <v>4.3875862068965521</v>
      </c>
      <c r="H95" s="388">
        <f t="shared" si="5"/>
        <v>42.028688275862073</v>
      </c>
    </row>
    <row r="96" spans="2:8">
      <c r="B96" s="66">
        <v>39234</v>
      </c>
      <c r="C96" s="67">
        <v>24.154</v>
      </c>
      <c r="D96" s="68">
        <v>0.18100000000000002</v>
      </c>
      <c r="E96" s="69">
        <f t="shared" si="3"/>
        <v>25.414000000000001</v>
      </c>
      <c r="F96" s="254">
        <f t="shared" si="4"/>
        <v>4.3817241379310348</v>
      </c>
      <c r="H96" s="388">
        <f t="shared" si="5"/>
        <v>41.972535517241383</v>
      </c>
    </row>
    <row r="97" spans="2:8">
      <c r="B97" s="66">
        <v>39264</v>
      </c>
      <c r="C97" s="67">
        <v>24.482000000000003</v>
      </c>
      <c r="D97" s="68">
        <v>0.18</v>
      </c>
      <c r="E97" s="69">
        <f t="shared" si="3"/>
        <v>25.742000000000004</v>
      </c>
      <c r="F97" s="254">
        <f t="shared" si="4"/>
        <v>4.4382758620689664</v>
      </c>
      <c r="H97" s="388">
        <f t="shared" si="5"/>
        <v>42.514244482758627</v>
      </c>
    </row>
    <row r="98" spans="2:8">
      <c r="B98" s="66">
        <v>39295</v>
      </c>
      <c r="C98" s="67">
        <v>25.003000000000004</v>
      </c>
      <c r="D98" s="68">
        <v>0.18</v>
      </c>
      <c r="E98" s="69">
        <f t="shared" si="3"/>
        <v>26.263000000000005</v>
      </c>
      <c r="F98" s="254">
        <f t="shared" si="4"/>
        <v>4.5281034482758633</v>
      </c>
      <c r="H98" s="388">
        <f t="shared" si="5"/>
        <v>43.374702931034498</v>
      </c>
    </row>
    <row r="99" spans="2:8">
      <c r="B99" s="66">
        <v>39326</v>
      </c>
      <c r="C99" s="67">
        <v>25.557000000000002</v>
      </c>
      <c r="D99" s="68">
        <v>0.18</v>
      </c>
      <c r="E99" s="69">
        <f t="shared" si="3"/>
        <v>26.817000000000004</v>
      </c>
      <c r="F99" s="254">
        <f t="shared" si="4"/>
        <v>4.6236206896551728</v>
      </c>
      <c r="H99" s="388">
        <f t="shared" si="5"/>
        <v>44.289662586206894</v>
      </c>
    </row>
    <row r="100" spans="2:8">
      <c r="B100" s="66">
        <v>39356</v>
      </c>
      <c r="C100" s="67">
        <v>26.09</v>
      </c>
      <c r="D100" s="68">
        <v>0.17900000000000002</v>
      </c>
      <c r="E100" s="69">
        <f t="shared" si="3"/>
        <v>27.35</v>
      </c>
      <c r="F100" s="254">
        <f t="shared" si="4"/>
        <v>4.7155172413793105</v>
      </c>
      <c r="H100" s="388">
        <f t="shared" si="5"/>
        <v>45.169939655172413</v>
      </c>
    </row>
    <row r="101" spans="2:8">
      <c r="B101" s="66">
        <v>39387</v>
      </c>
      <c r="C101" s="67">
        <v>26.607000000000003</v>
      </c>
      <c r="D101" s="68">
        <v>0.17900000000000002</v>
      </c>
      <c r="E101" s="69">
        <f t="shared" si="3"/>
        <v>27.867000000000004</v>
      </c>
      <c r="F101" s="254">
        <f t="shared" si="4"/>
        <v>4.8046551724137938</v>
      </c>
      <c r="H101" s="388">
        <f t="shared" si="5"/>
        <v>46.023791896551728</v>
      </c>
    </row>
    <row r="102" spans="2:8">
      <c r="B102" s="66">
        <v>39417</v>
      </c>
      <c r="C102" s="67">
        <v>26.855</v>
      </c>
      <c r="D102" s="68">
        <v>0.17900000000000002</v>
      </c>
      <c r="E102" s="69">
        <f t="shared" si="3"/>
        <v>28.115000000000002</v>
      </c>
      <c r="F102" s="254">
        <f t="shared" si="4"/>
        <v>4.8474137931034491</v>
      </c>
      <c r="H102" s="388">
        <f t="shared" si="5"/>
        <v>46.433376724137936</v>
      </c>
    </row>
    <row r="103" spans="2:8">
      <c r="B103" s="66">
        <v>39448</v>
      </c>
      <c r="C103" s="67">
        <v>26.523000000000003</v>
      </c>
      <c r="D103" s="68">
        <v>0.17600000000000002</v>
      </c>
      <c r="E103" s="69">
        <f t="shared" si="3"/>
        <v>27.783000000000005</v>
      </c>
      <c r="F103" s="254">
        <f t="shared" si="4"/>
        <v>4.7901724137931048</v>
      </c>
      <c r="H103" s="388">
        <f t="shared" si="5"/>
        <v>45.885061551724156</v>
      </c>
    </row>
    <row r="104" spans="2:8">
      <c r="B104" s="66">
        <v>39479</v>
      </c>
      <c r="C104" s="67">
        <v>25.948000000000004</v>
      </c>
      <c r="D104" s="68">
        <v>0.17600000000000002</v>
      </c>
      <c r="E104" s="69">
        <f t="shared" si="3"/>
        <v>27.208000000000006</v>
      </c>
      <c r="F104" s="254">
        <f t="shared" si="4"/>
        <v>4.6910344827586217</v>
      </c>
      <c r="H104" s="388">
        <f t="shared" si="5"/>
        <v>44.935419310344834</v>
      </c>
    </row>
    <row r="105" spans="2:8">
      <c r="B105" s="66">
        <v>39508</v>
      </c>
      <c r="C105" s="67">
        <v>25.385000000000002</v>
      </c>
      <c r="D105" s="68">
        <v>0.17600000000000002</v>
      </c>
      <c r="E105" s="69">
        <f t="shared" si="3"/>
        <v>26.645000000000003</v>
      </c>
      <c r="F105" s="254">
        <f t="shared" si="4"/>
        <v>4.5939655172413802</v>
      </c>
      <c r="H105" s="388">
        <f t="shared" si="5"/>
        <v>44.005595689655181</v>
      </c>
    </row>
    <row r="106" spans="2:8">
      <c r="B106" s="66">
        <v>39539</v>
      </c>
      <c r="C106" s="67">
        <v>24.805</v>
      </c>
      <c r="D106" s="68">
        <v>0.17600000000000002</v>
      </c>
      <c r="E106" s="69">
        <f t="shared" si="3"/>
        <v>26.065000000000001</v>
      </c>
      <c r="F106" s="254">
        <f t="shared" si="4"/>
        <v>4.4939655172413797</v>
      </c>
      <c r="H106" s="388">
        <f t="shared" si="5"/>
        <v>43.047695689655178</v>
      </c>
    </row>
    <row r="107" spans="2:8">
      <c r="B107" s="66">
        <v>39569</v>
      </c>
      <c r="C107" s="67">
        <v>24.414999999999999</v>
      </c>
      <c r="D107" s="68">
        <v>0.17600000000000002</v>
      </c>
      <c r="E107" s="69">
        <f t="shared" si="3"/>
        <v>25.675000000000001</v>
      </c>
      <c r="F107" s="254">
        <f t="shared" si="4"/>
        <v>4.4267241379310347</v>
      </c>
      <c r="H107" s="388">
        <f t="shared" si="5"/>
        <v>42.403590517241383</v>
      </c>
    </row>
    <row r="108" spans="2:8">
      <c r="B108" s="66">
        <v>39600</v>
      </c>
      <c r="C108" s="67">
        <v>24.377000000000002</v>
      </c>
      <c r="D108" s="68">
        <v>0.17600000000000002</v>
      </c>
      <c r="E108" s="69">
        <f t="shared" si="3"/>
        <v>25.637000000000004</v>
      </c>
      <c r="F108" s="254">
        <f t="shared" si="4"/>
        <v>4.4201724137931047</v>
      </c>
      <c r="H108" s="388">
        <f t="shared" si="5"/>
        <v>42.34083155172415</v>
      </c>
    </row>
    <row r="109" spans="2:8">
      <c r="B109" s="66">
        <v>39630</v>
      </c>
      <c r="C109" s="67">
        <v>24.709000000000003</v>
      </c>
      <c r="D109" s="68">
        <v>0.17600000000000002</v>
      </c>
      <c r="E109" s="69">
        <f t="shared" si="3"/>
        <v>25.969000000000005</v>
      </c>
      <c r="F109" s="254">
        <f t="shared" si="4"/>
        <v>4.477413793103449</v>
      </c>
      <c r="H109" s="388">
        <f t="shared" si="5"/>
        <v>42.889146724137937</v>
      </c>
    </row>
    <row r="110" spans="2:8">
      <c r="B110" s="66">
        <v>39661</v>
      </c>
      <c r="C110" s="67">
        <v>25.234000000000002</v>
      </c>
      <c r="D110" s="68">
        <v>0.17600000000000002</v>
      </c>
      <c r="E110" s="69">
        <f t="shared" si="3"/>
        <v>26.494000000000003</v>
      </c>
      <c r="F110" s="254">
        <f t="shared" si="4"/>
        <v>4.5679310344827595</v>
      </c>
      <c r="H110" s="388">
        <f t="shared" si="5"/>
        <v>43.756211379310358</v>
      </c>
    </row>
    <row r="111" spans="2:8">
      <c r="B111" s="66">
        <v>39692</v>
      </c>
      <c r="C111" s="67">
        <v>25.784000000000002</v>
      </c>
      <c r="D111" s="68">
        <v>0.17600000000000002</v>
      </c>
      <c r="E111" s="69">
        <f t="shared" si="3"/>
        <v>27.044000000000004</v>
      </c>
      <c r="F111" s="254">
        <f t="shared" si="4"/>
        <v>4.6627586206896563</v>
      </c>
      <c r="H111" s="388">
        <f t="shared" si="5"/>
        <v>44.664564827586219</v>
      </c>
    </row>
    <row r="112" spans="2:8">
      <c r="B112" s="66">
        <v>39722</v>
      </c>
      <c r="C112" s="67">
        <v>26.320999999999998</v>
      </c>
      <c r="D112" s="68">
        <v>0.17600000000000002</v>
      </c>
      <c r="E112" s="69">
        <f t="shared" si="3"/>
        <v>27.581</v>
      </c>
      <c r="F112" s="254">
        <f t="shared" si="4"/>
        <v>4.7553448275862067</v>
      </c>
      <c r="H112" s="388">
        <f t="shared" si="5"/>
        <v>45.551448103448273</v>
      </c>
    </row>
    <row r="113" spans="2:8">
      <c r="B113" s="66">
        <v>39753</v>
      </c>
      <c r="C113" s="67">
        <v>26.607000000000003</v>
      </c>
      <c r="D113" s="68">
        <v>0.17600000000000002</v>
      </c>
      <c r="E113" s="69">
        <f t="shared" si="3"/>
        <v>27.867000000000004</v>
      </c>
      <c r="F113" s="254">
        <f t="shared" si="4"/>
        <v>4.8046551724137938</v>
      </c>
      <c r="H113" s="388">
        <f t="shared" si="5"/>
        <v>46.023791896551728</v>
      </c>
    </row>
    <row r="114" spans="2:8">
      <c r="B114" s="66">
        <v>39783</v>
      </c>
      <c r="C114" s="67">
        <v>26.855</v>
      </c>
      <c r="D114" s="68">
        <v>0.17600000000000002</v>
      </c>
      <c r="E114" s="69">
        <f t="shared" si="3"/>
        <v>28.115000000000002</v>
      </c>
      <c r="F114" s="254">
        <f t="shared" si="4"/>
        <v>4.8474137931034491</v>
      </c>
      <c r="H114" s="388">
        <f t="shared" si="5"/>
        <v>46.433376724137936</v>
      </c>
    </row>
    <row r="115" spans="2:8">
      <c r="B115" s="66">
        <v>39814</v>
      </c>
      <c r="C115" s="67">
        <v>26.523000000000003</v>
      </c>
      <c r="D115" s="68">
        <v>0.17600000000000002</v>
      </c>
      <c r="E115" s="69">
        <f t="shared" si="3"/>
        <v>27.783000000000005</v>
      </c>
      <c r="F115" s="254">
        <f t="shared" si="4"/>
        <v>4.7901724137931048</v>
      </c>
      <c r="H115" s="388">
        <f t="shared" si="5"/>
        <v>45.885061551724156</v>
      </c>
    </row>
    <row r="116" spans="2:8">
      <c r="B116" s="66">
        <v>39845</v>
      </c>
      <c r="C116" s="67">
        <v>25.948000000000004</v>
      </c>
      <c r="D116" s="68">
        <v>0.17600000000000002</v>
      </c>
      <c r="E116" s="69">
        <f t="shared" si="3"/>
        <v>27.208000000000006</v>
      </c>
      <c r="F116" s="254">
        <f t="shared" si="4"/>
        <v>4.6910344827586217</v>
      </c>
      <c r="H116" s="388">
        <f t="shared" si="5"/>
        <v>44.935419310344834</v>
      </c>
    </row>
    <row r="117" spans="2:8">
      <c r="B117" s="66">
        <v>39873</v>
      </c>
      <c r="C117" s="67">
        <v>25.385000000000002</v>
      </c>
      <c r="D117" s="68">
        <v>0.17600000000000002</v>
      </c>
      <c r="E117" s="69">
        <f t="shared" si="3"/>
        <v>26.645000000000003</v>
      </c>
      <c r="F117" s="254">
        <f t="shared" si="4"/>
        <v>4.5939655172413802</v>
      </c>
      <c r="H117" s="388">
        <f t="shared" si="5"/>
        <v>44.005595689655181</v>
      </c>
    </row>
    <row r="118" spans="2:8">
      <c r="B118" s="66">
        <v>39904</v>
      </c>
      <c r="C118" s="67">
        <v>24.805</v>
      </c>
      <c r="D118" s="68">
        <v>0.17600000000000002</v>
      </c>
      <c r="E118" s="69">
        <f t="shared" si="3"/>
        <v>26.065000000000001</v>
      </c>
      <c r="F118" s="254">
        <f t="shared" si="4"/>
        <v>4.4939655172413797</v>
      </c>
      <c r="H118" s="388">
        <f t="shared" si="5"/>
        <v>43.047695689655178</v>
      </c>
    </row>
    <row r="119" spans="2:8">
      <c r="B119" s="66">
        <v>39934</v>
      </c>
      <c r="C119" s="67">
        <v>24.414999999999999</v>
      </c>
      <c r="D119" s="68">
        <v>0.17600000000000002</v>
      </c>
      <c r="E119" s="69">
        <f t="shared" si="3"/>
        <v>25.675000000000001</v>
      </c>
      <c r="F119" s="254">
        <f t="shared" si="4"/>
        <v>4.4267241379310347</v>
      </c>
      <c r="H119" s="388">
        <f t="shared" si="5"/>
        <v>42.403590517241383</v>
      </c>
    </row>
    <row r="120" spans="2:8">
      <c r="B120" s="66">
        <v>39965</v>
      </c>
      <c r="C120" s="67">
        <v>24.377000000000002</v>
      </c>
      <c r="D120" s="68">
        <v>0.17600000000000002</v>
      </c>
      <c r="E120" s="69">
        <f t="shared" si="3"/>
        <v>25.637000000000004</v>
      </c>
      <c r="F120" s="254">
        <f t="shared" si="4"/>
        <v>4.4201724137931047</v>
      </c>
      <c r="H120" s="388">
        <f t="shared" si="5"/>
        <v>42.34083155172415</v>
      </c>
    </row>
    <row r="121" spans="2:8">
      <c r="B121" s="66">
        <v>39995</v>
      </c>
      <c r="C121" s="67">
        <v>24.709000000000003</v>
      </c>
      <c r="D121" s="68">
        <v>0.17600000000000002</v>
      </c>
      <c r="E121" s="69">
        <f t="shared" si="3"/>
        <v>25.969000000000005</v>
      </c>
      <c r="F121" s="254">
        <f t="shared" si="4"/>
        <v>4.477413793103449</v>
      </c>
      <c r="H121" s="388">
        <f t="shared" si="5"/>
        <v>42.889146724137937</v>
      </c>
    </row>
    <row r="122" spans="2:8">
      <c r="B122" s="66">
        <v>40026</v>
      </c>
      <c r="C122" s="67">
        <v>25.234000000000002</v>
      </c>
      <c r="D122" s="68">
        <v>0.17600000000000002</v>
      </c>
      <c r="E122" s="69">
        <f t="shared" si="3"/>
        <v>26.494000000000003</v>
      </c>
      <c r="F122" s="254">
        <f t="shared" si="4"/>
        <v>4.5679310344827595</v>
      </c>
      <c r="H122" s="388">
        <f t="shared" si="5"/>
        <v>43.756211379310358</v>
      </c>
    </row>
    <row r="123" spans="2:8">
      <c r="B123" s="66">
        <v>40057</v>
      </c>
      <c r="C123" s="67">
        <v>25.784000000000002</v>
      </c>
      <c r="D123" s="68">
        <v>0.17600000000000002</v>
      </c>
      <c r="E123" s="69">
        <f t="shared" si="3"/>
        <v>27.044000000000004</v>
      </c>
      <c r="F123" s="254">
        <f t="shared" si="4"/>
        <v>4.6627586206896563</v>
      </c>
      <c r="H123" s="388">
        <f t="shared" si="5"/>
        <v>44.664564827586219</v>
      </c>
    </row>
    <row r="124" spans="2:8">
      <c r="B124" s="66">
        <v>40087</v>
      </c>
      <c r="C124" s="67">
        <v>26.320999999999998</v>
      </c>
      <c r="D124" s="68">
        <v>0.17600000000000002</v>
      </c>
      <c r="E124" s="69">
        <f t="shared" si="3"/>
        <v>27.581</v>
      </c>
      <c r="F124" s="254">
        <f t="shared" si="4"/>
        <v>4.7553448275862067</v>
      </c>
      <c r="H124" s="388">
        <f t="shared" si="5"/>
        <v>45.551448103448273</v>
      </c>
    </row>
    <row r="125" spans="2:8">
      <c r="B125" s="66">
        <v>40118</v>
      </c>
      <c r="C125" s="67">
        <v>26.607000000000003</v>
      </c>
      <c r="D125" s="68">
        <v>0.17600000000000002</v>
      </c>
      <c r="E125" s="69">
        <f t="shared" si="3"/>
        <v>27.867000000000004</v>
      </c>
      <c r="F125" s="254">
        <f t="shared" si="4"/>
        <v>4.8046551724137938</v>
      </c>
      <c r="H125" s="388">
        <f t="shared" si="5"/>
        <v>46.023791896551728</v>
      </c>
    </row>
    <row r="126" spans="2:8">
      <c r="B126" s="66">
        <v>40148</v>
      </c>
      <c r="C126" s="67">
        <v>26.855</v>
      </c>
      <c r="D126" s="68">
        <v>0.17600000000000002</v>
      </c>
      <c r="E126" s="69">
        <f t="shared" si="3"/>
        <v>28.115000000000002</v>
      </c>
      <c r="F126" s="254">
        <f t="shared" si="4"/>
        <v>4.8474137931034491</v>
      </c>
      <c r="H126" s="388">
        <f t="shared" si="5"/>
        <v>46.433376724137936</v>
      </c>
    </row>
    <row r="127" spans="2:8">
      <c r="B127" s="66">
        <v>40179</v>
      </c>
      <c r="C127" s="67">
        <v>26.523000000000003</v>
      </c>
      <c r="D127" s="68">
        <v>0.17600000000000002</v>
      </c>
      <c r="E127" s="69">
        <f t="shared" si="3"/>
        <v>27.783000000000005</v>
      </c>
      <c r="F127" s="254">
        <f t="shared" si="4"/>
        <v>4.7901724137931048</v>
      </c>
      <c r="H127" s="388">
        <f t="shared" si="5"/>
        <v>45.885061551724156</v>
      </c>
    </row>
    <row r="128" spans="2:8">
      <c r="B128" s="66">
        <v>40210</v>
      </c>
      <c r="C128" s="67">
        <v>25.948000000000004</v>
      </c>
      <c r="D128" s="68">
        <v>0.17600000000000002</v>
      </c>
      <c r="E128" s="69">
        <f t="shared" si="3"/>
        <v>27.208000000000006</v>
      </c>
      <c r="F128" s="254">
        <f t="shared" si="4"/>
        <v>4.6910344827586217</v>
      </c>
      <c r="H128" s="388">
        <f t="shared" si="5"/>
        <v>44.935419310344834</v>
      </c>
    </row>
    <row r="129" spans="2:8">
      <c r="B129" s="66">
        <v>40238</v>
      </c>
      <c r="C129" s="67">
        <v>25.385000000000002</v>
      </c>
      <c r="D129" s="68">
        <v>0.17600000000000002</v>
      </c>
      <c r="E129" s="69">
        <f t="shared" si="3"/>
        <v>26.645000000000003</v>
      </c>
      <c r="F129" s="254">
        <f t="shared" si="4"/>
        <v>4.5939655172413802</v>
      </c>
      <c r="H129" s="388">
        <f t="shared" si="5"/>
        <v>44.005595689655181</v>
      </c>
    </row>
    <row r="130" spans="2:8">
      <c r="B130" s="66">
        <v>40269</v>
      </c>
      <c r="C130" s="67">
        <v>24.805</v>
      </c>
      <c r="D130" s="68">
        <v>0.17600000000000002</v>
      </c>
      <c r="E130" s="69">
        <f t="shared" si="3"/>
        <v>26.065000000000001</v>
      </c>
      <c r="F130" s="254">
        <f t="shared" si="4"/>
        <v>4.4939655172413797</v>
      </c>
      <c r="H130" s="388">
        <f t="shared" si="5"/>
        <v>43.047695689655178</v>
      </c>
    </row>
    <row r="131" spans="2:8">
      <c r="B131" s="66">
        <v>40299</v>
      </c>
      <c r="C131" s="67">
        <v>24.414999999999999</v>
      </c>
      <c r="D131" s="68">
        <v>0.17600000000000002</v>
      </c>
      <c r="E131" s="69">
        <f t="shared" si="3"/>
        <v>25.675000000000001</v>
      </c>
      <c r="F131" s="254">
        <f t="shared" si="4"/>
        <v>4.4267241379310347</v>
      </c>
      <c r="H131" s="388">
        <f t="shared" si="5"/>
        <v>42.403590517241383</v>
      </c>
    </row>
    <row r="132" spans="2:8">
      <c r="B132" s="66">
        <v>40330</v>
      </c>
      <c r="C132" s="67">
        <v>24.377000000000002</v>
      </c>
      <c r="D132" s="68">
        <v>0.17600000000000002</v>
      </c>
      <c r="E132" s="69">
        <f t="shared" si="3"/>
        <v>25.637000000000004</v>
      </c>
      <c r="F132" s="254">
        <f t="shared" si="4"/>
        <v>4.4201724137931047</v>
      </c>
      <c r="H132" s="388">
        <f t="shared" si="5"/>
        <v>42.34083155172415</v>
      </c>
    </row>
    <row r="133" spans="2:8">
      <c r="B133" s="66">
        <v>40360</v>
      </c>
      <c r="C133" s="67">
        <v>24.709000000000003</v>
      </c>
      <c r="D133" s="68">
        <v>0.17600000000000002</v>
      </c>
      <c r="E133" s="69">
        <f t="shared" si="3"/>
        <v>25.969000000000005</v>
      </c>
      <c r="F133" s="254">
        <f t="shared" si="4"/>
        <v>4.477413793103449</v>
      </c>
      <c r="H133" s="388">
        <f t="shared" si="5"/>
        <v>42.889146724137937</v>
      </c>
    </row>
    <row r="134" spans="2:8">
      <c r="B134" s="66">
        <v>40391</v>
      </c>
      <c r="C134" s="67">
        <v>25.234000000000002</v>
      </c>
      <c r="D134" s="68">
        <v>0.17600000000000002</v>
      </c>
      <c r="E134" s="69">
        <f t="shared" si="3"/>
        <v>26.494000000000003</v>
      </c>
      <c r="F134" s="254">
        <f t="shared" si="4"/>
        <v>4.5679310344827595</v>
      </c>
      <c r="H134" s="388">
        <f t="shared" si="5"/>
        <v>43.756211379310358</v>
      </c>
    </row>
    <row r="135" spans="2:8">
      <c r="B135" s="66">
        <v>40422</v>
      </c>
      <c r="C135" s="67">
        <v>25.784000000000002</v>
      </c>
      <c r="D135" s="68">
        <v>0.17600000000000002</v>
      </c>
      <c r="E135" s="69">
        <f t="shared" si="3"/>
        <v>27.044000000000004</v>
      </c>
      <c r="F135" s="254">
        <f t="shared" si="4"/>
        <v>4.6627586206896563</v>
      </c>
      <c r="H135" s="388">
        <f t="shared" si="5"/>
        <v>44.664564827586219</v>
      </c>
    </row>
    <row r="136" spans="2:8">
      <c r="B136" s="66">
        <v>40452</v>
      </c>
      <c r="C136" s="67">
        <v>26.320999999999998</v>
      </c>
      <c r="D136" s="68">
        <v>0.17600000000000002</v>
      </c>
      <c r="E136" s="69">
        <f t="shared" ref="E136:E199" si="6">C136+(0.03*42)</f>
        <v>27.581</v>
      </c>
      <c r="F136" s="254">
        <f t="shared" ref="F136:F199" si="7">E136/$F$4</f>
        <v>4.7553448275862067</v>
      </c>
      <c r="H136" s="388">
        <f t="shared" ref="H136:H199" si="8">(F136*$H$3)/1000</f>
        <v>45.551448103448273</v>
      </c>
    </row>
    <row r="137" spans="2:8">
      <c r="B137" s="66">
        <v>40483</v>
      </c>
      <c r="C137" s="67">
        <v>26.607000000000003</v>
      </c>
      <c r="D137" s="68">
        <v>0.17600000000000002</v>
      </c>
      <c r="E137" s="69">
        <f t="shared" si="6"/>
        <v>27.867000000000004</v>
      </c>
      <c r="F137" s="254">
        <f t="shared" si="7"/>
        <v>4.8046551724137938</v>
      </c>
      <c r="H137" s="388">
        <f t="shared" si="8"/>
        <v>46.023791896551728</v>
      </c>
    </row>
    <row r="138" spans="2:8">
      <c r="B138" s="66">
        <v>40513</v>
      </c>
      <c r="C138" s="67">
        <v>26.855</v>
      </c>
      <c r="D138" s="68">
        <v>0.17600000000000002</v>
      </c>
      <c r="E138" s="69">
        <f t="shared" si="6"/>
        <v>28.115000000000002</v>
      </c>
      <c r="F138" s="254">
        <f t="shared" si="7"/>
        <v>4.8474137931034491</v>
      </c>
      <c r="H138" s="388">
        <f t="shared" si="8"/>
        <v>46.433376724137936</v>
      </c>
    </row>
    <row r="139" spans="2:8">
      <c r="B139" s="66">
        <v>40544</v>
      </c>
      <c r="C139" s="67">
        <v>26.523000000000003</v>
      </c>
      <c r="D139" s="68">
        <v>0.17600000000000002</v>
      </c>
      <c r="E139" s="69">
        <f t="shared" si="6"/>
        <v>27.783000000000005</v>
      </c>
      <c r="F139" s="254">
        <f t="shared" si="7"/>
        <v>4.7901724137931048</v>
      </c>
      <c r="H139" s="388">
        <f t="shared" si="8"/>
        <v>45.885061551724156</v>
      </c>
    </row>
    <row r="140" spans="2:8">
      <c r="B140" s="66">
        <v>40575</v>
      </c>
      <c r="C140" s="67">
        <v>25.948000000000004</v>
      </c>
      <c r="D140" s="68">
        <v>0.17600000000000002</v>
      </c>
      <c r="E140" s="69">
        <f t="shared" si="6"/>
        <v>27.208000000000006</v>
      </c>
      <c r="F140" s="254">
        <f t="shared" si="7"/>
        <v>4.6910344827586217</v>
      </c>
      <c r="H140" s="388">
        <f t="shared" si="8"/>
        <v>44.935419310344834</v>
      </c>
    </row>
    <row r="141" spans="2:8">
      <c r="B141" s="66">
        <v>40603</v>
      </c>
      <c r="C141" s="67">
        <v>25.385000000000002</v>
      </c>
      <c r="D141" s="68">
        <v>0.17600000000000002</v>
      </c>
      <c r="E141" s="69">
        <f t="shared" si="6"/>
        <v>26.645000000000003</v>
      </c>
      <c r="F141" s="254">
        <f t="shared" si="7"/>
        <v>4.5939655172413802</v>
      </c>
      <c r="H141" s="388">
        <f t="shared" si="8"/>
        <v>44.005595689655181</v>
      </c>
    </row>
    <row r="142" spans="2:8">
      <c r="B142" s="66">
        <v>40634</v>
      </c>
      <c r="C142" s="67">
        <v>24.805</v>
      </c>
      <c r="D142" s="68">
        <v>0.17600000000000002</v>
      </c>
      <c r="E142" s="69">
        <f t="shared" si="6"/>
        <v>26.065000000000001</v>
      </c>
      <c r="F142" s="254">
        <f t="shared" si="7"/>
        <v>4.4939655172413797</v>
      </c>
      <c r="H142" s="388">
        <f t="shared" si="8"/>
        <v>43.047695689655178</v>
      </c>
    </row>
    <row r="143" spans="2:8">
      <c r="B143" s="66">
        <v>40664</v>
      </c>
      <c r="C143" s="67">
        <v>24.414999999999999</v>
      </c>
      <c r="D143" s="68">
        <v>0.17600000000000002</v>
      </c>
      <c r="E143" s="69">
        <f t="shared" si="6"/>
        <v>25.675000000000001</v>
      </c>
      <c r="F143" s="254">
        <f t="shared" si="7"/>
        <v>4.4267241379310347</v>
      </c>
      <c r="H143" s="388">
        <f t="shared" si="8"/>
        <v>42.403590517241383</v>
      </c>
    </row>
    <row r="144" spans="2:8">
      <c r="B144" s="66">
        <v>40695</v>
      </c>
      <c r="C144" s="67">
        <v>24.377000000000002</v>
      </c>
      <c r="D144" s="68">
        <v>0.17600000000000002</v>
      </c>
      <c r="E144" s="69">
        <f t="shared" si="6"/>
        <v>25.637000000000004</v>
      </c>
      <c r="F144" s="254">
        <f t="shared" si="7"/>
        <v>4.4201724137931047</v>
      </c>
      <c r="H144" s="388">
        <f t="shared" si="8"/>
        <v>42.34083155172415</v>
      </c>
    </row>
    <row r="145" spans="2:8">
      <c r="B145" s="66">
        <v>40725</v>
      </c>
      <c r="C145" s="67">
        <v>24.709000000000003</v>
      </c>
      <c r="D145" s="68">
        <v>0.17600000000000002</v>
      </c>
      <c r="E145" s="69">
        <f t="shared" si="6"/>
        <v>25.969000000000005</v>
      </c>
      <c r="F145" s="254">
        <f t="shared" si="7"/>
        <v>4.477413793103449</v>
      </c>
      <c r="H145" s="388">
        <f t="shared" si="8"/>
        <v>42.889146724137937</v>
      </c>
    </row>
    <row r="146" spans="2:8">
      <c r="B146" s="66">
        <v>40756</v>
      </c>
      <c r="C146" s="67">
        <v>25.234000000000002</v>
      </c>
      <c r="D146" s="68">
        <v>0.17600000000000002</v>
      </c>
      <c r="E146" s="69">
        <f t="shared" si="6"/>
        <v>26.494000000000003</v>
      </c>
      <c r="F146" s="254">
        <f t="shared" si="7"/>
        <v>4.5679310344827595</v>
      </c>
      <c r="H146" s="388">
        <f t="shared" si="8"/>
        <v>43.756211379310358</v>
      </c>
    </row>
    <row r="147" spans="2:8">
      <c r="B147" s="66">
        <v>40787</v>
      </c>
      <c r="C147" s="67">
        <v>25.784000000000002</v>
      </c>
      <c r="D147" s="68">
        <v>0.17600000000000002</v>
      </c>
      <c r="E147" s="69">
        <f t="shared" si="6"/>
        <v>27.044000000000004</v>
      </c>
      <c r="F147" s="254">
        <f t="shared" si="7"/>
        <v>4.6627586206896563</v>
      </c>
      <c r="H147" s="388">
        <f t="shared" si="8"/>
        <v>44.664564827586219</v>
      </c>
    </row>
    <row r="148" spans="2:8">
      <c r="B148" s="66">
        <v>40817</v>
      </c>
      <c r="C148" s="67">
        <v>26.320999999999998</v>
      </c>
      <c r="D148" s="68">
        <v>0.17600000000000002</v>
      </c>
      <c r="E148" s="69">
        <f t="shared" si="6"/>
        <v>27.581</v>
      </c>
      <c r="F148" s="254">
        <f t="shared" si="7"/>
        <v>4.7553448275862067</v>
      </c>
      <c r="H148" s="388">
        <f t="shared" si="8"/>
        <v>45.551448103448273</v>
      </c>
    </row>
    <row r="149" spans="2:8">
      <c r="B149" s="66">
        <v>40848</v>
      </c>
      <c r="C149" s="67">
        <v>26.607000000000003</v>
      </c>
      <c r="D149" s="68">
        <v>0.17600000000000002</v>
      </c>
      <c r="E149" s="69">
        <f t="shared" si="6"/>
        <v>27.867000000000004</v>
      </c>
      <c r="F149" s="254">
        <f t="shared" si="7"/>
        <v>4.8046551724137938</v>
      </c>
      <c r="H149" s="388">
        <f t="shared" si="8"/>
        <v>46.023791896551728</v>
      </c>
    </row>
    <row r="150" spans="2:8">
      <c r="B150" s="66">
        <v>40878</v>
      </c>
      <c r="C150" s="67">
        <v>26.855</v>
      </c>
      <c r="D150" s="68">
        <v>0.17600000000000002</v>
      </c>
      <c r="E150" s="69">
        <f t="shared" si="6"/>
        <v>28.115000000000002</v>
      </c>
      <c r="F150" s="254">
        <f t="shared" si="7"/>
        <v>4.8474137931034491</v>
      </c>
      <c r="H150" s="388">
        <f t="shared" si="8"/>
        <v>46.433376724137936</v>
      </c>
    </row>
    <row r="151" spans="2:8">
      <c r="B151" s="66">
        <v>40909</v>
      </c>
      <c r="C151" s="67">
        <v>26.523000000000003</v>
      </c>
      <c r="D151" s="68">
        <v>0.17600000000000002</v>
      </c>
      <c r="E151" s="69">
        <f t="shared" si="6"/>
        <v>27.783000000000005</v>
      </c>
      <c r="F151" s="254">
        <f t="shared" si="7"/>
        <v>4.7901724137931048</v>
      </c>
      <c r="H151" s="388">
        <f t="shared" si="8"/>
        <v>45.885061551724156</v>
      </c>
    </row>
    <row r="152" spans="2:8">
      <c r="B152" s="66">
        <v>40940</v>
      </c>
      <c r="C152" s="67">
        <v>25.948000000000004</v>
      </c>
      <c r="D152" s="68">
        <v>0.17600000000000002</v>
      </c>
      <c r="E152" s="69">
        <f t="shared" si="6"/>
        <v>27.208000000000006</v>
      </c>
      <c r="F152" s="254">
        <f t="shared" si="7"/>
        <v>4.6910344827586217</v>
      </c>
      <c r="H152" s="388">
        <f t="shared" si="8"/>
        <v>44.935419310344834</v>
      </c>
    </row>
    <row r="153" spans="2:8">
      <c r="B153" s="66">
        <v>40969</v>
      </c>
      <c r="C153" s="67">
        <v>25.385000000000002</v>
      </c>
      <c r="D153" s="68">
        <v>0.17600000000000002</v>
      </c>
      <c r="E153" s="69">
        <f t="shared" si="6"/>
        <v>26.645000000000003</v>
      </c>
      <c r="F153" s="254">
        <f t="shared" si="7"/>
        <v>4.5939655172413802</v>
      </c>
      <c r="H153" s="388">
        <f t="shared" si="8"/>
        <v>44.005595689655181</v>
      </c>
    </row>
    <row r="154" spans="2:8">
      <c r="B154" s="66">
        <v>41000</v>
      </c>
      <c r="C154" s="67">
        <v>24.805</v>
      </c>
      <c r="D154" s="68">
        <v>0.17600000000000002</v>
      </c>
      <c r="E154" s="69">
        <f t="shared" si="6"/>
        <v>26.065000000000001</v>
      </c>
      <c r="F154" s="254">
        <f t="shared" si="7"/>
        <v>4.4939655172413797</v>
      </c>
      <c r="H154" s="388">
        <f t="shared" si="8"/>
        <v>43.047695689655178</v>
      </c>
    </row>
    <row r="155" spans="2:8">
      <c r="B155" s="66">
        <v>41030</v>
      </c>
      <c r="C155" s="67">
        <v>24.414999999999999</v>
      </c>
      <c r="D155" s="68">
        <v>0.17600000000000002</v>
      </c>
      <c r="E155" s="69">
        <f t="shared" si="6"/>
        <v>25.675000000000001</v>
      </c>
      <c r="F155" s="254">
        <f t="shared" si="7"/>
        <v>4.4267241379310347</v>
      </c>
      <c r="H155" s="388">
        <f t="shared" si="8"/>
        <v>42.403590517241383</v>
      </c>
    </row>
    <row r="156" spans="2:8">
      <c r="B156" s="66">
        <v>41061</v>
      </c>
      <c r="C156" s="67">
        <v>24.377000000000002</v>
      </c>
      <c r="D156" s="68">
        <v>0.17600000000000002</v>
      </c>
      <c r="E156" s="69">
        <f t="shared" si="6"/>
        <v>25.637000000000004</v>
      </c>
      <c r="F156" s="254">
        <f t="shared" si="7"/>
        <v>4.4201724137931047</v>
      </c>
      <c r="H156" s="388">
        <f t="shared" si="8"/>
        <v>42.34083155172415</v>
      </c>
    </row>
    <row r="157" spans="2:8">
      <c r="B157" s="66">
        <v>41091</v>
      </c>
      <c r="C157" s="67">
        <v>24.709000000000003</v>
      </c>
      <c r="D157" s="68">
        <v>0.17600000000000002</v>
      </c>
      <c r="E157" s="69">
        <f t="shared" si="6"/>
        <v>25.969000000000005</v>
      </c>
      <c r="F157" s="254">
        <f t="shared" si="7"/>
        <v>4.477413793103449</v>
      </c>
      <c r="H157" s="388">
        <f t="shared" si="8"/>
        <v>42.889146724137937</v>
      </c>
    </row>
    <row r="158" spans="2:8">
      <c r="B158" s="66">
        <v>41122</v>
      </c>
      <c r="C158" s="67">
        <v>25.234000000000002</v>
      </c>
      <c r="D158" s="68">
        <v>0.17600000000000002</v>
      </c>
      <c r="E158" s="69">
        <f t="shared" si="6"/>
        <v>26.494000000000003</v>
      </c>
      <c r="F158" s="254">
        <f t="shared" si="7"/>
        <v>4.5679310344827595</v>
      </c>
      <c r="H158" s="388">
        <f t="shared" si="8"/>
        <v>43.756211379310358</v>
      </c>
    </row>
    <row r="159" spans="2:8">
      <c r="B159" s="66">
        <v>41153</v>
      </c>
      <c r="C159" s="67">
        <v>25.784000000000002</v>
      </c>
      <c r="D159" s="68">
        <v>0.17600000000000002</v>
      </c>
      <c r="E159" s="69">
        <f t="shared" si="6"/>
        <v>27.044000000000004</v>
      </c>
      <c r="F159" s="254">
        <f t="shared" si="7"/>
        <v>4.6627586206896563</v>
      </c>
      <c r="H159" s="388">
        <f t="shared" si="8"/>
        <v>44.664564827586219</v>
      </c>
    </row>
    <row r="160" spans="2:8">
      <c r="B160" s="66">
        <v>41183</v>
      </c>
      <c r="C160" s="67">
        <v>26.320999999999998</v>
      </c>
      <c r="D160" s="68">
        <v>0.17600000000000002</v>
      </c>
      <c r="E160" s="69">
        <f t="shared" si="6"/>
        <v>27.581</v>
      </c>
      <c r="F160" s="254">
        <f t="shared" si="7"/>
        <v>4.7553448275862067</v>
      </c>
      <c r="H160" s="388">
        <f t="shared" si="8"/>
        <v>45.551448103448273</v>
      </c>
    </row>
    <row r="161" spans="2:8">
      <c r="B161" s="66">
        <v>41214</v>
      </c>
      <c r="C161" s="67">
        <v>26.607000000000003</v>
      </c>
      <c r="D161" s="68">
        <v>0.17600000000000002</v>
      </c>
      <c r="E161" s="69">
        <f t="shared" si="6"/>
        <v>27.867000000000004</v>
      </c>
      <c r="F161" s="254">
        <f t="shared" si="7"/>
        <v>4.8046551724137938</v>
      </c>
      <c r="H161" s="388">
        <f t="shared" si="8"/>
        <v>46.023791896551728</v>
      </c>
    </row>
    <row r="162" spans="2:8">
      <c r="B162" s="66">
        <v>41244</v>
      </c>
      <c r="C162" s="67">
        <v>26.855</v>
      </c>
      <c r="D162" s="68">
        <v>0.17600000000000002</v>
      </c>
      <c r="E162" s="69">
        <f t="shared" si="6"/>
        <v>28.115000000000002</v>
      </c>
      <c r="F162" s="254">
        <f t="shared" si="7"/>
        <v>4.8474137931034491</v>
      </c>
      <c r="H162" s="388">
        <f t="shared" si="8"/>
        <v>46.433376724137936</v>
      </c>
    </row>
    <row r="163" spans="2:8">
      <c r="B163" s="66">
        <v>41275</v>
      </c>
      <c r="C163" s="67">
        <v>26.523000000000003</v>
      </c>
      <c r="D163" s="68">
        <v>0.17600000000000002</v>
      </c>
      <c r="E163" s="69">
        <f t="shared" si="6"/>
        <v>27.783000000000005</v>
      </c>
      <c r="F163" s="254">
        <f t="shared" si="7"/>
        <v>4.7901724137931048</v>
      </c>
      <c r="H163" s="388">
        <f t="shared" si="8"/>
        <v>45.885061551724156</v>
      </c>
    </row>
    <row r="164" spans="2:8">
      <c r="B164" s="66">
        <v>41306</v>
      </c>
      <c r="C164" s="67">
        <v>25.948000000000004</v>
      </c>
      <c r="D164" s="68">
        <v>0.17600000000000002</v>
      </c>
      <c r="E164" s="69">
        <f t="shared" si="6"/>
        <v>27.208000000000006</v>
      </c>
      <c r="F164" s="254">
        <f t="shared" si="7"/>
        <v>4.6910344827586217</v>
      </c>
      <c r="H164" s="388">
        <f t="shared" si="8"/>
        <v>44.935419310344834</v>
      </c>
    </row>
    <row r="165" spans="2:8">
      <c r="B165" s="66">
        <v>41334</v>
      </c>
      <c r="C165" s="67">
        <v>25.385000000000002</v>
      </c>
      <c r="D165" s="68">
        <v>0.17600000000000002</v>
      </c>
      <c r="E165" s="69">
        <f t="shared" si="6"/>
        <v>26.645000000000003</v>
      </c>
      <c r="F165" s="254">
        <f t="shared" si="7"/>
        <v>4.5939655172413802</v>
      </c>
      <c r="H165" s="388">
        <f t="shared" si="8"/>
        <v>44.005595689655181</v>
      </c>
    </row>
    <row r="166" spans="2:8">
      <c r="B166" s="66">
        <v>41365</v>
      </c>
      <c r="C166" s="67">
        <v>24.805</v>
      </c>
      <c r="D166" s="68">
        <v>0.17600000000000002</v>
      </c>
      <c r="E166" s="69">
        <f t="shared" si="6"/>
        <v>26.065000000000001</v>
      </c>
      <c r="F166" s="254">
        <f t="shared" si="7"/>
        <v>4.4939655172413797</v>
      </c>
      <c r="H166" s="388">
        <f t="shared" si="8"/>
        <v>43.047695689655178</v>
      </c>
    </row>
    <row r="167" spans="2:8">
      <c r="B167" s="66">
        <v>41395</v>
      </c>
      <c r="C167" s="67">
        <v>24.414999999999999</v>
      </c>
      <c r="D167" s="68">
        <v>0.17600000000000002</v>
      </c>
      <c r="E167" s="69">
        <f t="shared" si="6"/>
        <v>25.675000000000001</v>
      </c>
      <c r="F167" s="254">
        <f t="shared" si="7"/>
        <v>4.4267241379310347</v>
      </c>
      <c r="H167" s="388">
        <f t="shared" si="8"/>
        <v>42.403590517241383</v>
      </c>
    </row>
    <row r="168" spans="2:8">
      <c r="B168" s="66">
        <v>41426</v>
      </c>
      <c r="C168" s="67">
        <v>24.377000000000002</v>
      </c>
      <c r="D168" s="68">
        <v>0.17600000000000002</v>
      </c>
      <c r="E168" s="69">
        <f t="shared" si="6"/>
        <v>25.637000000000004</v>
      </c>
      <c r="F168" s="254">
        <f t="shared" si="7"/>
        <v>4.4201724137931047</v>
      </c>
      <c r="H168" s="388">
        <f t="shared" si="8"/>
        <v>42.34083155172415</v>
      </c>
    </row>
    <row r="169" spans="2:8">
      <c r="B169" s="66">
        <v>41456</v>
      </c>
      <c r="C169" s="67">
        <v>24.709000000000003</v>
      </c>
      <c r="D169" s="68">
        <v>0.17600000000000002</v>
      </c>
      <c r="E169" s="69">
        <f t="shared" si="6"/>
        <v>25.969000000000005</v>
      </c>
      <c r="F169" s="254">
        <f t="shared" si="7"/>
        <v>4.477413793103449</v>
      </c>
      <c r="H169" s="388">
        <f t="shared" si="8"/>
        <v>42.889146724137937</v>
      </c>
    </row>
    <row r="170" spans="2:8">
      <c r="B170" s="66">
        <v>41487</v>
      </c>
      <c r="C170" s="67">
        <v>25.234000000000002</v>
      </c>
      <c r="D170" s="68">
        <v>0.17600000000000002</v>
      </c>
      <c r="E170" s="69">
        <f t="shared" si="6"/>
        <v>26.494000000000003</v>
      </c>
      <c r="F170" s="254">
        <f t="shared" si="7"/>
        <v>4.5679310344827595</v>
      </c>
      <c r="H170" s="388">
        <f t="shared" si="8"/>
        <v>43.756211379310358</v>
      </c>
    </row>
    <row r="171" spans="2:8">
      <c r="B171" s="66">
        <v>41518</v>
      </c>
      <c r="C171" s="67">
        <v>25.784000000000002</v>
      </c>
      <c r="D171" s="68">
        <v>0.17600000000000002</v>
      </c>
      <c r="E171" s="69">
        <f t="shared" si="6"/>
        <v>27.044000000000004</v>
      </c>
      <c r="F171" s="254">
        <f t="shared" si="7"/>
        <v>4.6627586206896563</v>
      </c>
      <c r="H171" s="388">
        <f t="shared" si="8"/>
        <v>44.664564827586219</v>
      </c>
    </row>
    <row r="172" spans="2:8">
      <c r="B172" s="66">
        <v>41548</v>
      </c>
      <c r="C172" s="67">
        <v>26.320999999999998</v>
      </c>
      <c r="D172" s="68">
        <v>0.17600000000000002</v>
      </c>
      <c r="E172" s="69">
        <f t="shared" si="6"/>
        <v>27.581</v>
      </c>
      <c r="F172" s="254">
        <f t="shared" si="7"/>
        <v>4.7553448275862067</v>
      </c>
      <c r="H172" s="388">
        <f t="shared" si="8"/>
        <v>45.551448103448273</v>
      </c>
    </row>
    <row r="173" spans="2:8">
      <c r="B173" s="66">
        <v>41579</v>
      </c>
      <c r="C173" s="67">
        <v>26.607000000000003</v>
      </c>
      <c r="D173" s="68">
        <v>0.17600000000000002</v>
      </c>
      <c r="E173" s="69">
        <f t="shared" si="6"/>
        <v>27.867000000000004</v>
      </c>
      <c r="F173" s="254">
        <f t="shared" si="7"/>
        <v>4.8046551724137938</v>
      </c>
      <c r="H173" s="388">
        <f t="shared" si="8"/>
        <v>46.023791896551728</v>
      </c>
    </row>
    <row r="174" spans="2:8">
      <c r="B174" s="66">
        <v>41609</v>
      </c>
      <c r="C174" s="67">
        <v>26.855</v>
      </c>
      <c r="D174" s="68">
        <v>0.17600000000000002</v>
      </c>
      <c r="E174" s="69">
        <f t="shared" si="6"/>
        <v>28.115000000000002</v>
      </c>
      <c r="F174" s="254">
        <f t="shared" si="7"/>
        <v>4.8474137931034491</v>
      </c>
      <c r="H174" s="388">
        <f t="shared" si="8"/>
        <v>46.433376724137936</v>
      </c>
    </row>
    <row r="175" spans="2:8">
      <c r="B175" s="66">
        <v>41640</v>
      </c>
      <c r="C175" s="67">
        <v>26.523000000000003</v>
      </c>
      <c r="D175" s="68">
        <v>0.17600000000000002</v>
      </c>
      <c r="E175" s="69">
        <f t="shared" si="6"/>
        <v>27.783000000000005</v>
      </c>
      <c r="F175" s="254">
        <f t="shared" si="7"/>
        <v>4.7901724137931048</v>
      </c>
      <c r="H175" s="388">
        <f t="shared" si="8"/>
        <v>45.885061551724156</v>
      </c>
    </row>
    <row r="176" spans="2:8">
      <c r="B176" s="66">
        <v>41671</v>
      </c>
      <c r="C176" s="67">
        <v>25.948000000000004</v>
      </c>
      <c r="D176" s="68">
        <v>0.17600000000000002</v>
      </c>
      <c r="E176" s="69">
        <f t="shared" si="6"/>
        <v>27.208000000000006</v>
      </c>
      <c r="F176" s="254">
        <f t="shared" si="7"/>
        <v>4.6910344827586217</v>
      </c>
      <c r="H176" s="388">
        <f t="shared" si="8"/>
        <v>44.935419310344834</v>
      </c>
    </row>
    <row r="177" spans="2:8">
      <c r="B177" s="66">
        <v>41699</v>
      </c>
      <c r="C177" s="67">
        <v>25.385000000000002</v>
      </c>
      <c r="D177" s="68">
        <v>0.17600000000000002</v>
      </c>
      <c r="E177" s="69">
        <f t="shared" si="6"/>
        <v>26.645000000000003</v>
      </c>
      <c r="F177" s="254">
        <f t="shared" si="7"/>
        <v>4.5939655172413802</v>
      </c>
      <c r="H177" s="388">
        <f t="shared" si="8"/>
        <v>44.005595689655181</v>
      </c>
    </row>
    <row r="178" spans="2:8">
      <c r="B178" s="66">
        <v>41730</v>
      </c>
      <c r="C178" s="67">
        <v>24.805</v>
      </c>
      <c r="D178" s="68">
        <v>0.17600000000000002</v>
      </c>
      <c r="E178" s="69">
        <f t="shared" si="6"/>
        <v>26.065000000000001</v>
      </c>
      <c r="F178" s="254">
        <f t="shared" si="7"/>
        <v>4.4939655172413797</v>
      </c>
      <c r="H178" s="388">
        <f t="shared" si="8"/>
        <v>43.047695689655178</v>
      </c>
    </row>
    <row r="179" spans="2:8">
      <c r="B179" s="66">
        <v>41760</v>
      </c>
      <c r="C179" s="67">
        <v>24.414999999999999</v>
      </c>
      <c r="D179" s="68">
        <v>0.17600000000000002</v>
      </c>
      <c r="E179" s="69">
        <f t="shared" si="6"/>
        <v>25.675000000000001</v>
      </c>
      <c r="F179" s="254">
        <f t="shared" si="7"/>
        <v>4.4267241379310347</v>
      </c>
      <c r="H179" s="388">
        <f t="shared" si="8"/>
        <v>42.403590517241383</v>
      </c>
    </row>
    <row r="180" spans="2:8">
      <c r="B180" s="66">
        <v>41791</v>
      </c>
      <c r="C180" s="67">
        <v>24.377000000000002</v>
      </c>
      <c r="D180" s="68">
        <v>0.17600000000000002</v>
      </c>
      <c r="E180" s="69">
        <f t="shared" si="6"/>
        <v>25.637000000000004</v>
      </c>
      <c r="F180" s="254">
        <f t="shared" si="7"/>
        <v>4.4201724137931047</v>
      </c>
      <c r="H180" s="388">
        <f t="shared" si="8"/>
        <v>42.34083155172415</v>
      </c>
    </row>
    <row r="181" spans="2:8">
      <c r="B181" s="66">
        <v>41821</v>
      </c>
      <c r="C181" s="67">
        <v>24.709000000000003</v>
      </c>
      <c r="D181" s="68">
        <v>0.17600000000000002</v>
      </c>
      <c r="E181" s="69">
        <f t="shared" si="6"/>
        <v>25.969000000000005</v>
      </c>
      <c r="F181" s="254">
        <f t="shared" si="7"/>
        <v>4.477413793103449</v>
      </c>
      <c r="H181" s="388">
        <f t="shared" si="8"/>
        <v>42.889146724137937</v>
      </c>
    </row>
    <row r="182" spans="2:8">
      <c r="B182" s="66">
        <v>41852</v>
      </c>
      <c r="C182" s="67">
        <v>25.234000000000002</v>
      </c>
      <c r="D182" s="68">
        <v>0.17600000000000002</v>
      </c>
      <c r="E182" s="69">
        <f t="shared" si="6"/>
        <v>26.494000000000003</v>
      </c>
      <c r="F182" s="254">
        <f t="shared" si="7"/>
        <v>4.5679310344827595</v>
      </c>
      <c r="H182" s="388">
        <f t="shared" si="8"/>
        <v>43.756211379310358</v>
      </c>
    </row>
    <row r="183" spans="2:8">
      <c r="B183" s="66">
        <v>41883</v>
      </c>
      <c r="C183" s="67">
        <v>25.784000000000002</v>
      </c>
      <c r="D183" s="68">
        <v>0.17600000000000002</v>
      </c>
      <c r="E183" s="69">
        <f t="shared" si="6"/>
        <v>27.044000000000004</v>
      </c>
      <c r="F183" s="254">
        <f t="shared" si="7"/>
        <v>4.6627586206896563</v>
      </c>
      <c r="H183" s="388">
        <f t="shared" si="8"/>
        <v>44.664564827586219</v>
      </c>
    </row>
    <row r="184" spans="2:8">
      <c r="B184" s="66">
        <v>41913</v>
      </c>
      <c r="C184" s="67">
        <v>26.320999999999998</v>
      </c>
      <c r="D184" s="68">
        <v>0.17600000000000002</v>
      </c>
      <c r="E184" s="69">
        <f t="shared" si="6"/>
        <v>27.581</v>
      </c>
      <c r="F184" s="254">
        <f t="shared" si="7"/>
        <v>4.7553448275862067</v>
      </c>
      <c r="H184" s="388">
        <f t="shared" si="8"/>
        <v>45.551448103448273</v>
      </c>
    </row>
    <row r="185" spans="2:8">
      <c r="B185" s="66">
        <v>41944</v>
      </c>
      <c r="C185" s="67">
        <v>26.607000000000003</v>
      </c>
      <c r="D185" s="68">
        <v>0.17600000000000002</v>
      </c>
      <c r="E185" s="69">
        <f t="shared" si="6"/>
        <v>27.867000000000004</v>
      </c>
      <c r="F185" s="254">
        <f t="shared" si="7"/>
        <v>4.8046551724137938</v>
      </c>
      <c r="H185" s="388">
        <f t="shared" si="8"/>
        <v>46.023791896551728</v>
      </c>
    </row>
    <row r="186" spans="2:8">
      <c r="B186" s="66">
        <v>41974</v>
      </c>
      <c r="C186" s="67">
        <v>26.855</v>
      </c>
      <c r="D186" s="68">
        <v>0.17600000000000002</v>
      </c>
      <c r="E186" s="69">
        <f t="shared" si="6"/>
        <v>28.115000000000002</v>
      </c>
      <c r="F186" s="254">
        <f t="shared" si="7"/>
        <v>4.8474137931034491</v>
      </c>
      <c r="H186" s="388">
        <f t="shared" si="8"/>
        <v>46.433376724137936</v>
      </c>
    </row>
    <row r="187" spans="2:8">
      <c r="B187" s="66">
        <v>42005</v>
      </c>
      <c r="C187" s="67">
        <v>26.523000000000003</v>
      </c>
      <c r="D187" s="68">
        <v>0.17600000000000002</v>
      </c>
      <c r="E187" s="69">
        <f t="shared" si="6"/>
        <v>27.783000000000005</v>
      </c>
      <c r="F187" s="254">
        <f t="shared" si="7"/>
        <v>4.7901724137931048</v>
      </c>
      <c r="H187" s="388">
        <f t="shared" si="8"/>
        <v>45.885061551724156</v>
      </c>
    </row>
    <row r="188" spans="2:8">
      <c r="B188" s="66">
        <v>42036</v>
      </c>
      <c r="C188" s="67">
        <v>25.948000000000004</v>
      </c>
      <c r="D188" s="68">
        <v>0.17600000000000002</v>
      </c>
      <c r="E188" s="69">
        <f t="shared" si="6"/>
        <v>27.208000000000006</v>
      </c>
      <c r="F188" s="254">
        <f t="shared" si="7"/>
        <v>4.6910344827586217</v>
      </c>
      <c r="H188" s="388">
        <f t="shared" si="8"/>
        <v>44.935419310344834</v>
      </c>
    </row>
    <row r="189" spans="2:8">
      <c r="B189" s="66">
        <v>42064</v>
      </c>
      <c r="C189" s="67">
        <v>25.385000000000002</v>
      </c>
      <c r="D189" s="68">
        <v>0.17600000000000002</v>
      </c>
      <c r="E189" s="69">
        <f t="shared" si="6"/>
        <v>26.645000000000003</v>
      </c>
      <c r="F189" s="254">
        <f t="shared" si="7"/>
        <v>4.5939655172413802</v>
      </c>
      <c r="H189" s="388">
        <f t="shared" si="8"/>
        <v>44.005595689655181</v>
      </c>
    </row>
    <row r="190" spans="2:8">
      <c r="B190" s="66">
        <v>42095</v>
      </c>
      <c r="C190" s="67">
        <v>24.805</v>
      </c>
      <c r="D190" s="68">
        <v>0.17600000000000002</v>
      </c>
      <c r="E190" s="69">
        <f t="shared" si="6"/>
        <v>26.065000000000001</v>
      </c>
      <c r="F190" s="254">
        <f t="shared" si="7"/>
        <v>4.4939655172413797</v>
      </c>
      <c r="H190" s="388">
        <f t="shared" si="8"/>
        <v>43.047695689655178</v>
      </c>
    </row>
    <row r="191" spans="2:8">
      <c r="B191" s="66">
        <v>42125</v>
      </c>
      <c r="C191" s="67">
        <v>24.414999999999999</v>
      </c>
      <c r="D191" s="68">
        <v>0.17600000000000002</v>
      </c>
      <c r="E191" s="69">
        <f t="shared" si="6"/>
        <v>25.675000000000001</v>
      </c>
      <c r="F191" s="254">
        <f t="shared" si="7"/>
        <v>4.4267241379310347</v>
      </c>
      <c r="H191" s="388">
        <f t="shared" si="8"/>
        <v>42.403590517241383</v>
      </c>
    </row>
    <row r="192" spans="2:8">
      <c r="B192" s="66">
        <v>42156</v>
      </c>
      <c r="C192" s="67">
        <v>24.377000000000002</v>
      </c>
      <c r="D192" s="68">
        <v>0.17600000000000002</v>
      </c>
      <c r="E192" s="69">
        <f t="shared" si="6"/>
        <v>25.637000000000004</v>
      </c>
      <c r="F192" s="254">
        <f t="shared" si="7"/>
        <v>4.4201724137931047</v>
      </c>
      <c r="H192" s="388">
        <f t="shared" si="8"/>
        <v>42.34083155172415</v>
      </c>
    </row>
    <row r="193" spans="2:8">
      <c r="B193" s="66">
        <v>42186</v>
      </c>
      <c r="C193" s="67">
        <v>24.709000000000003</v>
      </c>
      <c r="D193" s="68">
        <v>0.17600000000000002</v>
      </c>
      <c r="E193" s="69">
        <f t="shared" si="6"/>
        <v>25.969000000000005</v>
      </c>
      <c r="F193" s="254">
        <f t="shared" si="7"/>
        <v>4.477413793103449</v>
      </c>
      <c r="H193" s="388">
        <f t="shared" si="8"/>
        <v>42.889146724137937</v>
      </c>
    </row>
    <row r="194" spans="2:8">
      <c r="B194" s="66">
        <v>42217</v>
      </c>
      <c r="C194" s="67">
        <v>25.234000000000002</v>
      </c>
      <c r="D194" s="68">
        <v>0.17600000000000002</v>
      </c>
      <c r="E194" s="69">
        <f t="shared" si="6"/>
        <v>26.494000000000003</v>
      </c>
      <c r="F194" s="254">
        <f t="shared" si="7"/>
        <v>4.5679310344827595</v>
      </c>
      <c r="H194" s="388">
        <f t="shared" si="8"/>
        <v>43.756211379310358</v>
      </c>
    </row>
    <row r="195" spans="2:8">
      <c r="B195" s="66">
        <v>42248</v>
      </c>
      <c r="C195" s="67">
        <v>25.784000000000002</v>
      </c>
      <c r="D195" s="68">
        <v>0.17600000000000002</v>
      </c>
      <c r="E195" s="69">
        <f t="shared" si="6"/>
        <v>27.044000000000004</v>
      </c>
      <c r="F195" s="254">
        <f t="shared" si="7"/>
        <v>4.6627586206896563</v>
      </c>
      <c r="H195" s="388">
        <f t="shared" si="8"/>
        <v>44.664564827586219</v>
      </c>
    </row>
    <row r="196" spans="2:8">
      <c r="B196" s="66">
        <v>42278</v>
      </c>
      <c r="C196" s="67">
        <v>26.320999999999998</v>
      </c>
      <c r="D196" s="68">
        <v>0.17600000000000002</v>
      </c>
      <c r="E196" s="69">
        <f t="shared" si="6"/>
        <v>27.581</v>
      </c>
      <c r="F196" s="254">
        <f t="shared" si="7"/>
        <v>4.7553448275862067</v>
      </c>
      <c r="H196" s="388">
        <f t="shared" si="8"/>
        <v>45.551448103448273</v>
      </c>
    </row>
    <row r="197" spans="2:8">
      <c r="B197" s="66">
        <v>42309</v>
      </c>
      <c r="C197" s="67">
        <v>26.607000000000003</v>
      </c>
      <c r="D197" s="68">
        <v>0.17600000000000002</v>
      </c>
      <c r="E197" s="69">
        <f t="shared" si="6"/>
        <v>27.867000000000004</v>
      </c>
      <c r="F197" s="254">
        <f t="shared" si="7"/>
        <v>4.8046551724137938</v>
      </c>
      <c r="H197" s="388">
        <f t="shared" si="8"/>
        <v>46.023791896551728</v>
      </c>
    </row>
    <row r="198" spans="2:8">
      <c r="B198" s="66">
        <v>42339</v>
      </c>
      <c r="C198" s="67">
        <v>26.855</v>
      </c>
      <c r="D198" s="68">
        <v>0.17600000000000002</v>
      </c>
      <c r="E198" s="69">
        <f t="shared" si="6"/>
        <v>28.115000000000002</v>
      </c>
      <c r="F198" s="254">
        <f t="shared" si="7"/>
        <v>4.8474137931034491</v>
      </c>
      <c r="H198" s="388">
        <f t="shared" si="8"/>
        <v>46.433376724137936</v>
      </c>
    </row>
    <row r="199" spans="2:8">
      <c r="B199" s="66">
        <v>42370</v>
      </c>
      <c r="C199" s="67">
        <v>26.523000000000003</v>
      </c>
      <c r="D199" s="68">
        <v>0.17600000000000002</v>
      </c>
      <c r="E199" s="69">
        <f t="shared" si="6"/>
        <v>27.783000000000005</v>
      </c>
      <c r="F199" s="254">
        <f t="shared" si="7"/>
        <v>4.7901724137931048</v>
      </c>
      <c r="H199" s="388">
        <f t="shared" si="8"/>
        <v>45.885061551724156</v>
      </c>
    </row>
    <row r="200" spans="2:8">
      <c r="B200" s="66">
        <v>42401</v>
      </c>
      <c r="C200" s="67">
        <v>25.948000000000004</v>
      </c>
      <c r="D200" s="68">
        <v>0.17600000000000002</v>
      </c>
      <c r="E200" s="69">
        <f t="shared" ref="E200:E263" si="9">C200+(0.03*42)</f>
        <v>27.208000000000006</v>
      </c>
      <c r="F200" s="254">
        <f t="shared" ref="F200:F263" si="10">E200/$F$4</f>
        <v>4.6910344827586217</v>
      </c>
      <c r="H200" s="388">
        <f t="shared" ref="H200:H246" si="11">(F200*$H$3)/1000</f>
        <v>44.935419310344834</v>
      </c>
    </row>
    <row r="201" spans="2:8">
      <c r="B201" s="66">
        <v>42430</v>
      </c>
      <c r="C201" s="67">
        <v>25.385000000000002</v>
      </c>
      <c r="D201" s="68">
        <v>0.17600000000000002</v>
      </c>
      <c r="E201" s="69">
        <f t="shared" si="9"/>
        <v>26.645000000000003</v>
      </c>
      <c r="F201" s="254">
        <f t="shared" si="10"/>
        <v>4.5939655172413802</v>
      </c>
      <c r="H201" s="388">
        <f t="shared" si="11"/>
        <v>44.005595689655181</v>
      </c>
    </row>
    <row r="202" spans="2:8">
      <c r="B202" s="66">
        <v>42461</v>
      </c>
      <c r="C202" s="67">
        <v>24.805</v>
      </c>
      <c r="D202" s="68">
        <v>0.17600000000000002</v>
      </c>
      <c r="E202" s="69">
        <f t="shared" si="9"/>
        <v>26.065000000000001</v>
      </c>
      <c r="F202" s="254">
        <f t="shared" si="10"/>
        <v>4.4939655172413797</v>
      </c>
      <c r="H202" s="388">
        <f t="shared" si="11"/>
        <v>43.047695689655178</v>
      </c>
    </row>
    <row r="203" spans="2:8">
      <c r="B203" s="66">
        <v>42491</v>
      </c>
      <c r="C203" s="67">
        <v>24.414999999999999</v>
      </c>
      <c r="D203" s="68">
        <v>0.17600000000000002</v>
      </c>
      <c r="E203" s="69">
        <f t="shared" si="9"/>
        <v>25.675000000000001</v>
      </c>
      <c r="F203" s="254">
        <f t="shared" si="10"/>
        <v>4.4267241379310347</v>
      </c>
      <c r="H203" s="388">
        <f t="shared" si="11"/>
        <v>42.403590517241383</v>
      </c>
    </row>
    <row r="204" spans="2:8">
      <c r="B204" s="66">
        <v>42522</v>
      </c>
      <c r="C204" s="67">
        <v>24.377000000000002</v>
      </c>
      <c r="D204" s="68">
        <v>0.17600000000000002</v>
      </c>
      <c r="E204" s="69">
        <f t="shared" si="9"/>
        <v>25.637000000000004</v>
      </c>
      <c r="F204" s="254">
        <f t="shared" si="10"/>
        <v>4.4201724137931047</v>
      </c>
      <c r="H204" s="388">
        <f t="shared" si="11"/>
        <v>42.34083155172415</v>
      </c>
    </row>
    <row r="205" spans="2:8">
      <c r="B205" s="66">
        <v>42552</v>
      </c>
      <c r="C205" s="67">
        <v>24.709000000000003</v>
      </c>
      <c r="D205" s="68">
        <v>0.17600000000000002</v>
      </c>
      <c r="E205" s="69">
        <f t="shared" si="9"/>
        <v>25.969000000000005</v>
      </c>
      <c r="F205" s="254">
        <f t="shared" si="10"/>
        <v>4.477413793103449</v>
      </c>
      <c r="H205" s="388">
        <f t="shared" si="11"/>
        <v>42.889146724137937</v>
      </c>
    </row>
    <row r="206" spans="2:8">
      <c r="B206" s="66">
        <v>42583</v>
      </c>
      <c r="C206" s="67">
        <v>25.234000000000002</v>
      </c>
      <c r="D206" s="68">
        <v>0.17600000000000002</v>
      </c>
      <c r="E206" s="69">
        <f t="shared" si="9"/>
        <v>26.494000000000003</v>
      </c>
      <c r="F206" s="254">
        <f t="shared" si="10"/>
        <v>4.5679310344827595</v>
      </c>
      <c r="H206" s="388">
        <f t="shared" si="11"/>
        <v>43.756211379310358</v>
      </c>
    </row>
    <row r="207" spans="2:8">
      <c r="B207" s="66">
        <v>42614</v>
      </c>
      <c r="C207" s="67">
        <v>25.784000000000002</v>
      </c>
      <c r="D207" s="68">
        <v>0.17600000000000002</v>
      </c>
      <c r="E207" s="69">
        <f t="shared" si="9"/>
        <v>27.044000000000004</v>
      </c>
      <c r="F207" s="254">
        <f t="shared" si="10"/>
        <v>4.6627586206896563</v>
      </c>
      <c r="H207" s="388">
        <f t="shared" si="11"/>
        <v>44.664564827586219</v>
      </c>
    </row>
    <row r="208" spans="2:8">
      <c r="B208" s="66">
        <v>42644</v>
      </c>
      <c r="C208" s="67">
        <v>26.320999999999998</v>
      </c>
      <c r="D208" s="68">
        <v>0.17600000000000002</v>
      </c>
      <c r="E208" s="69">
        <f t="shared" si="9"/>
        <v>27.581</v>
      </c>
      <c r="F208" s="254">
        <f t="shared" si="10"/>
        <v>4.7553448275862067</v>
      </c>
      <c r="H208" s="388">
        <f t="shared" si="11"/>
        <v>45.551448103448273</v>
      </c>
    </row>
    <row r="209" spans="2:8">
      <c r="B209" s="66">
        <v>42675</v>
      </c>
      <c r="C209" s="67">
        <v>26.607000000000003</v>
      </c>
      <c r="D209" s="68">
        <v>0.17600000000000002</v>
      </c>
      <c r="E209" s="69">
        <f t="shared" si="9"/>
        <v>27.867000000000004</v>
      </c>
      <c r="F209" s="254">
        <f t="shared" si="10"/>
        <v>4.8046551724137938</v>
      </c>
      <c r="H209" s="388">
        <f t="shared" si="11"/>
        <v>46.023791896551728</v>
      </c>
    </row>
    <row r="210" spans="2:8">
      <c r="B210" s="66">
        <v>42705</v>
      </c>
      <c r="C210" s="67">
        <v>26.855</v>
      </c>
      <c r="D210" s="68">
        <v>0.17600000000000002</v>
      </c>
      <c r="E210" s="69">
        <f t="shared" si="9"/>
        <v>28.115000000000002</v>
      </c>
      <c r="F210" s="254">
        <f t="shared" si="10"/>
        <v>4.8474137931034491</v>
      </c>
      <c r="H210" s="388">
        <f t="shared" si="11"/>
        <v>46.433376724137936</v>
      </c>
    </row>
    <row r="211" spans="2:8">
      <c r="B211" s="66">
        <v>42736</v>
      </c>
      <c r="C211" s="67">
        <v>26.523000000000003</v>
      </c>
      <c r="D211" s="68">
        <v>0.17600000000000002</v>
      </c>
      <c r="E211" s="69">
        <f t="shared" si="9"/>
        <v>27.783000000000005</v>
      </c>
      <c r="F211" s="254">
        <f t="shared" si="10"/>
        <v>4.7901724137931048</v>
      </c>
      <c r="H211" s="388">
        <f t="shared" si="11"/>
        <v>45.885061551724156</v>
      </c>
    </row>
    <row r="212" spans="2:8">
      <c r="B212" s="66">
        <v>42767</v>
      </c>
      <c r="C212" s="67">
        <v>25.948000000000004</v>
      </c>
      <c r="D212" s="68">
        <v>0.17600000000000002</v>
      </c>
      <c r="E212" s="69">
        <f t="shared" si="9"/>
        <v>27.208000000000006</v>
      </c>
      <c r="F212" s="254">
        <f t="shared" si="10"/>
        <v>4.6910344827586217</v>
      </c>
      <c r="H212" s="388">
        <f t="shared" si="11"/>
        <v>44.935419310344834</v>
      </c>
    </row>
    <row r="213" spans="2:8">
      <c r="B213" s="66">
        <v>42795</v>
      </c>
      <c r="C213" s="67">
        <v>25.385000000000002</v>
      </c>
      <c r="D213" s="68">
        <v>0.17600000000000002</v>
      </c>
      <c r="E213" s="69">
        <f t="shared" si="9"/>
        <v>26.645000000000003</v>
      </c>
      <c r="F213" s="254">
        <f t="shared" si="10"/>
        <v>4.5939655172413802</v>
      </c>
      <c r="H213" s="388">
        <f t="shared" si="11"/>
        <v>44.005595689655181</v>
      </c>
    </row>
    <row r="214" spans="2:8">
      <c r="B214" s="66">
        <v>42826</v>
      </c>
      <c r="C214" s="67">
        <v>24.805</v>
      </c>
      <c r="D214" s="68">
        <v>0.17600000000000002</v>
      </c>
      <c r="E214" s="69">
        <f t="shared" si="9"/>
        <v>26.065000000000001</v>
      </c>
      <c r="F214" s="254">
        <f t="shared" si="10"/>
        <v>4.4939655172413797</v>
      </c>
      <c r="H214" s="388">
        <f t="shared" si="11"/>
        <v>43.047695689655178</v>
      </c>
    </row>
    <row r="215" spans="2:8">
      <c r="B215" s="66">
        <v>42856</v>
      </c>
      <c r="C215" s="67">
        <v>24.414999999999999</v>
      </c>
      <c r="D215" s="68">
        <v>0.17600000000000002</v>
      </c>
      <c r="E215" s="69">
        <f t="shared" si="9"/>
        <v>25.675000000000001</v>
      </c>
      <c r="F215" s="254">
        <f t="shared" si="10"/>
        <v>4.4267241379310347</v>
      </c>
      <c r="H215" s="388">
        <f t="shared" si="11"/>
        <v>42.403590517241383</v>
      </c>
    </row>
    <row r="216" spans="2:8">
      <c r="B216" s="66">
        <v>42887</v>
      </c>
      <c r="C216" s="67">
        <v>24.377000000000002</v>
      </c>
      <c r="D216" s="68">
        <v>0.17600000000000002</v>
      </c>
      <c r="E216" s="69">
        <f t="shared" si="9"/>
        <v>25.637000000000004</v>
      </c>
      <c r="F216" s="254">
        <f t="shared" si="10"/>
        <v>4.4201724137931047</v>
      </c>
      <c r="H216" s="388">
        <f t="shared" si="11"/>
        <v>42.34083155172415</v>
      </c>
    </row>
    <row r="217" spans="2:8">
      <c r="B217" s="66">
        <v>42917</v>
      </c>
      <c r="C217" s="67">
        <v>24.709000000000003</v>
      </c>
      <c r="D217" s="68">
        <v>0.17600000000000002</v>
      </c>
      <c r="E217" s="69">
        <f t="shared" si="9"/>
        <v>25.969000000000005</v>
      </c>
      <c r="F217" s="254">
        <f t="shared" si="10"/>
        <v>4.477413793103449</v>
      </c>
      <c r="H217" s="388">
        <f t="shared" si="11"/>
        <v>42.889146724137937</v>
      </c>
    </row>
    <row r="218" spans="2:8">
      <c r="B218" s="66">
        <v>42948</v>
      </c>
      <c r="C218" s="67">
        <v>25.234000000000002</v>
      </c>
      <c r="D218" s="68">
        <v>0.17600000000000002</v>
      </c>
      <c r="E218" s="69">
        <f t="shared" si="9"/>
        <v>26.494000000000003</v>
      </c>
      <c r="F218" s="254">
        <f t="shared" si="10"/>
        <v>4.5679310344827595</v>
      </c>
      <c r="H218" s="388">
        <f t="shared" si="11"/>
        <v>43.756211379310358</v>
      </c>
    </row>
    <row r="219" spans="2:8">
      <c r="B219" s="66">
        <v>42979</v>
      </c>
      <c r="C219" s="67">
        <v>25.784000000000002</v>
      </c>
      <c r="D219" s="68">
        <v>0.17600000000000002</v>
      </c>
      <c r="E219" s="69">
        <f t="shared" si="9"/>
        <v>27.044000000000004</v>
      </c>
      <c r="F219" s="254">
        <f t="shared" si="10"/>
        <v>4.6627586206896563</v>
      </c>
      <c r="H219" s="388">
        <f t="shared" si="11"/>
        <v>44.664564827586219</v>
      </c>
    </row>
    <row r="220" spans="2:8">
      <c r="B220" s="66">
        <v>43009</v>
      </c>
      <c r="C220" s="67">
        <v>26.320999999999998</v>
      </c>
      <c r="D220" s="68">
        <v>0.17600000000000002</v>
      </c>
      <c r="E220" s="69">
        <f t="shared" si="9"/>
        <v>27.581</v>
      </c>
      <c r="F220" s="254">
        <f t="shared" si="10"/>
        <v>4.7553448275862067</v>
      </c>
      <c r="H220" s="388">
        <f t="shared" si="11"/>
        <v>45.551448103448273</v>
      </c>
    </row>
    <row r="221" spans="2:8">
      <c r="B221" s="66">
        <v>43040</v>
      </c>
      <c r="C221" s="67">
        <v>26.607000000000003</v>
      </c>
      <c r="D221" s="68">
        <v>0.17600000000000002</v>
      </c>
      <c r="E221" s="69">
        <f t="shared" si="9"/>
        <v>27.867000000000004</v>
      </c>
      <c r="F221" s="254">
        <f t="shared" si="10"/>
        <v>4.8046551724137938</v>
      </c>
      <c r="H221" s="388">
        <f t="shared" si="11"/>
        <v>46.023791896551728</v>
      </c>
    </row>
    <row r="222" spans="2:8">
      <c r="B222" s="66">
        <v>43070</v>
      </c>
      <c r="C222" s="67">
        <v>26.855</v>
      </c>
      <c r="D222" s="68">
        <v>0.17600000000000002</v>
      </c>
      <c r="E222" s="69">
        <f t="shared" si="9"/>
        <v>28.115000000000002</v>
      </c>
      <c r="F222" s="254">
        <f t="shared" si="10"/>
        <v>4.8474137931034491</v>
      </c>
      <c r="H222" s="388">
        <f t="shared" si="11"/>
        <v>46.433376724137936</v>
      </c>
    </row>
    <row r="223" spans="2:8">
      <c r="B223" s="66">
        <v>43101</v>
      </c>
      <c r="C223" s="67">
        <v>26.523000000000003</v>
      </c>
      <c r="D223" s="68">
        <v>0.17600000000000002</v>
      </c>
      <c r="E223" s="69">
        <f t="shared" si="9"/>
        <v>27.783000000000005</v>
      </c>
      <c r="F223" s="254">
        <f t="shared" si="10"/>
        <v>4.7901724137931048</v>
      </c>
      <c r="H223" s="388">
        <f t="shared" si="11"/>
        <v>45.885061551724156</v>
      </c>
    </row>
    <row r="224" spans="2:8">
      <c r="B224" s="66">
        <v>43132</v>
      </c>
      <c r="C224" s="67">
        <v>25.948000000000004</v>
      </c>
      <c r="D224" s="68">
        <v>0.17600000000000002</v>
      </c>
      <c r="E224" s="69">
        <f t="shared" si="9"/>
        <v>27.208000000000006</v>
      </c>
      <c r="F224" s="254">
        <f t="shared" si="10"/>
        <v>4.6910344827586217</v>
      </c>
      <c r="H224" s="388">
        <f t="shared" si="11"/>
        <v>44.935419310344834</v>
      </c>
    </row>
    <row r="225" spans="2:8">
      <c r="B225" s="66">
        <v>43160</v>
      </c>
      <c r="C225" s="67">
        <v>25.385000000000002</v>
      </c>
      <c r="D225" s="68">
        <v>0.17600000000000002</v>
      </c>
      <c r="E225" s="69">
        <f t="shared" si="9"/>
        <v>26.645000000000003</v>
      </c>
      <c r="F225" s="254">
        <f t="shared" si="10"/>
        <v>4.5939655172413802</v>
      </c>
      <c r="H225" s="388">
        <f t="shared" si="11"/>
        <v>44.005595689655181</v>
      </c>
    </row>
    <row r="226" spans="2:8">
      <c r="B226" s="66">
        <v>43191</v>
      </c>
      <c r="C226" s="67">
        <v>24.805</v>
      </c>
      <c r="D226" s="68">
        <v>0.17600000000000002</v>
      </c>
      <c r="E226" s="69">
        <f t="shared" si="9"/>
        <v>26.065000000000001</v>
      </c>
      <c r="F226" s="254">
        <f t="shared" si="10"/>
        <v>4.4939655172413797</v>
      </c>
      <c r="H226" s="388">
        <f t="shared" si="11"/>
        <v>43.047695689655178</v>
      </c>
    </row>
    <row r="227" spans="2:8">
      <c r="B227" s="66">
        <v>43221</v>
      </c>
      <c r="C227" s="67">
        <v>24.414999999999999</v>
      </c>
      <c r="D227" s="68">
        <v>0.17600000000000002</v>
      </c>
      <c r="E227" s="69">
        <f t="shared" si="9"/>
        <v>25.675000000000001</v>
      </c>
      <c r="F227" s="254">
        <f t="shared" si="10"/>
        <v>4.4267241379310347</v>
      </c>
      <c r="H227" s="388">
        <f t="shared" si="11"/>
        <v>42.403590517241383</v>
      </c>
    </row>
    <row r="228" spans="2:8">
      <c r="B228" s="66">
        <v>43252</v>
      </c>
      <c r="C228" s="67">
        <v>24.377000000000002</v>
      </c>
      <c r="D228" s="68">
        <v>0.17600000000000002</v>
      </c>
      <c r="E228" s="69">
        <f t="shared" si="9"/>
        <v>25.637000000000004</v>
      </c>
      <c r="F228" s="254">
        <f t="shared" si="10"/>
        <v>4.4201724137931047</v>
      </c>
      <c r="H228" s="388">
        <f t="shared" si="11"/>
        <v>42.34083155172415</v>
      </c>
    </row>
    <row r="229" spans="2:8">
      <c r="B229" s="66">
        <v>43282</v>
      </c>
      <c r="C229" s="67">
        <v>24.709000000000003</v>
      </c>
      <c r="D229" s="68">
        <v>0.17600000000000002</v>
      </c>
      <c r="E229" s="69">
        <f t="shared" si="9"/>
        <v>25.969000000000005</v>
      </c>
      <c r="F229" s="254">
        <f t="shared" si="10"/>
        <v>4.477413793103449</v>
      </c>
      <c r="H229" s="388">
        <f t="shared" si="11"/>
        <v>42.889146724137937</v>
      </c>
    </row>
    <row r="230" spans="2:8">
      <c r="B230" s="66">
        <v>43313</v>
      </c>
      <c r="C230" s="67">
        <v>25.234000000000002</v>
      </c>
      <c r="D230" s="68">
        <v>0.17600000000000002</v>
      </c>
      <c r="E230" s="69">
        <f t="shared" si="9"/>
        <v>26.494000000000003</v>
      </c>
      <c r="F230" s="254">
        <f t="shared" si="10"/>
        <v>4.5679310344827595</v>
      </c>
      <c r="H230" s="388">
        <f t="shared" si="11"/>
        <v>43.756211379310358</v>
      </c>
    </row>
    <row r="231" spans="2:8">
      <c r="B231" s="66">
        <v>43344</v>
      </c>
      <c r="C231" s="67">
        <v>25.784000000000002</v>
      </c>
      <c r="D231" s="68">
        <v>0.17600000000000002</v>
      </c>
      <c r="E231" s="69">
        <f t="shared" si="9"/>
        <v>27.044000000000004</v>
      </c>
      <c r="F231" s="254">
        <f t="shared" si="10"/>
        <v>4.6627586206896563</v>
      </c>
      <c r="H231" s="388">
        <f t="shared" si="11"/>
        <v>44.664564827586219</v>
      </c>
    </row>
    <row r="232" spans="2:8">
      <c r="B232" s="66">
        <v>43374</v>
      </c>
      <c r="C232" s="67">
        <v>26.320999999999998</v>
      </c>
      <c r="D232" s="68">
        <v>0.17600000000000002</v>
      </c>
      <c r="E232" s="69">
        <f t="shared" si="9"/>
        <v>27.581</v>
      </c>
      <c r="F232" s="254">
        <f t="shared" si="10"/>
        <v>4.7553448275862067</v>
      </c>
      <c r="H232" s="388">
        <f t="shared" si="11"/>
        <v>45.551448103448273</v>
      </c>
    </row>
    <row r="233" spans="2:8">
      <c r="B233" s="66">
        <v>43405</v>
      </c>
      <c r="C233" s="67">
        <v>26.607000000000003</v>
      </c>
      <c r="D233" s="68">
        <v>0.17600000000000002</v>
      </c>
      <c r="E233" s="69">
        <f t="shared" si="9"/>
        <v>27.867000000000004</v>
      </c>
      <c r="F233" s="254">
        <f t="shared" si="10"/>
        <v>4.8046551724137938</v>
      </c>
      <c r="H233" s="388">
        <f t="shared" si="11"/>
        <v>46.023791896551728</v>
      </c>
    </row>
    <row r="234" spans="2:8">
      <c r="B234" s="66">
        <v>43435</v>
      </c>
      <c r="C234" s="67">
        <v>26.855</v>
      </c>
      <c r="D234" s="68">
        <v>0.17600000000000002</v>
      </c>
      <c r="E234" s="69">
        <f t="shared" si="9"/>
        <v>28.115000000000002</v>
      </c>
      <c r="F234" s="254">
        <f t="shared" si="10"/>
        <v>4.8474137931034491</v>
      </c>
      <c r="H234" s="388">
        <f t="shared" si="11"/>
        <v>46.433376724137936</v>
      </c>
    </row>
    <row r="235" spans="2:8">
      <c r="B235" s="66">
        <v>43466</v>
      </c>
      <c r="C235" s="67">
        <v>26.523000000000003</v>
      </c>
      <c r="D235" s="68">
        <v>0.17600000000000002</v>
      </c>
      <c r="E235" s="69">
        <f t="shared" si="9"/>
        <v>27.783000000000005</v>
      </c>
      <c r="F235" s="254">
        <f t="shared" si="10"/>
        <v>4.7901724137931048</v>
      </c>
      <c r="H235" s="388">
        <f t="shared" si="11"/>
        <v>45.885061551724156</v>
      </c>
    </row>
    <row r="236" spans="2:8">
      <c r="B236" s="66">
        <v>43497</v>
      </c>
      <c r="C236" s="67">
        <v>25.948000000000004</v>
      </c>
      <c r="D236" s="68">
        <v>0.17600000000000002</v>
      </c>
      <c r="E236" s="69">
        <f t="shared" si="9"/>
        <v>27.208000000000006</v>
      </c>
      <c r="F236" s="254">
        <f t="shared" si="10"/>
        <v>4.6910344827586217</v>
      </c>
      <c r="H236" s="388">
        <f t="shared" si="11"/>
        <v>44.935419310344834</v>
      </c>
    </row>
    <row r="237" spans="2:8">
      <c r="B237" s="66">
        <v>43525</v>
      </c>
      <c r="C237" s="67">
        <v>25.385000000000002</v>
      </c>
      <c r="D237" s="68">
        <v>0.17600000000000002</v>
      </c>
      <c r="E237" s="69">
        <f t="shared" si="9"/>
        <v>26.645000000000003</v>
      </c>
      <c r="F237" s="254">
        <f t="shared" si="10"/>
        <v>4.5939655172413802</v>
      </c>
      <c r="H237" s="388">
        <f t="shared" si="11"/>
        <v>44.005595689655181</v>
      </c>
    </row>
    <row r="238" spans="2:8">
      <c r="B238" s="66">
        <v>43556</v>
      </c>
      <c r="C238" s="67">
        <v>24.805</v>
      </c>
      <c r="D238" s="68">
        <v>0.17600000000000002</v>
      </c>
      <c r="E238" s="69">
        <f t="shared" si="9"/>
        <v>26.065000000000001</v>
      </c>
      <c r="F238" s="254">
        <f t="shared" si="10"/>
        <v>4.4939655172413797</v>
      </c>
      <c r="H238" s="388">
        <f t="shared" si="11"/>
        <v>43.047695689655178</v>
      </c>
    </row>
    <row r="239" spans="2:8">
      <c r="B239" s="66">
        <v>43586</v>
      </c>
      <c r="C239" s="67">
        <v>24.414999999999999</v>
      </c>
      <c r="D239" s="68">
        <v>0.17600000000000002</v>
      </c>
      <c r="E239" s="69">
        <f t="shared" si="9"/>
        <v>25.675000000000001</v>
      </c>
      <c r="F239" s="254">
        <f t="shared" si="10"/>
        <v>4.4267241379310347</v>
      </c>
      <c r="H239" s="388">
        <f t="shared" si="11"/>
        <v>42.403590517241383</v>
      </c>
    </row>
    <row r="240" spans="2:8">
      <c r="B240" s="66">
        <v>43617</v>
      </c>
      <c r="C240" s="67">
        <v>24.377000000000002</v>
      </c>
      <c r="D240" s="68">
        <v>0.17600000000000002</v>
      </c>
      <c r="E240" s="69">
        <f t="shared" si="9"/>
        <v>25.637000000000004</v>
      </c>
      <c r="F240" s="254">
        <f t="shared" si="10"/>
        <v>4.4201724137931047</v>
      </c>
      <c r="H240" s="388">
        <f t="shared" si="11"/>
        <v>42.34083155172415</v>
      </c>
    </row>
    <row r="241" spans="2:8">
      <c r="B241" s="66">
        <v>43647</v>
      </c>
      <c r="C241" s="67">
        <v>24.709000000000003</v>
      </c>
      <c r="D241" s="68">
        <v>0.17600000000000002</v>
      </c>
      <c r="E241" s="69">
        <f t="shared" si="9"/>
        <v>25.969000000000005</v>
      </c>
      <c r="F241" s="254">
        <f t="shared" si="10"/>
        <v>4.477413793103449</v>
      </c>
      <c r="H241" s="388">
        <f t="shared" si="11"/>
        <v>42.889146724137937</v>
      </c>
    </row>
    <row r="242" spans="2:8">
      <c r="B242" s="66">
        <v>43678</v>
      </c>
      <c r="C242" s="67">
        <v>25.234000000000002</v>
      </c>
      <c r="D242" s="68">
        <v>0.17600000000000002</v>
      </c>
      <c r="E242" s="69">
        <f t="shared" si="9"/>
        <v>26.494000000000003</v>
      </c>
      <c r="F242" s="254">
        <f t="shared" si="10"/>
        <v>4.5679310344827595</v>
      </c>
      <c r="H242" s="388">
        <f t="shared" si="11"/>
        <v>43.756211379310358</v>
      </c>
    </row>
    <row r="243" spans="2:8">
      <c r="B243" s="66">
        <v>43709</v>
      </c>
      <c r="C243" s="67">
        <v>25.784000000000002</v>
      </c>
      <c r="D243" s="68">
        <v>0.17600000000000002</v>
      </c>
      <c r="E243" s="69">
        <f t="shared" si="9"/>
        <v>27.044000000000004</v>
      </c>
      <c r="F243" s="254">
        <f t="shared" si="10"/>
        <v>4.6627586206896563</v>
      </c>
      <c r="H243" s="388">
        <f t="shared" si="11"/>
        <v>44.664564827586219</v>
      </c>
    </row>
    <row r="244" spans="2:8">
      <c r="B244" s="66">
        <v>43739</v>
      </c>
      <c r="C244" s="67">
        <v>26.320999999999998</v>
      </c>
      <c r="D244" s="68">
        <v>0.17600000000000002</v>
      </c>
      <c r="E244" s="69">
        <f t="shared" si="9"/>
        <v>27.581</v>
      </c>
      <c r="F244" s="254">
        <f t="shared" si="10"/>
        <v>4.7553448275862067</v>
      </c>
      <c r="H244" s="388">
        <f t="shared" si="11"/>
        <v>45.551448103448273</v>
      </c>
    </row>
    <row r="245" spans="2:8">
      <c r="B245" s="66">
        <v>43770</v>
      </c>
      <c r="C245" s="67">
        <v>26.607000000000003</v>
      </c>
      <c r="D245" s="68">
        <v>0.17600000000000002</v>
      </c>
      <c r="E245" s="69">
        <f t="shared" si="9"/>
        <v>27.867000000000004</v>
      </c>
      <c r="F245" s="254">
        <f t="shared" si="10"/>
        <v>4.8046551724137938</v>
      </c>
      <c r="H245" s="388">
        <f t="shared" si="11"/>
        <v>46.023791896551728</v>
      </c>
    </row>
    <row r="246" spans="2:8">
      <c r="B246" s="66">
        <v>43800</v>
      </c>
      <c r="C246" s="67">
        <v>26.855</v>
      </c>
      <c r="D246" s="68">
        <v>0.17600000000000002</v>
      </c>
      <c r="E246" s="69">
        <f t="shared" si="9"/>
        <v>28.115000000000002</v>
      </c>
      <c r="F246" s="254">
        <f t="shared" si="10"/>
        <v>4.8474137931034491</v>
      </c>
      <c r="H246" s="388">
        <f t="shared" si="11"/>
        <v>46.433376724137936</v>
      </c>
    </row>
    <row r="247" spans="2:8">
      <c r="B247" s="66">
        <v>43831</v>
      </c>
      <c r="C247" s="67">
        <v>26.523000000000003</v>
      </c>
      <c r="D247" s="68">
        <v>0.17600000000000002</v>
      </c>
      <c r="E247" s="69">
        <f t="shared" si="9"/>
        <v>27.783000000000005</v>
      </c>
      <c r="F247" s="254">
        <f t="shared" si="10"/>
        <v>4.7901724137931048</v>
      </c>
      <c r="H247" s="389"/>
    </row>
    <row r="248" spans="2:8">
      <c r="B248" s="66">
        <v>43862</v>
      </c>
      <c r="C248" s="67">
        <v>25.948000000000004</v>
      </c>
      <c r="D248" s="68">
        <v>0.17600000000000002</v>
      </c>
      <c r="E248" s="69">
        <f t="shared" si="9"/>
        <v>27.208000000000006</v>
      </c>
      <c r="F248" s="254">
        <f t="shared" si="10"/>
        <v>4.6910344827586217</v>
      </c>
    </row>
    <row r="249" spans="2:8">
      <c r="B249" s="66">
        <v>43891</v>
      </c>
      <c r="C249" s="67">
        <v>25.385000000000002</v>
      </c>
      <c r="D249" s="68">
        <v>0.17600000000000002</v>
      </c>
      <c r="E249" s="69">
        <f t="shared" si="9"/>
        <v>26.645000000000003</v>
      </c>
      <c r="F249" s="254">
        <f t="shared" si="10"/>
        <v>4.5939655172413802</v>
      </c>
    </row>
    <row r="250" spans="2:8">
      <c r="B250" s="66">
        <v>43922</v>
      </c>
      <c r="C250" s="67">
        <v>24.805</v>
      </c>
      <c r="D250" s="68">
        <v>0.17600000000000002</v>
      </c>
      <c r="E250" s="69">
        <f t="shared" si="9"/>
        <v>26.065000000000001</v>
      </c>
      <c r="F250" s="254">
        <f t="shared" si="10"/>
        <v>4.4939655172413797</v>
      </c>
    </row>
    <row r="251" spans="2:8">
      <c r="B251" s="66">
        <v>43952</v>
      </c>
      <c r="C251" s="67">
        <v>24.414999999999999</v>
      </c>
      <c r="D251" s="68">
        <v>0.17600000000000002</v>
      </c>
      <c r="E251" s="69">
        <f t="shared" si="9"/>
        <v>25.675000000000001</v>
      </c>
      <c r="F251" s="254">
        <f t="shared" si="10"/>
        <v>4.4267241379310347</v>
      </c>
    </row>
    <row r="252" spans="2:8">
      <c r="B252" s="66">
        <v>43983</v>
      </c>
      <c r="C252" s="67">
        <v>24.377000000000002</v>
      </c>
      <c r="D252" s="68">
        <v>0.17600000000000002</v>
      </c>
      <c r="E252" s="69">
        <f t="shared" si="9"/>
        <v>25.637000000000004</v>
      </c>
      <c r="F252" s="254">
        <f t="shared" si="10"/>
        <v>4.4201724137931047</v>
      </c>
    </row>
    <row r="253" spans="2:8">
      <c r="B253" s="66">
        <v>44013</v>
      </c>
      <c r="C253" s="67">
        <v>24.709000000000003</v>
      </c>
      <c r="D253" s="68">
        <v>0.17600000000000002</v>
      </c>
      <c r="E253" s="69">
        <f t="shared" si="9"/>
        <v>25.969000000000005</v>
      </c>
      <c r="F253" s="254">
        <f t="shared" si="10"/>
        <v>4.477413793103449</v>
      </c>
    </row>
    <row r="254" spans="2:8">
      <c r="B254" s="66">
        <v>44044</v>
      </c>
      <c r="C254" s="67">
        <v>25.234000000000002</v>
      </c>
      <c r="D254" s="68">
        <v>0.17600000000000002</v>
      </c>
      <c r="E254" s="69">
        <f t="shared" si="9"/>
        <v>26.494000000000003</v>
      </c>
      <c r="F254" s="254">
        <f t="shared" si="10"/>
        <v>4.5679310344827595</v>
      </c>
    </row>
    <row r="255" spans="2:8">
      <c r="B255" s="66">
        <v>44075</v>
      </c>
      <c r="C255" s="67">
        <v>25.784000000000002</v>
      </c>
      <c r="D255" s="68">
        <v>0.17600000000000002</v>
      </c>
      <c r="E255" s="69">
        <f t="shared" si="9"/>
        <v>27.044000000000004</v>
      </c>
      <c r="F255" s="254">
        <f t="shared" si="10"/>
        <v>4.6627586206896563</v>
      </c>
    </row>
    <row r="256" spans="2:8">
      <c r="B256" s="66">
        <v>44105</v>
      </c>
      <c r="C256" s="67">
        <v>26.320999999999998</v>
      </c>
      <c r="D256" s="68">
        <v>0.17600000000000002</v>
      </c>
      <c r="E256" s="69">
        <f t="shared" si="9"/>
        <v>27.581</v>
      </c>
      <c r="F256" s="254">
        <f t="shared" si="10"/>
        <v>4.7553448275862067</v>
      </c>
    </row>
    <row r="257" spans="2:6">
      <c r="B257" s="66">
        <v>44136</v>
      </c>
      <c r="C257" s="67">
        <v>26.607000000000003</v>
      </c>
      <c r="D257" s="68">
        <v>0.17600000000000002</v>
      </c>
      <c r="E257" s="69">
        <f t="shared" si="9"/>
        <v>27.867000000000004</v>
      </c>
      <c r="F257" s="254">
        <f t="shared" si="10"/>
        <v>4.8046551724137938</v>
      </c>
    </row>
    <row r="258" spans="2:6">
      <c r="B258" s="66">
        <v>44166</v>
      </c>
      <c r="C258" s="67">
        <v>26.855</v>
      </c>
      <c r="D258" s="68">
        <v>0.17600000000000002</v>
      </c>
      <c r="E258" s="69">
        <f t="shared" si="9"/>
        <v>28.115000000000002</v>
      </c>
      <c r="F258" s="254">
        <f t="shared" si="10"/>
        <v>4.8474137931034491</v>
      </c>
    </row>
    <row r="259" spans="2:6">
      <c r="B259" s="66">
        <v>44197</v>
      </c>
      <c r="C259" s="67">
        <v>26.523000000000003</v>
      </c>
      <c r="D259" s="68">
        <v>0.17600000000000002</v>
      </c>
      <c r="E259" s="69">
        <f t="shared" si="9"/>
        <v>27.783000000000005</v>
      </c>
      <c r="F259" s="254">
        <f t="shared" si="10"/>
        <v>4.7901724137931048</v>
      </c>
    </row>
    <row r="260" spans="2:6">
      <c r="B260" s="66">
        <v>44228</v>
      </c>
      <c r="C260" s="67">
        <v>25.948000000000004</v>
      </c>
      <c r="D260" s="68">
        <v>0.17600000000000002</v>
      </c>
      <c r="E260" s="69">
        <f t="shared" si="9"/>
        <v>27.208000000000006</v>
      </c>
      <c r="F260" s="254">
        <f t="shared" si="10"/>
        <v>4.6910344827586217</v>
      </c>
    </row>
    <row r="261" spans="2:6">
      <c r="B261" s="66">
        <v>44256</v>
      </c>
      <c r="C261" s="67">
        <v>25.385000000000002</v>
      </c>
      <c r="D261" s="68">
        <v>0.17600000000000002</v>
      </c>
      <c r="E261" s="69">
        <f t="shared" si="9"/>
        <v>26.645000000000003</v>
      </c>
      <c r="F261" s="254">
        <f t="shared" si="10"/>
        <v>4.5939655172413802</v>
      </c>
    </row>
    <row r="262" spans="2:6">
      <c r="B262" s="66">
        <v>44287</v>
      </c>
      <c r="C262" s="67">
        <v>24.805</v>
      </c>
      <c r="D262" s="68">
        <v>0.17600000000000002</v>
      </c>
      <c r="E262" s="69">
        <f t="shared" si="9"/>
        <v>26.065000000000001</v>
      </c>
      <c r="F262" s="254">
        <f t="shared" si="10"/>
        <v>4.4939655172413797</v>
      </c>
    </row>
    <row r="263" spans="2:6">
      <c r="B263" s="66">
        <v>44317</v>
      </c>
      <c r="C263" s="67">
        <v>24.414999999999999</v>
      </c>
      <c r="D263" s="68">
        <v>0.17600000000000002</v>
      </c>
      <c r="E263" s="69">
        <f t="shared" si="9"/>
        <v>25.675000000000001</v>
      </c>
      <c r="F263" s="254">
        <f t="shared" si="10"/>
        <v>4.4267241379310347</v>
      </c>
    </row>
    <row r="264" spans="2:6">
      <c r="B264" s="66">
        <v>44348</v>
      </c>
      <c r="C264" s="67">
        <v>24.377000000000002</v>
      </c>
      <c r="D264" s="68">
        <v>0.17600000000000002</v>
      </c>
      <c r="E264" s="69">
        <f>C264+(0.03*42)</f>
        <v>25.637000000000004</v>
      </c>
      <c r="F264" s="254">
        <f>E264/$F$4</f>
        <v>4.4201724137931047</v>
      </c>
    </row>
    <row r="265" spans="2:6">
      <c r="B265" s="66">
        <v>44378</v>
      </c>
      <c r="C265" s="67">
        <v>24.709000000000003</v>
      </c>
      <c r="D265" s="68">
        <v>0.17600000000000002</v>
      </c>
      <c r="E265" s="69">
        <f>C265+(0.03*42)</f>
        <v>25.969000000000005</v>
      </c>
      <c r="F265" s="254">
        <f>E265/$F$4</f>
        <v>4.477413793103449</v>
      </c>
    </row>
    <row r="266" spans="2:6">
      <c r="B266" s="66">
        <v>44409</v>
      </c>
      <c r="C266" s="67">
        <v>25.234000000000002</v>
      </c>
      <c r="D266" s="68">
        <v>0.17600000000000002</v>
      </c>
      <c r="E266" s="69">
        <f>C266+(0.03*42)</f>
        <v>26.494000000000003</v>
      </c>
      <c r="F266" s="254">
        <f>E266/$F$4</f>
        <v>4.5679310344827595</v>
      </c>
    </row>
    <row r="267" spans="2:6">
      <c r="B267" s="66">
        <v>44440</v>
      </c>
      <c r="C267" s="67">
        <v>25.784000000000002</v>
      </c>
      <c r="D267" s="68">
        <v>0.17600000000000002</v>
      </c>
      <c r="E267" s="69">
        <f>C267+(0.03*42)</f>
        <v>27.044000000000004</v>
      </c>
      <c r="F267" s="254">
        <f>E267/$F$4</f>
        <v>4.6627586206896563</v>
      </c>
    </row>
    <row r="268" spans="2:6">
      <c r="B268" s="66">
        <v>44470</v>
      </c>
      <c r="C268" s="67">
        <v>26.320999999999998</v>
      </c>
      <c r="D268" s="68">
        <v>0.17600000000000002</v>
      </c>
      <c r="E268" s="70">
        <f>C268+(0.03*42)</f>
        <v>27.581</v>
      </c>
      <c r="F268" s="257">
        <f>E268/$F$4</f>
        <v>4.7553448275862067</v>
      </c>
    </row>
    <row r="269" spans="2:6">
      <c r="B269" s="66">
        <v>44501</v>
      </c>
      <c r="C269" s="71"/>
      <c r="D269" s="71"/>
    </row>
  </sheetData>
  <pageMargins left="0.75" right="0.75" top="1" bottom="1" header="0.5" footer="0.5"/>
  <pageSetup orientation="portrait" horizont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394"/>
  <sheetViews>
    <sheetView workbookViewId="0">
      <selection activeCell="I7" sqref="I7"/>
    </sheetView>
  </sheetViews>
  <sheetFormatPr defaultColWidth="9.109375" defaultRowHeight="13.2"/>
  <cols>
    <col min="1" max="1" width="12" style="250" bestFit="1" customWidth="1"/>
    <col min="2" max="2" width="11.6640625" style="247" customWidth="1"/>
    <col min="3" max="3" width="12.5546875" style="250" bestFit="1" customWidth="1"/>
    <col min="4" max="4" width="9.109375" style="250"/>
    <col min="5" max="5" width="1.6640625" style="250" customWidth="1"/>
    <col min="6" max="6" width="11.33203125" style="250" bestFit="1" customWidth="1"/>
    <col min="7" max="7" width="9.109375" style="250"/>
    <col min="8" max="8" width="4" style="247" bestFit="1" customWidth="1"/>
    <col min="9" max="9" width="11.88671875" style="247" customWidth="1"/>
    <col min="10" max="10" width="9.109375" style="247"/>
    <col min="11" max="11" width="14.88671875" style="247" bestFit="1" customWidth="1"/>
    <col min="12" max="12" width="13.109375" style="247" customWidth="1"/>
    <col min="13" max="13" width="11.33203125" style="247" bestFit="1" customWidth="1"/>
    <col min="14" max="14" width="15.6640625" style="247" customWidth="1"/>
    <col min="15" max="15" width="10.109375" style="247" bestFit="1" customWidth="1"/>
    <col min="16" max="16" width="11.44140625" style="247" bestFit="1" customWidth="1"/>
    <col min="17" max="17" width="14.88671875" style="247" customWidth="1"/>
    <col min="18" max="18" width="0.88671875" style="247" customWidth="1"/>
    <col min="19" max="19" width="12.33203125" style="247" bestFit="1" customWidth="1"/>
    <col min="20" max="20" width="14.88671875" style="247" bestFit="1" customWidth="1"/>
    <col min="21" max="21" width="13.5546875" style="247" customWidth="1"/>
    <col min="22" max="22" width="0.88671875" style="247" customWidth="1"/>
    <col min="23" max="23" width="14.33203125" style="247" bestFit="1" customWidth="1"/>
    <col min="24" max="24" width="2" style="247" bestFit="1" customWidth="1"/>
    <col min="25" max="25" width="3.88671875" style="247" customWidth="1"/>
    <col min="26" max="28" width="9.109375" style="247"/>
    <col min="29" max="30" width="9.109375" style="465"/>
    <col min="31" max="31" width="13.33203125" style="465" bestFit="1" customWidth="1"/>
    <col min="32" max="32" width="12.33203125" style="465" bestFit="1" customWidth="1"/>
    <col min="33" max="33" width="14.88671875" style="465" bestFit="1" customWidth="1"/>
    <col min="34" max="34" width="14.88671875" style="640" customWidth="1"/>
    <col min="35" max="35" width="2.6640625" style="465" customWidth="1"/>
    <col min="36" max="37" width="14.88671875" style="465" bestFit="1" customWidth="1"/>
    <col min="38" max="38" width="13.6640625" style="465" bestFit="1" customWidth="1"/>
    <col min="39" max="44" width="9.109375" style="465"/>
    <col min="45" max="16384" width="9.109375" style="247"/>
  </cols>
  <sheetData>
    <row r="1" spans="1:47">
      <c r="C1" s="632">
        <f>IF(SUM(K4:K250)=0,0,SUMPRODUCT(C4:C250,K4:K250,'Revenues &amp; Expenses'!N12:N258)/SUMPRODUCT('Revenues &amp; Expenses'!N12:N258,'Curve Analysis - Base Case'!K4:K250))</f>
        <v>85.553865725656266</v>
      </c>
      <c r="D1" s="633">
        <f>IF(SUM(K4:K250)=0,0,SUMPRODUCT(D4:D250,K4:K250,'Revenues &amp; Expenses'!N12:N258)/SUMPRODUCT('Revenues &amp; Expenses'!N12:N258,'Curve Analysis - Base Case'!K4:K250))</f>
        <v>46.432057692072924</v>
      </c>
      <c r="I1" s="425">
        <f>IF(SUM(I4:I250)=0,0,SUM(I4:I238)/247)</f>
        <v>0.24291497975708501</v>
      </c>
      <c r="J1" s="539"/>
      <c r="K1" s="553">
        <f>SUMPRODUCT(K4:K250,'Revenues &amp; Expenses'!N12:N258)</f>
        <v>3577796.0016335445</v>
      </c>
      <c r="L1" s="540"/>
      <c r="M1" s="391"/>
      <c r="N1" s="391"/>
      <c r="O1" s="393"/>
      <c r="P1" s="401"/>
      <c r="Q1" s="401"/>
      <c r="R1" s="459"/>
      <c r="S1" s="457" t="s">
        <v>243</v>
      </c>
      <c r="T1" s="457" t="s">
        <v>244</v>
      </c>
      <c r="U1" s="401"/>
      <c r="V1" s="459"/>
      <c r="W1" s="401"/>
      <c r="X1" s="401"/>
      <c r="Y1" s="402"/>
      <c r="AE1" s="465">
        <f>SUM(AE4:AE250)</f>
        <v>306094278.71754611</v>
      </c>
      <c r="AF1" s="465">
        <f>SUM('Financial Statements'!C12:W12)</f>
        <v>617908519.16564941</v>
      </c>
    </row>
    <row r="2" spans="1:47" ht="20.399999999999999">
      <c r="A2" s="251" t="s">
        <v>224</v>
      </c>
      <c r="C2" s="251" t="s">
        <v>11</v>
      </c>
      <c r="D2" s="251" t="s">
        <v>208</v>
      </c>
      <c r="E2" s="251"/>
      <c r="F2" s="251" t="s">
        <v>117</v>
      </c>
      <c r="G2" s="251" t="s">
        <v>209</v>
      </c>
      <c r="I2" s="384" t="s">
        <v>210</v>
      </c>
      <c r="J2" s="747"/>
      <c r="K2" s="540"/>
      <c r="M2" s="384" t="s">
        <v>299</v>
      </c>
      <c r="N2" s="384" t="s">
        <v>299</v>
      </c>
      <c r="O2" s="403"/>
      <c r="P2" s="410"/>
      <c r="Q2" s="405" t="s">
        <v>220</v>
      </c>
      <c r="R2" s="460"/>
      <c r="S2" s="405" t="s">
        <v>240</v>
      </c>
      <c r="T2" s="405" t="s">
        <v>241</v>
      </c>
      <c r="U2" s="405" t="s">
        <v>246</v>
      </c>
      <c r="V2" s="460"/>
      <c r="W2" s="404"/>
      <c r="X2" s="404"/>
      <c r="Y2" s="406"/>
      <c r="AE2" s="638"/>
      <c r="AF2" s="638"/>
      <c r="AG2" s="638" t="s">
        <v>203</v>
      </c>
      <c r="AH2" s="641" t="s">
        <v>299</v>
      </c>
      <c r="AI2" s="638"/>
      <c r="AK2" s="638" t="s">
        <v>203</v>
      </c>
      <c r="AL2" s="641" t="s">
        <v>299</v>
      </c>
      <c r="AS2" s="591"/>
      <c r="AT2" s="591"/>
      <c r="AU2" s="591"/>
    </row>
    <row r="3" spans="1:47" ht="13.8" thickBot="1">
      <c r="A3" s="382" t="s">
        <v>18</v>
      </c>
      <c r="C3" s="382" t="s">
        <v>6</v>
      </c>
      <c r="D3" s="382" t="s">
        <v>198</v>
      </c>
      <c r="E3" s="251"/>
      <c r="F3" s="382" t="s">
        <v>170</v>
      </c>
      <c r="G3" s="382" t="s">
        <v>89</v>
      </c>
      <c r="I3" s="383" t="s">
        <v>211</v>
      </c>
      <c r="J3" s="383" t="s">
        <v>7</v>
      </c>
      <c r="K3" s="383" t="s">
        <v>300</v>
      </c>
      <c r="L3" s="383" t="s">
        <v>301</v>
      </c>
      <c r="M3" s="383" t="s">
        <v>302</v>
      </c>
      <c r="N3" s="383" t="s">
        <v>300</v>
      </c>
      <c r="O3" s="403"/>
      <c r="P3" s="407" t="s">
        <v>215</v>
      </c>
      <c r="Q3" s="426">
        <f ca="1">IF(SUM(Q4:Q24)&gt;1,1,0)</f>
        <v>1</v>
      </c>
      <c r="R3" s="461"/>
      <c r="S3" s="456" t="s">
        <v>239</v>
      </c>
      <c r="T3" s="456" t="s">
        <v>242</v>
      </c>
      <c r="U3" s="456" t="s">
        <v>245</v>
      </c>
      <c r="V3" s="461"/>
      <c r="W3" s="408" t="s">
        <v>103</v>
      </c>
      <c r="X3" s="404"/>
      <c r="Y3" s="406"/>
      <c r="AE3" s="639" t="s">
        <v>303</v>
      </c>
      <c r="AF3" s="639" t="s">
        <v>301</v>
      </c>
      <c r="AG3" s="639" t="s">
        <v>305</v>
      </c>
      <c r="AH3" s="642" t="s">
        <v>305</v>
      </c>
      <c r="AI3" s="639"/>
      <c r="AJ3" s="636" t="s">
        <v>304</v>
      </c>
      <c r="AK3" s="639" t="s">
        <v>305</v>
      </c>
      <c r="AL3" s="642" t="s">
        <v>305</v>
      </c>
    </row>
    <row r="4" spans="1:47">
      <c r="A4" s="250">
        <v>71.662938491251083</v>
      </c>
      <c r="B4" s="248">
        <f>'Revenues &amp; Expenses'!AX12</f>
        <v>36678</v>
      </c>
      <c r="C4" s="250">
        <f>'PJM Curve Simulation'!J12</f>
        <v>58.075000762939453</v>
      </c>
      <c r="D4" s="250">
        <f>F4+G4</f>
        <v>54.300083790314972</v>
      </c>
      <c r="F4" s="250">
        <f>('Fuel Curve Simulation'!J12*'Revenues &amp; Expenses'!$S$2/1000)</f>
        <v>52.273263620689654</v>
      </c>
      <c r="G4" s="250">
        <f>'Revenues &amp; Expenses'!$AM$5*1000*'Revenues &amp; Expenses'!O12</f>
        <v>2.0268201696253172</v>
      </c>
      <c r="I4" s="247">
        <f>IF(C4&gt;D4,1,0)</f>
        <v>1</v>
      </c>
      <c r="J4" s="247">
        <v>315</v>
      </c>
      <c r="K4" s="391">
        <f>IF(I4&gt;0,J4*'Revenues &amp; Expenses'!F12*16,0)</f>
        <v>110880</v>
      </c>
      <c r="L4" s="540">
        <f>K4*'Revenues &amp; Expenses'!N12</f>
        <v>108435.14340631962</v>
      </c>
      <c r="M4" s="391"/>
      <c r="N4" s="391"/>
      <c r="O4" s="409">
        <v>36891</v>
      </c>
      <c r="P4" s="435" t="str">
        <f>HLOOKUP(O4,'Financial Statements'!$C$31:$W$43,13)</f>
        <v>n/a</v>
      </c>
      <c r="Q4" s="404">
        <f>IF(P4&lt;1,1,0)</f>
        <v>0</v>
      </c>
      <c r="R4" s="380"/>
      <c r="S4" s="455">
        <f>SUM('Revenues &amp; Expenses'!BJ12:$BJ$258)</f>
        <v>146728833.38546032</v>
      </c>
      <c r="T4" s="455">
        <f ca="1">VLOOKUP(O4,'Credit Reserve Simulation'!$C$11:$F$257,4)</f>
        <v>125699173.57010761</v>
      </c>
      <c r="U4" s="458">
        <f ca="1">S4-T4+$W$18</f>
        <v>21029659.815352708</v>
      </c>
      <c r="V4" s="463"/>
      <c r="W4" s="405" t="s">
        <v>216</v>
      </c>
      <c r="X4" s="404">
        <f ca="1">IF(SUM(Q4:Q8)&gt;0,1,0)</f>
        <v>1</v>
      </c>
      <c r="Y4" s="406"/>
      <c r="AA4" s="627">
        <f>'Debt Amortization'!AF3</f>
        <v>0.94533452136269336</v>
      </c>
      <c r="AC4" s="637">
        <f>B4</f>
        <v>36678</v>
      </c>
      <c r="AE4" s="465">
        <f>C4*L4</f>
        <v>6297371.0360514615</v>
      </c>
      <c r="AF4" s="465">
        <f>L4</f>
        <v>108435.14340631962</v>
      </c>
      <c r="AG4" s="640">
        <f>IF(AF4&gt;0,AE4/AF4,0)</f>
        <v>58.07500076293946</v>
      </c>
      <c r="AJ4" s="465">
        <f>D4*L4</f>
        <v>5888037.3727779752</v>
      </c>
      <c r="AK4" s="646">
        <f t="shared" ref="AK4:AK67" si="0">IF(AF4&gt;0,AJ4/AF4,0)</f>
        <v>54.300083790314972</v>
      </c>
    </row>
    <row r="5" spans="1:47">
      <c r="A5" s="250">
        <v>136.23057296609247</v>
      </c>
      <c r="B5" s="248">
        <f>'Revenues &amp; Expenses'!AX13</f>
        <v>36708</v>
      </c>
      <c r="C5" s="250">
        <f>'PJM Curve Simulation'!J13</f>
        <v>103.75</v>
      </c>
      <c r="D5" s="250">
        <f t="shared" ref="D5:D68" si="1">F5+G5</f>
        <v>53.610936932006815</v>
      </c>
      <c r="F5" s="250">
        <f>('Fuel Curve Simulation'!J13*'Revenues &amp; Expenses'!$S$2/1000)</f>
        <v>51.579611896551732</v>
      </c>
      <c r="G5" s="250">
        <f>'Revenues &amp; Expenses'!$AM$5*1000*'Revenues &amp; Expenses'!O13</f>
        <v>2.03132503545508</v>
      </c>
      <c r="I5" s="247">
        <f t="shared" ref="I5:I68" si="2">IF(C5&gt;D5,1,0)</f>
        <v>1</v>
      </c>
      <c r="J5" s="247">
        <v>315</v>
      </c>
      <c r="K5" s="391">
        <f>IF(I5&gt;0,J5*'Revenues &amp; Expenses'!F13*16,0)</f>
        <v>105840</v>
      </c>
      <c r="L5" s="540">
        <f>K5*'Revenues &amp; Expenses'!N13</f>
        <v>102943.41765234906</v>
      </c>
      <c r="M5" s="391"/>
      <c r="N5" s="391"/>
      <c r="O5" s="409">
        <f>O4+365.25</f>
        <v>37256.25</v>
      </c>
      <c r="P5" s="435">
        <f ca="1">HLOOKUP(O5,'Financial Statements'!$C$31:$W$43,13)</f>
        <v>0.38781142524897433</v>
      </c>
      <c r="Q5" s="404">
        <f ca="1">IF(P5&lt;1,1,0)</f>
        <v>1</v>
      </c>
      <c r="R5" s="380"/>
      <c r="S5" s="455">
        <f>SUM('Revenues &amp; Expenses'!BJ19:BJ258)</f>
        <v>136480707.99908632</v>
      </c>
      <c r="T5" s="455">
        <f ca="1">VLOOKUP(O5,'Credit Reserve Simulation'!$C$11:$F$257,4)</f>
        <v>115070700.64399382</v>
      </c>
      <c r="U5" s="458">
        <f t="shared" ref="U5:U24" ca="1" si="3">S5-T5+$W$18</f>
        <v>21410007.355092496</v>
      </c>
      <c r="V5" s="463"/>
      <c r="W5" s="405" t="s">
        <v>217</v>
      </c>
      <c r="X5" s="404">
        <f ca="1">IF(SUM(Q9:Q13)&gt;0,1,0)</f>
        <v>1</v>
      </c>
      <c r="Y5" s="406"/>
      <c r="AA5" s="627">
        <f>'Debt Amortization'!AF4</f>
        <v>0.87950265178452391</v>
      </c>
      <c r="AC5" s="637">
        <f t="shared" ref="AC5:AC68" si="4">B5</f>
        <v>36708</v>
      </c>
      <c r="AE5" s="465">
        <f t="shared" ref="AE5:AE68" si="5">C5*L5</f>
        <v>10680379.581431216</v>
      </c>
      <c r="AF5" s="465">
        <f t="shared" ref="AF5:AF68" si="6">L5</f>
        <v>102943.41765234906</v>
      </c>
      <c r="AG5" s="640">
        <f t="shared" ref="AG5:AG68" si="7">IF(AF5&gt;0,AE5/AF5,0)</f>
        <v>103.75</v>
      </c>
      <c r="AJ5" s="465">
        <f t="shared" ref="AJ5:AJ68" si="8">D5*L5</f>
        <v>5518893.0713253226</v>
      </c>
      <c r="AK5" s="646">
        <f t="shared" si="0"/>
        <v>53.610936932006815</v>
      </c>
    </row>
    <row r="6" spans="1:47">
      <c r="A6" s="250">
        <v>111.38109511546418</v>
      </c>
      <c r="B6" s="248">
        <f>'Revenues &amp; Expenses'!AX14</f>
        <v>36739</v>
      </c>
      <c r="C6" s="250">
        <f>'PJM Curve Simulation'!J14</f>
        <v>90.75</v>
      </c>
      <c r="D6" s="250">
        <f t="shared" si="1"/>
        <v>53.684816982888115</v>
      </c>
      <c r="F6" s="250">
        <f>('Fuel Curve Simulation'!J14*'Revenues &amp; Expenses'!$S$2/1000)</f>
        <v>51.648977068965522</v>
      </c>
      <c r="G6" s="250">
        <f>'Revenues &amp; Expenses'!$AM$5*1000*'Revenues &amp; Expenses'!O14</f>
        <v>2.0358399139225933</v>
      </c>
      <c r="I6" s="247">
        <f t="shared" si="2"/>
        <v>1</v>
      </c>
      <c r="J6" s="247">
        <v>315</v>
      </c>
      <c r="K6" s="391">
        <f>IF(I6&gt;0,J6*'Revenues &amp; Expenses'!F14*16,0)</f>
        <v>115920</v>
      </c>
      <c r="L6" s="540">
        <f>K6*'Revenues &amp; Expenses'!N14</f>
        <v>112117.25700636329</v>
      </c>
      <c r="M6" s="391"/>
      <c r="N6" s="391"/>
      <c r="O6" s="409">
        <f t="shared" ref="O6:O24" si="9">O5+365.25</f>
        <v>37621.5</v>
      </c>
      <c r="P6" s="435">
        <f ca="1">HLOOKUP(O6,'Financial Statements'!$C$31:$W$43,13)</f>
        <v>0.38329541065497996</v>
      </c>
      <c r="Q6" s="404">
        <f t="shared" ref="Q6:Q24" ca="1" si="10">IF(P6&lt;1,1,0)</f>
        <v>1</v>
      </c>
      <c r="R6" s="380"/>
      <c r="S6" s="455">
        <f>SUM('Revenues &amp; Expenses'!BJ31:BJ258)</f>
        <v>126589381.2466788</v>
      </c>
      <c r="T6" s="455">
        <f ca="1">VLOOKUP(O6,'Credit Reserve Simulation'!$C$11:$F$257,4)</f>
        <v>104259585.96121681</v>
      </c>
      <c r="U6" s="458">
        <f t="shared" ca="1" si="3"/>
        <v>22329795.285461992</v>
      </c>
      <c r="V6" s="463"/>
      <c r="W6" s="405" t="s">
        <v>218</v>
      </c>
      <c r="X6" s="404">
        <f ca="1">IF(SUM(Q14:Q18)&gt;0,1,0)</f>
        <v>1</v>
      </c>
      <c r="Y6" s="406"/>
      <c r="AA6" s="627">
        <f>'Debt Amortization'!AF5</f>
        <v>0.81733728641604919</v>
      </c>
      <c r="AC6" s="637">
        <f t="shared" si="4"/>
        <v>36739</v>
      </c>
      <c r="AE6" s="465">
        <f t="shared" si="5"/>
        <v>10174641.073327469</v>
      </c>
      <c r="AF6" s="465">
        <f t="shared" si="6"/>
        <v>112117.25700636329</v>
      </c>
      <c r="AG6" s="640">
        <f t="shared" si="7"/>
        <v>90.75</v>
      </c>
      <c r="AJ6" s="465">
        <f t="shared" si="8"/>
        <v>6018994.4230100438</v>
      </c>
      <c r="AK6" s="646">
        <f t="shared" si="0"/>
        <v>53.684816982888115</v>
      </c>
    </row>
    <row r="7" spans="1:47">
      <c r="A7" s="250">
        <v>41.062843130248382</v>
      </c>
      <c r="B7" s="248">
        <f>'Revenues &amp; Expenses'!AX15</f>
        <v>36770</v>
      </c>
      <c r="C7" s="250">
        <f>'PJM Curve Simulation'!J15</f>
        <v>35.549999237060547</v>
      </c>
      <c r="D7" s="250">
        <f t="shared" si="1"/>
        <v>53.793389654868427</v>
      </c>
      <c r="F7" s="250">
        <f>('Fuel Curve Simulation'!J15*'Revenues &amp; Expenses'!$S$2/1000)</f>
        <v>51.753024827586209</v>
      </c>
      <c r="G7" s="250">
        <f>'Revenues &amp; Expenses'!$AM$5*1000*'Revenues &amp; Expenses'!O15</f>
        <v>2.0403648272822195</v>
      </c>
      <c r="I7" s="247">
        <f t="shared" si="2"/>
        <v>0</v>
      </c>
      <c r="J7" s="247">
        <v>315</v>
      </c>
      <c r="K7" s="391">
        <f>IF(I7&gt;0,J7*'Revenues &amp; Expenses'!F15*16,0)</f>
        <v>0</v>
      </c>
      <c r="L7" s="540">
        <f>K7*'Revenues &amp; Expenses'!N15</f>
        <v>0</v>
      </c>
      <c r="M7" s="391"/>
      <c r="N7" s="391"/>
      <c r="O7" s="409">
        <f t="shared" si="9"/>
        <v>37986.75</v>
      </c>
      <c r="P7" s="435">
        <f ca="1">HLOOKUP(O7,'Financial Statements'!$C$31:$W$43,13)</f>
        <v>0.40281353052696295</v>
      </c>
      <c r="Q7" s="404">
        <f t="shared" ca="1" si="10"/>
        <v>1</v>
      </c>
      <c r="R7" s="380"/>
      <c r="S7" s="455">
        <f>SUM('Revenues &amp; Expenses'!BJ43:BJ258)</f>
        <v>117341504.33018452</v>
      </c>
      <c r="T7" s="455">
        <f ca="1">VLOOKUP(O7,'Credit Reserve Simulation'!$C$11:$F$257,4)</f>
        <v>94212055.758355528</v>
      </c>
      <c r="U7" s="458">
        <f t="shared" ca="1" si="3"/>
        <v>23129448.571828991</v>
      </c>
      <c r="V7" s="463"/>
      <c r="W7" s="405" t="s">
        <v>219</v>
      </c>
      <c r="X7" s="404">
        <f ca="1">IF(SUM(Q19:Q23)&gt;0,1,0)</f>
        <v>1</v>
      </c>
      <c r="Y7" s="406"/>
      <c r="AA7" s="627">
        <f>'Debt Amortization'!AF6</f>
        <v>0.75961790110436567</v>
      </c>
      <c r="AC7" s="637">
        <f t="shared" si="4"/>
        <v>36770</v>
      </c>
      <c r="AE7" s="465">
        <f t="shared" si="5"/>
        <v>0</v>
      </c>
      <c r="AF7" s="465">
        <f t="shared" si="6"/>
        <v>0</v>
      </c>
      <c r="AG7" s="640">
        <f t="shared" si="7"/>
        <v>0</v>
      </c>
      <c r="AJ7" s="465">
        <f t="shared" si="8"/>
        <v>0</v>
      </c>
      <c r="AK7" s="646">
        <f t="shared" si="0"/>
        <v>0</v>
      </c>
    </row>
    <row r="8" spans="1:47">
      <c r="A8" s="250">
        <v>29.896752146244047</v>
      </c>
      <c r="B8" s="248">
        <f>'Revenues &amp; Expenses'!AX16</f>
        <v>36800</v>
      </c>
      <c r="C8" s="250">
        <f>'PJM Curve Simulation'!J16</f>
        <v>25.450000762939453</v>
      </c>
      <c r="D8" s="250">
        <f t="shared" si="1"/>
        <v>53.936654970251588</v>
      </c>
      <c r="F8" s="250">
        <f>('Fuel Curve Simulation'!J16*'Revenues &amp; Expenses'!$S$2/1000)</f>
        <v>51.891755172413802</v>
      </c>
      <c r="G8" s="250">
        <f>'Revenues &amp; Expenses'!$AM$5*1000*'Revenues &amp; Expenses'!O16</f>
        <v>2.044899797837783</v>
      </c>
      <c r="I8" s="247">
        <f t="shared" si="2"/>
        <v>0</v>
      </c>
      <c r="J8" s="247">
        <v>315</v>
      </c>
      <c r="K8" s="391">
        <f>IF(I8&gt;0,J8*'Revenues &amp; Expenses'!F16*16,0)</f>
        <v>0</v>
      </c>
      <c r="L8" s="540">
        <f>K8*'Revenues &amp; Expenses'!N16</f>
        <v>0</v>
      </c>
      <c r="M8" s="391"/>
      <c r="N8" s="391"/>
      <c r="O8" s="409">
        <f t="shared" si="9"/>
        <v>38352</v>
      </c>
      <c r="P8" s="435">
        <f ca="1">HLOOKUP(O8,'Financial Statements'!$C$31:$W$43,13)</f>
        <v>0.41114843012933455</v>
      </c>
      <c r="Q8" s="404">
        <f t="shared" ca="1" si="10"/>
        <v>1</v>
      </c>
      <c r="R8" s="380"/>
      <c r="S8" s="455">
        <f>SUM('Revenues &amp; Expenses'!BJ55:BJ258)</f>
        <v>108572374.39643109</v>
      </c>
      <c r="T8" s="455">
        <f ca="1">VLOOKUP(O8,'Credit Reserve Simulation'!$C$11:$F$257,4)</f>
        <v>84878611.275394306</v>
      </c>
      <c r="U8" s="458">
        <f t="shared" ca="1" si="3"/>
        <v>23693763.121036783</v>
      </c>
      <c r="V8" s="463"/>
      <c r="W8" s="404"/>
      <c r="X8" s="404"/>
      <c r="Y8" s="406"/>
      <c r="AA8" s="627">
        <f>'Debt Amortization'!AF7</f>
        <v>0.70506275032547461</v>
      </c>
      <c r="AC8" s="637">
        <f t="shared" si="4"/>
        <v>36800</v>
      </c>
      <c r="AE8" s="465">
        <f t="shared" si="5"/>
        <v>0</v>
      </c>
      <c r="AF8" s="465">
        <f t="shared" si="6"/>
        <v>0</v>
      </c>
      <c r="AG8" s="640">
        <f t="shared" si="7"/>
        <v>0</v>
      </c>
      <c r="AJ8" s="465">
        <f t="shared" si="8"/>
        <v>0</v>
      </c>
      <c r="AK8" s="646">
        <f t="shared" si="0"/>
        <v>0</v>
      </c>
    </row>
    <row r="9" spans="1:47">
      <c r="A9" s="250">
        <v>29.949248295736314</v>
      </c>
      <c r="B9" s="248">
        <f>'Revenues &amp; Expenses'!AX17</f>
        <v>36831</v>
      </c>
      <c r="C9" s="250">
        <f>'PJM Curve Simulation'!J17</f>
        <v>25.149999618530273</v>
      </c>
      <c r="D9" s="250">
        <f t="shared" si="1"/>
        <v>54.045247778977171</v>
      </c>
      <c r="F9" s="250">
        <f>('Fuel Curve Simulation'!J17*'Revenues &amp; Expenses'!$S$2/1000)</f>
        <v>51.99580293103449</v>
      </c>
      <c r="G9" s="250">
        <f>'Revenues &amp; Expenses'!$AM$5*1000*'Revenues &amp; Expenses'!O17</f>
        <v>2.049444847942683</v>
      </c>
      <c r="I9" s="247">
        <f t="shared" si="2"/>
        <v>0</v>
      </c>
      <c r="J9" s="247">
        <v>315</v>
      </c>
      <c r="K9" s="391">
        <f>IF(I9&gt;0,J9*'Revenues &amp; Expenses'!F17*16,0)</f>
        <v>0</v>
      </c>
      <c r="L9" s="540">
        <f>K9*'Revenues &amp; Expenses'!N17</f>
        <v>0</v>
      </c>
      <c r="M9" s="391"/>
      <c r="N9" s="391"/>
      <c r="O9" s="409">
        <f t="shared" si="9"/>
        <v>38717.25</v>
      </c>
      <c r="P9" s="435">
        <f ca="1">HLOOKUP(O9,'Financial Statements'!$C$31:$W$43,13)</f>
        <v>0.44109408711634829</v>
      </c>
      <c r="Q9" s="404">
        <f t="shared" ca="1" si="10"/>
        <v>1</v>
      </c>
      <c r="R9" s="380"/>
      <c r="S9" s="455">
        <f>SUM('Revenues &amp; Expenses'!BJ67:BJ258)</f>
        <v>100170696.8000201</v>
      </c>
      <c r="T9" s="455">
        <f ca="1">VLOOKUP(O9,'Credit Reserve Simulation'!$C$11:$F$257,4)</f>
        <v>76215211.035010278</v>
      </c>
      <c r="U9" s="458">
        <f t="shared" ca="1" si="3"/>
        <v>23955485.76500982</v>
      </c>
      <c r="V9" s="463"/>
      <c r="W9" s="404"/>
      <c r="X9" s="404"/>
      <c r="Y9" s="406"/>
      <c r="AA9" s="627">
        <f>'Debt Amortization'!AF8</f>
        <v>0.6547701320602235</v>
      </c>
      <c r="AC9" s="637">
        <f t="shared" si="4"/>
        <v>36831</v>
      </c>
      <c r="AE9" s="465">
        <f t="shared" si="5"/>
        <v>0</v>
      </c>
      <c r="AF9" s="465">
        <f t="shared" si="6"/>
        <v>0</v>
      </c>
      <c r="AG9" s="640">
        <f t="shared" si="7"/>
        <v>0</v>
      </c>
      <c r="AJ9" s="465">
        <f t="shared" si="8"/>
        <v>0</v>
      </c>
      <c r="AK9" s="646">
        <f t="shared" si="0"/>
        <v>0</v>
      </c>
    </row>
    <row r="10" spans="1:47">
      <c r="A10" s="250">
        <v>33.013261496810017</v>
      </c>
      <c r="B10" s="248">
        <f>'Revenues &amp; Expenses'!AX18</f>
        <v>36861</v>
      </c>
      <c r="C10" s="250">
        <f>'PJM Curve Simulation'!J18</f>
        <v>27.375</v>
      </c>
      <c r="D10" s="250">
        <f t="shared" si="1"/>
        <v>53.876390000000008</v>
      </c>
      <c r="F10" s="250">
        <f>('Fuel Curve Simulation'!J18*'Revenues &amp; Expenses'!$S$2/1000)</f>
        <v>51.822390000000006</v>
      </c>
      <c r="G10" s="250">
        <f>'Revenues &amp; Expenses'!$AM$5*1000*'Revenues &amp; Expenses'!O18</f>
        <v>2.0539999999999998</v>
      </c>
      <c r="H10" s="247">
        <v>1</v>
      </c>
      <c r="I10" s="247">
        <f t="shared" si="2"/>
        <v>0</v>
      </c>
      <c r="J10" s="247">
        <v>315</v>
      </c>
      <c r="K10" s="391">
        <f>IF(I10&gt;0,J10*'Revenues &amp; Expenses'!F18*16,0)</f>
        <v>0</v>
      </c>
      <c r="L10" s="540">
        <f>K10*'Revenues &amp; Expenses'!N18</f>
        <v>0</v>
      </c>
      <c r="M10" s="391">
        <f>SUM(L4:L10)</f>
        <v>323495.81806503196</v>
      </c>
      <c r="N10" s="391">
        <f>SUM(K4:K10)</f>
        <v>332640</v>
      </c>
      <c r="O10" s="409">
        <f t="shared" si="9"/>
        <v>39082.5</v>
      </c>
      <c r="P10" s="435">
        <f ca="1">HLOOKUP(O10,'Financial Statements'!$C$31:$W$43,13)</f>
        <v>0.4752229065730772</v>
      </c>
      <c r="Q10" s="404">
        <f t="shared" ca="1" si="10"/>
        <v>1</v>
      </c>
      <c r="R10" s="380"/>
      <c r="S10" s="455">
        <f>SUM('Revenues &amp; Expenses'!BJ79:$BJ$258)</f>
        <v>91985786.210550532</v>
      </c>
      <c r="T10" s="455">
        <f ca="1">VLOOKUP(O10,'Credit Reserve Simulation'!$C$11:$F$257,4)</f>
        <v>68168466.493341029</v>
      </c>
      <c r="U10" s="458">
        <f t="shared" ca="1" si="3"/>
        <v>23817319.717209503</v>
      </c>
      <c r="V10" s="463"/>
      <c r="W10" s="404"/>
      <c r="X10" s="404"/>
      <c r="Y10" s="406"/>
      <c r="AA10" s="627">
        <f>'Debt Amortization'!AF9</f>
        <v>0.60803619621257565</v>
      </c>
      <c r="AC10" s="637">
        <f t="shared" si="4"/>
        <v>36861</v>
      </c>
      <c r="AD10" s="465">
        <v>1</v>
      </c>
      <c r="AE10" s="465">
        <f t="shared" si="5"/>
        <v>0</v>
      </c>
      <c r="AF10" s="465">
        <f t="shared" si="6"/>
        <v>0</v>
      </c>
      <c r="AG10" s="640">
        <f t="shared" si="7"/>
        <v>0</v>
      </c>
      <c r="AH10" s="640">
        <f>IF(SUM(AF4:AF10)=0,0,SUM(AE4:AE10)/SUM(AF4:AF10))</f>
        <v>83.934289640034024</v>
      </c>
      <c r="AJ10" s="465">
        <f t="shared" si="8"/>
        <v>0</v>
      </c>
      <c r="AK10" s="646">
        <f t="shared" si="0"/>
        <v>0</v>
      </c>
      <c r="AL10" s="640">
        <f>IF(SUM(AF4:AF10)=0,0,SUM(AJ4:AJ10)/SUM(AF4:AF10))</f>
        <v>53.867542929442841</v>
      </c>
    </row>
    <row r="11" spans="1:47">
      <c r="A11" s="250">
        <v>43.193518347371054</v>
      </c>
      <c r="B11" s="248">
        <f>'Revenues &amp; Expenses'!AX19</f>
        <v>36892</v>
      </c>
      <c r="C11" s="250">
        <f>'PJM Curve Simulation'!J19</f>
        <v>35.224998474121094</v>
      </c>
      <c r="D11" s="250">
        <f t="shared" si="1"/>
        <v>53.187303552324693</v>
      </c>
      <c r="F11" s="250">
        <f>('Fuel Curve Simulation'!J19*'Revenues &amp; Expenses'!$S$2/1000)</f>
        <v>51.128738275862084</v>
      </c>
      <c r="G11" s="250">
        <f>'Revenues &amp; Expenses'!$AM$5*1000*'Revenues &amp; Expenses'!O19</f>
        <v>2.0585652764626095</v>
      </c>
      <c r="H11" s="247">
        <f>H10+1</f>
        <v>2</v>
      </c>
      <c r="I11" s="247">
        <f t="shared" si="2"/>
        <v>0</v>
      </c>
      <c r="J11" s="247">
        <v>315</v>
      </c>
      <c r="K11" s="391">
        <f>IF(I11&gt;0,J11*'Revenues &amp; Expenses'!F19*16,0)</f>
        <v>0</v>
      </c>
      <c r="L11" s="540">
        <f>K11*'Revenues &amp; Expenses'!N19</f>
        <v>0</v>
      </c>
      <c r="M11" s="391"/>
      <c r="N11" s="391"/>
      <c r="O11" s="409">
        <f t="shared" si="9"/>
        <v>39447.75</v>
      </c>
      <c r="P11" s="435">
        <f ca="1">HLOOKUP(O11,'Financial Statements'!$C$31:$W$43,13)</f>
        <v>0.49412761994843413</v>
      </c>
      <c r="Q11" s="404">
        <f t="shared" ca="1" si="10"/>
        <v>1</v>
      </c>
      <c r="R11" s="380"/>
      <c r="S11" s="455">
        <f>SUM('Revenues &amp; Expenses'!BJ91:$BJ$258)</f>
        <v>84020117.693447247</v>
      </c>
      <c r="T11" s="455">
        <f ca="1">VLOOKUP(O11,'Credit Reserve Simulation'!$C$11:$F$257,4)</f>
        <v>60696494.042000212</v>
      </c>
      <c r="U11" s="458">
        <f t="shared" ca="1" si="3"/>
        <v>23323623.651447035</v>
      </c>
      <c r="V11" s="463"/>
      <c r="W11" s="404"/>
      <c r="X11" s="404"/>
      <c r="Y11" s="406"/>
      <c r="AA11" s="627">
        <f>'Debt Amortization'!AF10</f>
        <v>0.56467270987595808</v>
      </c>
      <c r="AC11" s="637">
        <f t="shared" si="4"/>
        <v>36892</v>
      </c>
      <c r="AD11" s="465">
        <f t="shared" ref="AD11:AD69" si="11">AD10+1</f>
        <v>2</v>
      </c>
      <c r="AE11" s="465">
        <f t="shared" si="5"/>
        <v>0</v>
      </c>
      <c r="AF11" s="465">
        <f t="shared" si="6"/>
        <v>0</v>
      </c>
      <c r="AG11" s="640">
        <f t="shared" si="7"/>
        <v>0</v>
      </c>
      <c r="AJ11" s="465">
        <f t="shared" si="8"/>
        <v>0</v>
      </c>
      <c r="AK11" s="646">
        <f t="shared" si="0"/>
        <v>0</v>
      </c>
    </row>
    <row r="12" spans="1:47">
      <c r="A12" s="250">
        <v>43.193518347371054</v>
      </c>
      <c r="B12" s="248">
        <f>'Revenues &amp; Expenses'!AX20</f>
        <v>36923</v>
      </c>
      <c r="C12" s="250">
        <f>'PJM Curve Simulation'!J20</f>
        <v>35.224998474121094</v>
      </c>
      <c r="D12" s="250">
        <f t="shared" si="1"/>
        <v>51.700527768798814</v>
      </c>
      <c r="F12" s="250">
        <f>('Fuel Curve Simulation'!J20*'Revenues &amp; Expenses'!$S$2/1000)</f>
        <v>49.637387068965523</v>
      </c>
      <c r="G12" s="250">
        <f>'Revenues &amp; Expenses'!$AM$5*1000*'Revenues &amp; Expenses'!O20</f>
        <v>2.0631406998332911</v>
      </c>
      <c r="H12" s="247">
        <f t="shared" ref="H12:H75" si="12">H11+1</f>
        <v>3</v>
      </c>
      <c r="I12" s="247">
        <f t="shared" si="2"/>
        <v>0</v>
      </c>
      <c r="J12" s="247">
        <v>315</v>
      </c>
      <c r="K12" s="391">
        <f>IF(I12&gt;0,J12*'Revenues &amp; Expenses'!F20*16,0)</f>
        <v>0</v>
      </c>
      <c r="L12" s="540">
        <f>K12*'Revenues &amp; Expenses'!N20</f>
        <v>0</v>
      </c>
      <c r="M12" s="391"/>
      <c r="N12" s="391"/>
      <c r="O12" s="409">
        <f t="shared" si="9"/>
        <v>39813</v>
      </c>
      <c r="P12" s="435">
        <f ca="1">HLOOKUP(O12,'Financial Statements'!$C$31:$W$43,13)</f>
        <v>0.52145606891854657</v>
      </c>
      <c r="Q12" s="404">
        <f t="shared" ca="1" si="10"/>
        <v>1</v>
      </c>
      <c r="R12" s="380"/>
      <c r="S12" s="455">
        <f>SUM('Revenues &amp; Expenses'!BJ103:$BJ$258)</f>
        <v>76383990.497571245</v>
      </c>
      <c r="T12" s="455">
        <f ca="1">VLOOKUP(O12,'Credit Reserve Simulation'!$C$11:$F$257,4)</f>
        <v>53758445.43310114</v>
      </c>
      <c r="U12" s="458">
        <f t="shared" ca="1" si="3"/>
        <v>22625545.064470105</v>
      </c>
      <c r="V12" s="463"/>
      <c r="W12" s="404"/>
      <c r="X12" s="404"/>
      <c r="Y12" s="406"/>
      <c r="AA12" s="627">
        <f>'Debt Amortization'!AF11</f>
        <v>0.52421535241972717</v>
      </c>
      <c r="AC12" s="637">
        <f t="shared" si="4"/>
        <v>36923</v>
      </c>
      <c r="AD12" s="465">
        <f t="shared" si="11"/>
        <v>3</v>
      </c>
      <c r="AE12" s="465">
        <f t="shared" si="5"/>
        <v>0</v>
      </c>
      <c r="AF12" s="465">
        <f t="shared" si="6"/>
        <v>0</v>
      </c>
      <c r="AG12" s="640">
        <f t="shared" si="7"/>
        <v>0</v>
      </c>
      <c r="AJ12" s="465">
        <f t="shared" si="8"/>
        <v>0</v>
      </c>
      <c r="AK12" s="646">
        <f t="shared" si="0"/>
        <v>0</v>
      </c>
    </row>
    <row r="13" spans="1:47">
      <c r="A13" s="250">
        <v>31.104955302906035</v>
      </c>
      <c r="B13" s="248">
        <f>'Revenues &amp; Expenses'!AX21</f>
        <v>36951</v>
      </c>
      <c r="C13" s="250">
        <f>'PJM Curve Simulation'!J21</f>
        <v>25.575000762939453</v>
      </c>
      <c r="D13" s="250">
        <f t="shared" si="1"/>
        <v>50.213762154733814</v>
      </c>
      <c r="F13" s="250">
        <f>('Fuel Curve Simulation'!J21*'Revenues &amp; Expenses'!$S$2/1000)</f>
        <v>48.146035862068977</v>
      </c>
      <c r="G13" s="250">
        <f>'Revenues &amp; Expenses'!$AM$5*1000*'Revenues &amp; Expenses'!O21</f>
        <v>2.0677262926648394</v>
      </c>
      <c r="H13" s="247">
        <f t="shared" si="12"/>
        <v>4</v>
      </c>
      <c r="I13" s="247">
        <f t="shared" si="2"/>
        <v>0</v>
      </c>
      <c r="J13" s="247">
        <v>315</v>
      </c>
      <c r="K13" s="391">
        <f>IF(I13&gt;0,J13*'Revenues &amp; Expenses'!F21*16,0)</f>
        <v>0</v>
      </c>
      <c r="L13" s="540">
        <f>K13*'Revenues &amp; Expenses'!N21</f>
        <v>0</v>
      </c>
      <c r="M13" s="391"/>
      <c r="N13" s="391"/>
      <c r="O13" s="409">
        <f t="shared" si="9"/>
        <v>40178.25</v>
      </c>
      <c r="P13" s="435">
        <f ca="1">HLOOKUP(O13,'Financial Statements'!$C$31:$W$43,13)</f>
        <v>0.56955453062379047</v>
      </c>
      <c r="Q13" s="404">
        <f t="shared" ca="1" si="10"/>
        <v>1</v>
      </c>
      <c r="R13" s="380"/>
      <c r="S13" s="455">
        <f>SUM('Revenues &amp; Expenses'!BJ115:$BJ$258)</f>
        <v>69008649.87874338</v>
      </c>
      <c r="T13" s="455">
        <f ca="1">VLOOKUP(O13,'Credit Reserve Simulation'!$C$11:$F$257,4)</f>
        <v>47317509.075642727</v>
      </c>
      <c r="U13" s="458">
        <f t="shared" ca="1" si="3"/>
        <v>21691140.803100653</v>
      </c>
      <c r="V13" s="463"/>
      <c r="W13" s="404"/>
      <c r="X13" s="404"/>
      <c r="Y13" s="406"/>
      <c r="AA13" s="627">
        <f>'Debt Amortization'!AF12</f>
        <v>0.48658990934541541</v>
      </c>
      <c r="AC13" s="637">
        <f t="shared" si="4"/>
        <v>36951</v>
      </c>
      <c r="AD13" s="465">
        <f t="shared" si="11"/>
        <v>4</v>
      </c>
      <c r="AE13" s="465">
        <f t="shared" si="5"/>
        <v>0</v>
      </c>
      <c r="AF13" s="465">
        <f t="shared" si="6"/>
        <v>0</v>
      </c>
      <c r="AG13" s="640">
        <f t="shared" si="7"/>
        <v>0</v>
      </c>
      <c r="AJ13" s="465">
        <f t="shared" si="8"/>
        <v>0</v>
      </c>
      <c r="AK13" s="646">
        <f t="shared" si="0"/>
        <v>0</v>
      </c>
    </row>
    <row r="14" spans="1:47">
      <c r="A14" s="250">
        <v>29.011316442349415</v>
      </c>
      <c r="B14" s="248">
        <f>'Revenues &amp; Expenses'!AX22</f>
        <v>36982</v>
      </c>
      <c r="C14" s="250">
        <f>'PJM Curve Simulation'!J22</f>
        <v>25.575000762939453</v>
      </c>
      <c r="D14" s="250">
        <f t="shared" si="1"/>
        <v>48.79637190514638</v>
      </c>
      <c r="F14" s="250">
        <f>('Fuel Curve Simulation'!J22*'Revenues &amp; Expenses'!$S$2/1000)</f>
        <v>46.724049827586207</v>
      </c>
      <c r="G14" s="250">
        <f>'Revenues &amp; Expenses'!$AM$5*1000*'Revenues &amp; Expenses'!O22</f>
        <v>2.0723220775601763</v>
      </c>
      <c r="H14" s="247">
        <f t="shared" si="12"/>
        <v>5</v>
      </c>
      <c r="I14" s="247">
        <f t="shared" si="2"/>
        <v>0</v>
      </c>
      <c r="J14" s="247">
        <v>315</v>
      </c>
      <c r="K14" s="391">
        <f>IF(I14&gt;0,J14*'Revenues &amp; Expenses'!F22*16,0)</f>
        <v>0</v>
      </c>
      <c r="L14" s="540">
        <f>K14*'Revenues &amp; Expenses'!N22</f>
        <v>0</v>
      </c>
      <c r="M14" s="391"/>
      <c r="N14" s="391"/>
      <c r="O14" s="409">
        <f t="shared" si="9"/>
        <v>40543.5</v>
      </c>
      <c r="P14" s="435">
        <f ca="1">HLOOKUP(O14,'Financial Statements'!$C$31:$W$43,13)</f>
        <v>0.60507678630198303</v>
      </c>
      <c r="Q14" s="404">
        <f t="shared" ca="1" si="10"/>
        <v>1</v>
      </c>
      <c r="R14" s="380"/>
      <c r="S14" s="455">
        <f>SUM('Revenues &amp; Expenses'!BJ127:$BJ$258)</f>
        <v>61803977.533396475</v>
      </c>
      <c r="T14" s="455">
        <f ca="1">VLOOKUP(O14,'Credit Reserve Simulation'!$C$11:$F$257,4)</f>
        <v>41336395.793963343</v>
      </c>
      <c r="U14" s="458">
        <f t="shared" ca="1" si="3"/>
        <v>20467581.739433132</v>
      </c>
      <c r="V14" s="463"/>
      <c r="W14" s="404"/>
      <c r="X14" s="404"/>
      <c r="Y14" s="406"/>
      <c r="AA14" s="627">
        <f>'Debt Amortization'!AF13</f>
        <v>0.45233637889151584</v>
      </c>
      <c r="AC14" s="637">
        <f t="shared" si="4"/>
        <v>36982</v>
      </c>
      <c r="AD14" s="465">
        <f t="shared" si="11"/>
        <v>5</v>
      </c>
      <c r="AE14" s="465">
        <f t="shared" si="5"/>
        <v>0</v>
      </c>
      <c r="AF14" s="465">
        <f t="shared" si="6"/>
        <v>0</v>
      </c>
      <c r="AG14" s="640">
        <f t="shared" si="7"/>
        <v>0</v>
      </c>
      <c r="AJ14" s="465">
        <f t="shared" si="8"/>
        <v>0</v>
      </c>
      <c r="AK14" s="646">
        <f t="shared" si="0"/>
        <v>0</v>
      </c>
    </row>
    <row r="15" spans="1:47">
      <c r="A15" s="250">
        <v>33.894704276056729</v>
      </c>
      <c r="B15" s="248">
        <f>'Revenues &amp; Expenses'!AX23</f>
        <v>37012</v>
      </c>
      <c r="C15" s="250">
        <f>'PJM Curve Simulation'!J23</f>
        <v>30.875</v>
      </c>
      <c r="D15" s="250">
        <f t="shared" si="1"/>
        <v>47.725817732344872</v>
      </c>
      <c r="F15" s="250">
        <f>('Fuel Curve Simulation'!J23*'Revenues &amp; Expenses'!$S$2/1000)</f>
        <v>45.648889655172411</v>
      </c>
      <c r="G15" s="250">
        <f>'Revenues &amp; Expenses'!$AM$5*1000*'Revenues &amp; Expenses'!O23</f>
        <v>2.0769280771724605</v>
      </c>
      <c r="H15" s="247">
        <f t="shared" si="12"/>
        <v>6</v>
      </c>
      <c r="I15" s="247">
        <f t="shared" si="2"/>
        <v>0</v>
      </c>
      <c r="J15" s="247">
        <v>315</v>
      </c>
      <c r="K15" s="391">
        <f>IF(I15&gt;0,J15*'Revenues &amp; Expenses'!F23*16,0)</f>
        <v>0</v>
      </c>
      <c r="L15" s="540">
        <f>K15*'Revenues &amp; Expenses'!N23</f>
        <v>0</v>
      </c>
      <c r="M15" s="391"/>
      <c r="N15" s="391"/>
      <c r="O15" s="409">
        <f t="shared" si="9"/>
        <v>40908.75</v>
      </c>
      <c r="P15" s="435">
        <f ca="1">HLOOKUP(O15,'Financial Statements'!$C$31:$W$43,13)</f>
        <v>0.62473473246597278</v>
      </c>
      <c r="Q15" s="404">
        <f t="shared" ca="1" si="10"/>
        <v>1</v>
      </c>
      <c r="R15" s="380"/>
      <c r="S15" s="455">
        <f>SUM('Revenues &amp; Expenses'!BJ139:$BJ$258)</f>
        <v>54867046.023276813</v>
      </c>
      <c r="T15" s="455">
        <f ca="1">VLOOKUP(O15,'Credit Reserve Simulation'!$C$11:$F$257,4)</f>
        <v>35773300.85174644</v>
      </c>
      <c r="U15" s="458">
        <f t="shared" ca="1" si="3"/>
        <v>19093745.171530373</v>
      </c>
      <c r="V15" s="463"/>
      <c r="W15" s="404"/>
      <c r="X15" s="404"/>
      <c r="Y15" s="406"/>
      <c r="AA15" s="627">
        <f>'Debt Amortization'!AF14</f>
        <v>0.42079582396906579</v>
      </c>
      <c r="AC15" s="637">
        <f t="shared" si="4"/>
        <v>37012</v>
      </c>
      <c r="AD15" s="465">
        <f t="shared" si="11"/>
        <v>6</v>
      </c>
      <c r="AE15" s="465">
        <f t="shared" si="5"/>
        <v>0</v>
      </c>
      <c r="AF15" s="465">
        <f t="shared" si="6"/>
        <v>0</v>
      </c>
      <c r="AG15" s="640">
        <f t="shared" si="7"/>
        <v>0</v>
      </c>
      <c r="AJ15" s="465">
        <f t="shared" si="8"/>
        <v>0</v>
      </c>
      <c r="AK15" s="646">
        <f t="shared" si="0"/>
        <v>0</v>
      </c>
    </row>
    <row r="16" spans="1:47">
      <c r="A16" s="250">
        <v>68.300361326435493</v>
      </c>
      <c r="B16" s="248">
        <f>'Revenues &amp; Expenses'!AX24</f>
        <v>37043</v>
      </c>
      <c r="C16" s="250">
        <f>'PJM Curve Simulation'!J24</f>
        <v>55.349998474121094</v>
      </c>
      <c r="D16" s="250">
        <f t="shared" si="1"/>
        <v>47.314242934894864</v>
      </c>
      <c r="F16" s="250">
        <f>('Fuel Curve Simulation'!J24*'Revenues &amp; Expenses'!$S$2/1000)</f>
        <v>45.232698620689661</v>
      </c>
      <c r="G16" s="250">
        <f>'Revenues &amp; Expenses'!$AM$5*1000*'Revenues &amp; Expenses'!O24</f>
        <v>2.0815443142052006</v>
      </c>
      <c r="H16" s="247">
        <f t="shared" si="12"/>
        <v>7</v>
      </c>
      <c r="I16" s="247">
        <f t="shared" si="2"/>
        <v>1</v>
      </c>
      <c r="J16" s="247">
        <v>315</v>
      </c>
      <c r="K16" s="391">
        <f>IF(I16&gt;0,J16*'Revenues &amp; Expenses'!F24*16,0)</f>
        <v>105840</v>
      </c>
      <c r="L16" s="540">
        <f>K16*'Revenues &amp; Expenses'!N24</f>
        <v>96552.555709382679</v>
      </c>
      <c r="M16" s="391"/>
      <c r="N16" s="391"/>
      <c r="O16" s="409">
        <f t="shared" si="9"/>
        <v>41274</v>
      </c>
      <c r="P16" s="435">
        <f ca="1">HLOOKUP(O16,'Financial Statements'!$C$31:$W$43,13)</f>
        <v>0.65752062096212816</v>
      </c>
      <c r="Q16" s="404">
        <f t="shared" ca="1" si="10"/>
        <v>1</v>
      </c>
      <c r="R16" s="380"/>
      <c r="S16" s="455">
        <f>SUM('Revenues &amp; Expenses'!BJ151:$BJ$258)</f>
        <v>48256474.206725605</v>
      </c>
      <c r="T16" s="455">
        <f ca="1">VLOOKUP(O16,'Credit Reserve Simulation'!$C$11:$F$257,4)</f>
        <v>30598595.72906734</v>
      </c>
      <c r="U16" s="458">
        <f t="shared" ca="1" si="3"/>
        <v>17657878.477658264</v>
      </c>
      <c r="V16" s="463"/>
      <c r="W16" s="404"/>
      <c r="X16" s="404"/>
      <c r="Y16" s="406"/>
      <c r="AA16" s="627">
        <f>'Debt Amortization'!AF15</f>
        <v>0.39142316275722272</v>
      </c>
      <c r="AC16" s="637">
        <f t="shared" si="4"/>
        <v>37043</v>
      </c>
      <c r="AD16" s="465">
        <f t="shared" si="11"/>
        <v>7</v>
      </c>
      <c r="AE16" s="465">
        <f t="shared" si="5"/>
        <v>5344183.8111868231</v>
      </c>
      <c r="AF16" s="465">
        <f t="shared" si="6"/>
        <v>96552.555709382679</v>
      </c>
      <c r="AG16" s="640">
        <f t="shared" si="7"/>
        <v>55.349998474121094</v>
      </c>
      <c r="AJ16" s="465">
        <f t="shared" si="8"/>
        <v>4568311.0768187018</v>
      </c>
      <c r="AK16" s="646">
        <f t="shared" si="0"/>
        <v>47.314242934894857</v>
      </c>
    </row>
    <row r="17" spans="1:38">
      <c r="A17" s="250">
        <v>126.97345532605712</v>
      </c>
      <c r="B17" s="248">
        <f>'Revenues &amp; Expenses'!AX25</f>
        <v>37073</v>
      </c>
      <c r="C17" s="250">
        <f>'PJM Curve Simulation'!J25</f>
        <v>96.699996948242188</v>
      </c>
      <c r="D17" s="250">
        <f t="shared" si="1"/>
        <v>47.555041328653751</v>
      </c>
      <c r="F17" s="250">
        <f>('Fuel Curve Simulation'!J25*'Revenues &amp; Expenses'!$S$2/1000)</f>
        <v>45.468870517241385</v>
      </c>
      <c r="G17" s="250">
        <f>'Revenues &amp; Expenses'!$AM$5*1000*'Revenues &amp; Expenses'!O25</f>
        <v>2.0861708114123672</v>
      </c>
      <c r="H17" s="247">
        <f t="shared" si="12"/>
        <v>8</v>
      </c>
      <c r="I17" s="247">
        <f t="shared" si="2"/>
        <v>1</v>
      </c>
      <c r="J17" s="247">
        <v>315</v>
      </c>
      <c r="K17" s="391">
        <f>IF(I17&gt;0,J17*'Revenues &amp; Expenses'!F25*16,0)</f>
        <v>110880</v>
      </c>
      <c r="L17" s="540">
        <f>K17*'Revenues &amp; Expenses'!N25</f>
        <v>100549.05344756861</v>
      </c>
      <c r="M17" s="391"/>
      <c r="N17" s="391"/>
      <c r="O17" s="409">
        <f t="shared" si="9"/>
        <v>41639.25</v>
      </c>
      <c r="P17" s="435">
        <f ca="1">HLOOKUP(O17,'Financial Statements'!$C$31:$W$43,13)</f>
        <v>0.70195215327140303</v>
      </c>
      <c r="Q17" s="404">
        <f t="shared" ca="1" si="10"/>
        <v>1</v>
      </c>
      <c r="R17" s="380"/>
      <c r="S17" s="455">
        <f>SUM('Revenues &amp; Expenses'!BJ163:$BJ$258)</f>
        <v>41888935.395712003</v>
      </c>
      <c r="T17" s="455">
        <f ca="1">VLOOKUP(O17,'Credit Reserve Simulation'!$C$11:$F$257,4)</f>
        <v>25784135.406150911</v>
      </c>
      <c r="U17" s="458">
        <f t="shared" ca="1" si="3"/>
        <v>16104799.989561092</v>
      </c>
      <c r="V17" s="463"/>
      <c r="W17" s="502" t="s">
        <v>264</v>
      </c>
      <c r="X17" s="404"/>
      <c r="Y17" s="406"/>
      <c r="AA17" s="627">
        <f>'Debt Amortization'!AF16</f>
        <v>0.36421559866544645</v>
      </c>
      <c r="AC17" s="637">
        <f t="shared" si="4"/>
        <v>37073</v>
      </c>
      <c r="AD17" s="465">
        <f t="shared" si="11"/>
        <v>8</v>
      </c>
      <c r="AE17" s="465">
        <f t="shared" si="5"/>
        <v>9723093.1615285259</v>
      </c>
      <c r="AF17" s="465">
        <f t="shared" si="6"/>
        <v>100549.05344756861</v>
      </c>
      <c r="AG17" s="640">
        <f t="shared" si="7"/>
        <v>96.699996948242188</v>
      </c>
      <c r="AJ17" s="465">
        <f t="shared" si="8"/>
        <v>4781614.3922561407</v>
      </c>
      <c r="AK17" s="646">
        <f t="shared" si="0"/>
        <v>47.555041328653758</v>
      </c>
    </row>
    <row r="18" spans="1:38">
      <c r="A18" s="250">
        <v>102.72834513780963</v>
      </c>
      <c r="B18" s="248">
        <f>'Revenues &amp; Expenses'!AX26</f>
        <v>37104</v>
      </c>
      <c r="C18" s="250">
        <f>'PJM Curve Simulation'!J26</f>
        <v>83.699996948242188</v>
      </c>
      <c r="D18" s="250">
        <f t="shared" si="1"/>
        <v>48.142675867460582</v>
      </c>
      <c r="F18" s="250">
        <f>('Fuel Curve Simulation'!J26*'Revenues &amp; Expenses'!$S$2/1000)</f>
        <v>46.051868275862077</v>
      </c>
      <c r="G18" s="250">
        <f>'Revenues &amp; Expenses'!$AM$5*1000*'Revenues &amp; Expenses'!O26</f>
        <v>2.0908075915985034</v>
      </c>
      <c r="H18" s="247">
        <f t="shared" si="12"/>
        <v>9</v>
      </c>
      <c r="I18" s="247">
        <f t="shared" si="2"/>
        <v>1</v>
      </c>
      <c r="J18" s="247">
        <v>315</v>
      </c>
      <c r="K18" s="391">
        <f>IF(I18&gt;0,J18*'Revenues &amp; Expenses'!F26*16,0)</f>
        <v>115920</v>
      </c>
      <c r="L18" s="540">
        <f>K18*'Revenues &amp; Expenses'!N26</f>
        <v>104474.03813899694</v>
      </c>
      <c r="M18" s="391"/>
      <c r="N18" s="391"/>
      <c r="O18" s="409">
        <f t="shared" si="9"/>
        <v>42004.5</v>
      </c>
      <c r="P18" s="435">
        <f ca="1">HLOOKUP(O18,'Financial Statements'!$C$31:$W$43,13)</f>
        <v>0.73079245210027322</v>
      </c>
      <c r="Q18" s="404">
        <f t="shared" ca="1" si="10"/>
        <v>1</v>
      </c>
      <c r="R18" s="380"/>
      <c r="S18" s="455">
        <f>SUM('Revenues &amp; Expenses'!BJ175:$BJ$258)</f>
        <v>35719711.887260899</v>
      </c>
      <c r="T18" s="455">
        <f ca="1">VLOOKUP(O18,'Credit Reserve Simulation'!$C$11:$F$257,4)</f>
        <v>21304087.372484803</v>
      </c>
      <c r="U18" s="458">
        <f t="shared" ca="1" si="3"/>
        <v>14415624.514776096</v>
      </c>
      <c r="V18" s="463"/>
      <c r="W18" s="503">
        <v>0</v>
      </c>
      <c r="X18" s="404"/>
      <c r="Y18" s="406"/>
      <c r="AA18" s="627">
        <f>'Debt Amortization'!AF17</f>
        <v>0.33893900754314626</v>
      </c>
      <c r="AC18" s="637">
        <f t="shared" si="4"/>
        <v>37104</v>
      </c>
      <c r="AD18" s="465">
        <f t="shared" si="11"/>
        <v>9</v>
      </c>
      <c r="AE18" s="465">
        <f t="shared" si="5"/>
        <v>8744476.6734045818</v>
      </c>
      <c r="AF18" s="465">
        <f t="shared" si="6"/>
        <v>104474.03813899694</v>
      </c>
      <c r="AG18" s="640">
        <f t="shared" si="7"/>
        <v>83.699996948242188</v>
      </c>
      <c r="AJ18" s="465">
        <f t="shared" si="8"/>
        <v>5029659.7546904441</v>
      </c>
      <c r="AK18" s="646">
        <f t="shared" si="0"/>
        <v>48.142675867460575</v>
      </c>
    </row>
    <row r="19" spans="1:38">
      <c r="A19" s="250">
        <v>37.799761114469234</v>
      </c>
      <c r="B19" s="248">
        <f>'Revenues &amp; Expenses'!AX27</f>
        <v>37135</v>
      </c>
      <c r="C19" s="250">
        <f>'PJM Curve Simulation'!J27</f>
        <v>32.724998474121094</v>
      </c>
      <c r="D19" s="250">
        <f t="shared" si="1"/>
        <v>48.812898298308504</v>
      </c>
      <c r="F19" s="250">
        <f>('Fuel Curve Simulation'!J27*'Revenues &amp; Expenses'!$S$2/1000)</f>
        <v>46.717443620689664</v>
      </c>
      <c r="G19" s="250">
        <f>'Revenues &amp; Expenses'!$AM$5*1000*'Revenues &amp; Expenses'!O27</f>
        <v>2.0954546776188394</v>
      </c>
      <c r="H19" s="247">
        <f t="shared" si="12"/>
        <v>10</v>
      </c>
      <c r="I19" s="247">
        <f t="shared" si="2"/>
        <v>0</v>
      </c>
      <c r="J19" s="247">
        <v>315</v>
      </c>
      <c r="K19" s="391">
        <f>IF(I19&gt;0,J19*'Revenues &amp; Expenses'!F27*16,0)</f>
        <v>0</v>
      </c>
      <c r="L19" s="540">
        <f>K19*'Revenues &amp; Expenses'!N27</f>
        <v>0</v>
      </c>
      <c r="M19" s="391"/>
      <c r="N19" s="391"/>
      <c r="O19" s="409">
        <f t="shared" si="9"/>
        <v>42369.75</v>
      </c>
      <c r="P19" s="435">
        <f ca="1">HLOOKUP(O19,'Financial Statements'!$C$31:$W$43,13)</f>
        <v>0.74653729755464737</v>
      </c>
      <c r="Q19" s="404">
        <f t="shared" ca="1" si="10"/>
        <v>1</v>
      </c>
      <c r="R19" s="380"/>
      <c r="S19" s="455">
        <f>SUM('Revenues &amp; Expenses'!BJ187:$BJ$258)</f>
        <v>29825631.111745398</v>
      </c>
      <c r="T19" s="455">
        <f ca="1">VLOOKUP(O19,'Credit Reserve Simulation'!$C$11:$F$257,4)</f>
        <v>17134733.840158217</v>
      </c>
      <c r="U19" s="458">
        <f t="shared" ca="1" si="3"/>
        <v>12690897.271587182</v>
      </c>
      <c r="V19" s="463"/>
      <c r="W19" s="404"/>
      <c r="X19" s="404"/>
      <c r="Y19" s="406"/>
      <c r="AA19" s="627">
        <f>'Debt Amortization'!AF18</f>
        <v>0.31545365140992127</v>
      </c>
      <c r="AC19" s="637">
        <f t="shared" si="4"/>
        <v>37135</v>
      </c>
      <c r="AD19" s="465">
        <f t="shared" si="11"/>
        <v>10</v>
      </c>
      <c r="AE19" s="465">
        <f t="shared" si="5"/>
        <v>0</v>
      </c>
      <c r="AF19" s="465">
        <f t="shared" si="6"/>
        <v>0</v>
      </c>
      <c r="AG19" s="640">
        <f t="shared" si="7"/>
        <v>0</v>
      </c>
      <c r="AJ19" s="465">
        <f t="shared" si="8"/>
        <v>0</v>
      </c>
      <c r="AK19" s="646">
        <f t="shared" si="0"/>
        <v>0</v>
      </c>
    </row>
    <row r="20" spans="1:38">
      <c r="A20" s="250">
        <v>30.807163573122022</v>
      </c>
      <c r="B20" s="248">
        <f>'Revenues &amp; Expenses'!AX28</f>
        <v>37165</v>
      </c>
      <c r="C20" s="250">
        <f>'PJM Curve Simulation'!J28</f>
        <v>26.225000381469727</v>
      </c>
      <c r="D20" s="250">
        <f t="shared" si="1"/>
        <v>49.455054678586308</v>
      </c>
      <c r="F20" s="250">
        <f>('Fuel Curve Simulation'!J28*'Revenues &amp; Expenses'!$S$2/1000)</f>
        <v>47.354942586206903</v>
      </c>
      <c r="G20" s="250">
        <f>'Revenues &amp; Expenses'!$AM$5*1000*'Revenues &amp; Expenses'!O28</f>
        <v>2.100112092379403</v>
      </c>
      <c r="H20" s="247">
        <f t="shared" si="12"/>
        <v>11</v>
      </c>
      <c r="I20" s="247">
        <f t="shared" si="2"/>
        <v>0</v>
      </c>
      <c r="J20" s="247">
        <v>315</v>
      </c>
      <c r="K20" s="391">
        <f>IF(I20&gt;0,J20*'Revenues &amp; Expenses'!F28*16,0)</f>
        <v>0</v>
      </c>
      <c r="L20" s="540">
        <f>K20*'Revenues &amp; Expenses'!N28</f>
        <v>0</v>
      </c>
      <c r="M20" s="391"/>
      <c r="N20" s="391"/>
      <c r="O20" s="409">
        <f t="shared" si="9"/>
        <v>42735</v>
      </c>
      <c r="P20" s="435">
        <f ca="1">HLOOKUP(O20,'Financial Statements'!$C$31:$W$43,13)</f>
        <v>0.77872033999721901</v>
      </c>
      <c r="Q20" s="404">
        <f t="shared" ca="1" si="10"/>
        <v>1</v>
      </c>
      <c r="R20" s="380"/>
      <c r="S20" s="455">
        <f>SUM('Revenues &amp; Expenses'!BJ199:$BJ$258)</f>
        <v>24240315.043813597</v>
      </c>
      <c r="T20" s="455">
        <f ca="1">VLOOKUP(O20,'Credit Reserve Simulation'!$C$11:$F$257,4)</f>
        <v>13254638.689075377</v>
      </c>
      <c r="U20" s="458">
        <f t="shared" ca="1" si="3"/>
        <v>10985676.354738221</v>
      </c>
      <c r="V20" s="463"/>
      <c r="W20" s="404"/>
      <c r="X20" s="404"/>
      <c r="Y20" s="406"/>
      <c r="AA20" s="627">
        <f>'Debt Amortization'!AF19</f>
        <v>0.29357247131203396</v>
      </c>
      <c r="AC20" s="637">
        <f t="shared" si="4"/>
        <v>37165</v>
      </c>
      <c r="AD20" s="465">
        <f t="shared" si="11"/>
        <v>11</v>
      </c>
      <c r="AE20" s="465">
        <f t="shared" si="5"/>
        <v>0</v>
      </c>
      <c r="AF20" s="465">
        <f t="shared" si="6"/>
        <v>0</v>
      </c>
      <c r="AG20" s="640">
        <f t="shared" si="7"/>
        <v>0</v>
      </c>
      <c r="AJ20" s="465">
        <f t="shared" si="8"/>
        <v>0</v>
      </c>
      <c r="AK20" s="646">
        <f t="shared" si="0"/>
        <v>0</v>
      </c>
    </row>
    <row r="21" spans="1:38">
      <c r="A21" s="250">
        <v>30.839389347267151</v>
      </c>
      <c r="B21" s="248">
        <f>'Revenues &amp; Expenses'!AX29</f>
        <v>37196</v>
      </c>
      <c r="C21" s="250">
        <f>'PJM Curve Simulation'!J29</f>
        <v>25.897499084472656</v>
      </c>
      <c r="D21" s="250">
        <f t="shared" si="1"/>
        <v>50.057584169181965</v>
      </c>
      <c r="F21" s="250">
        <f>('Fuel Curve Simulation'!J29*'Revenues &amp; Expenses'!$S$2/1000)</f>
        <v>47.952804310344831</v>
      </c>
      <c r="G21" s="250">
        <f>'Revenues &amp; Expenses'!$AM$5*1000*'Revenues &amp; Expenses'!O29</f>
        <v>2.1047798588371349</v>
      </c>
      <c r="H21" s="247">
        <f t="shared" si="12"/>
        <v>12</v>
      </c>
      <c r="I21" s="247">
        <f t="shared" si="2"/>
        <v>0</v>
      </c>
      <c r="J21" s="247">
        <v>315</v>
      </c>
      <c r="K21" s="391">
        <f>IF(I21&gt;0,J21*'Revenues &amp; Expenses'!F29*16,0)</f>
        <v>0</v>
      </c>
      <c r="L21" s="540">
        <f>K21*'Revenues &amp; Expenses'!N29</f>
        <v>0</v>
      </c>
      <c r="M21" s="391"/>
      <c r="N21" s="391"/>
      <c r="O21" s="409">
        <f t="shared" si="9"/>
        <v>43100.25</v>
      </c>
      <c r="P21" s="435">
        <f ca="1">HLOOKUP(O21,'Financial Statements'!$C$31:$W$43,13)</f>
        <v>0.82542858391311313</v>
      </c>
      <c r="Q21" s="404">
        <f t="shared" ca="1" si="10"/>
        <v>1</v>
      </c>
      <c r="R21" s="380"/>
      <c r="S21" s="455">
        <f>SUM('Revenues &amp; Expenses'!BJ211:$BJ$258)</f>
        <v>18882718.997329164</v>
      </c>
      <c r="T21" s="455">
        <f ca="1">VLOOKUP(O21,'Credit Reserve Simulation'!$C$11:$F$257,4)</f>
        <v>9642963.8421371337</v>
      </c>
      <c r="U21" s="458">
        <f t="shared" ca="1" si="3"/>
        <v>9239755.1551920306</v>
      </c>
      <c r="V21" s="463"/>
      <c r="W21" s="404"/>
      <c r="X21" s="404"/>
      <c r="Y21" s="406"/>
      <c r="AA21" s="627">
        <f>'Debt Amortization'!AF20</f>
        <v>0.2732948626893707</v>
      </c>
      <c r="AC21" s="637">
        <f t="shared" si="4"/>
        <v>37196</v>
      </c>
      <c r="AD21" s="465">
        <f t="shared" si="11"/>
        <v>12</v>
      </c>
      <c r="AE21" s="465">
        <f t="shared" si="5"/>
        <v>0</v>
      </c>
      <c r="AF21" s="465">
        <f t="shared" si="6"/>
        <v>0</v>
      </c>
      <c r="AG21" s="640">
        <f t="shared" si="7"/>
        <v>0</v>
      </c>
      <c r="AJ21" s="465">
        <f t="shared" si="8"/>
        <v>0</v>
      </c>
      <c r="AK21" s="646">
        <f t="shared" si="0"/>
        <v>0</v>
      </c>
    </row>
    <row r="22" spans="1:38">
      <c r="A22" s="250">
        <v>33.344901106602272</v>
      </c>
      <c r="B22" s="248">
        <f>'Revenues &amp; Expenses'!AX30</f>
        <v>37226</v>
      </c>
      <c r="C22" s="250">
        <f>'PJM Curve Simulation'!J30</f>
        <v>27.649999618530273</v>
      </c>
      <c r="D22" s="250">
        <f t="shared" si="1"/>
        <v>50.276964034482752</v>
      </c>
      <c r="F22" s="250">
        <f>('Fuel Curve Simulation'!J30*'Revenues &amp; Expenses'!$S$2/1000)</f>
        <v>48.167506034482756</v>
      </c>
      <c r="G22" s="250">
        <f>'Revenues &amp; Expenses'!$AM$5*1000*'Revenues &amp; Expenses'!O30</f>
        <v>2.1094579999999996</v>
      </c>
      <c r="H22" s="247">
        <f t="shared" si="12"/>
        <v>13</v>
      </c>
      <c r="I22" s="247">
        <f t="shared" si="2"/>
        <v>0</v>
      </c>
      <c r="J22" s="247">
        <v>315</v>
      </c>
      <c r="K22" s="391">
        <f>IF(I22&gt;0,J22*'Revenues &amp; Expenses'!F30*16,0)</f>
        <v>0</v>
      </c>
      <c r="L22" s="540">
        <f>K22*'Revenues &amp; Expenses'!N30</f>
        <v>0</v>
      </c>
      <c r="M22" s="391">
        <f>SUM(L11:L22)</f>
        <v>301575.64729594823</v>
      </c>
      <c r="N22" s="391">
        <f>SUM(K11:K22)</f>
        <v>332640</v>
      </c>
      <c r="O22" s="409">
        <f t="shared" si="9"/>
        <v>43465.5</v>
      </c>
      <c r="P22" s="435">
        <f ca="1">HLOOKUP(O22,'Financial Statements'!$C$31:$W$43,13)</f>
        <v>0.85213888493154044</v>
      </c>
      <c r="Q22" s="404">
        <f t="shared" ca="1" si="10"/>
        <v>1</v>
      </c>
      <c r="R22" s="380"/>
      <c r="S22" s="455">
        <f>SUM('Revenues &amp; Expenses'!BJ223:$BJ$258)</f>
        <v>13708886.098935846</v>
      </c>
      <c r="T22" s="455">
        <f ca="1">VLOOKUP(O22,'Credit Reserve Simulation'!$C$11:$F$257,4)</f>
        <v>6280575.8326786375</v>
      </c>
      <c r="U22" s="458">
        <f t="shared" ca="1" si="3"/>
        <v>7428310.2662572088</v>
      </c>
      <c r="V22" s="463"/>
      <c r="W22" s="404"/>
      <c r="X22" s="404"/>
      <c r="Y22" s="406"/>
      <c r="AA22" s="627">
        <f>'Debt Amortization'!AF21</f>
        <v>0.25444774583402968</v>
      </c>
      <c r="AC22" s="637">
        <f t="shared" si="4"/>
        <v>37226</v>
      </c>
      <c r="AD22" s="465">
        <f t="shared" si="11"/>
        <v>13</v>
      </c>
      <c r="AE22" s="465">
        <f t="shared" si="5"/>
        <v>0</v>
      </c>
      <c r="AF22" s="465">
        <f t="shared" si="6"/>
        <v>0</v>
      </c>
      <c r="AG22" s="640">
        <f t="shared" si="7"/>
        <v>0</v>
      </c>
      <c r="AH22" s="640">
        <f>IF(SUM(AF11:AF22)=0,0,SUM(AE11:AE22)/SUM(AF11:AF22))</f>
        <v>78.957813270487662</v>
      </c>
      <c r="AJ22" s="465">
        <f t="shared" si="8"/>
        <v>0</v>
      </c>
      <c r="AK22" s="646">
        <f t="shared" si="0"/>
        <v>0</v>
      </c>
      <c r="AL22" s="646">
        <f>IF(SUM(AF11:AF22)=0,0,SUM(AJ11:AJ22)/SUM(AF11:AF22))</f>
        <v>47.681519886299121</v>
      </c>
    </row>
    <row r="23" spans="1:38">
      <c r="A23" s="250">
        <v>43.867938109475716</v>
      </c>
      <c r="B23" s="248">
        <f>'Revenues &amp; Expenses'!AX31</f>
        <v>37257</v>
      </c>
      <c r="C23" s="250">
        <f>'PJM Curve Simulation'!J31</f>
        <v>35.774998474121091</v>
      </c>
      <c r="D23" s="250">
        <f t="shared" si="1"/>
        <v>49.815914987202973</v>
      </c>
      <c r="F23" s="250">
        <f>('Fuel Curve Simulation'!J31*'Revenues &amp; Expenses'!$S$2/1000)</f>
        <v>47.701768448275871</v>
      </c>
      <c r="G23" s="250">
        <f>'Revenues &amp; Expenses'!$AM$5*1000*'Revenues &amp; Expenses'!O31</f>
        <v>2.1141465389270997</v>
      </c>
      <c r="H23" s="247">
        <f t="shared" si="12"/>
        <v>14</v>
      </c>
      <c r="I23" s="247">
        <f t="shared" si="2"/>
        <v>0</v>
      </c>
      <c r="J23" s="247">
        <v>315</v>
      </c>
      <c r="K23" s="391">
        <f>IF(I23&gt;0,J23*'Revenues &amp; Expenses'!F31*16,0)</f>
        <v>0</v>
      </c>
      <c r="L23" s="540">
        <f>K23*'Revenues &amp; Expenses'!N31</f>
        <v>0</v>
      </c>
      <c r="M23" s="391"/>
      <c r="N23" s="391"/>
      <c r="O23" s="409">
        <f t="shared" si="9"/>
        <v>43830.75</v>
      </c>
      <c r="P23" s="435">
        <f ca="1">HLOOKUP(O23,'Financial Statements'!$C$31:$W$43,13)</f>
        <v>0.82119832296289741</v>
      </c>
      <c r="Q23" s="404">
        <f t="shared" ca="1" si="10"/>
        <v>1</v>
      </c>
      <c r="R23" s="380"/>
      <c r="S23" s="455">
        <f>SUM('Revenues &amp; Expenses'!BJ235:$BJ$258)</f>
        <v>8782711.6428452116</v>
      </c>
      <c r="T23" s="455">
        <f ca="1">VLOOKUP(O23,'Credit Reserve Simulation'!$C$11:$F$257,4)</f>
        <v>3149900.6255171895</v>
      </c>
      <c r="U23" s="458">
        <f t="shared" ca="1" si="3"/>
        <v>5632811.017328022</v>
      </c>
      <c r="V23" s="463"/>
      <c r="W23" s="404"/>
      <c r="X23" s="404"/>
      <c r="Y23" s="406"/>
      <c r="AA23" s="627">
        <f>'Debt Amortization'!AF22</f>
        <v>0.2369281974153673</v>
      </c>
      <c r="AC23" s="637">
        <f t="shared" si="4"/>
        <v>37257</v>
      </c>
      <c r="AD23" s="465">
        <f t="shared" si="11"/>
        <v>14</v>
      </c>
      <c r="AE23" s="465">
        <f t="shared" si="5"/>
        <v>0</v>
      </c>
      <c r="AF23" s="465">
        <f t="shared" si="6"/>
        <v>0</v>
      </c>
      <c r="AG23" s="640">
        <f t="shared" si="7"/>
        <v>0</v>
      </c>
      <c r="AJ23" s="465">
        <f t="shared" si="8"/>
        <v>0</v>
      </c>
      <c r="AK23" s="646">
        <f t="shared" si="0"/>
        <v>0</v>
      </c>
    </row>
    <row r="24" spans="1:38">
      <c r="A24" s="250">
        <v>43.867938109475716</v>
      </c>
      <c r="B24" s="248">
        <f>'Revenues &amp; Expenses'!AX32</f>
        <v>37288</v>
      </c>
      <c r="C24" s="250">
        <f>'PJM Curve Simulation'!J32</f>
        <v>35.774998474121091</v>
      </c>
      <c r="D24" s="250">
        <f t="shared" si="1"/>
        <v>48.697558774590867</v>
      </c>
      <c r="F24" s="250">
        <f>('Fuel Curve Simulation'!J32*'Revenues &amp; Expenses'!$S$2/1000)</f>
        <v>46.578713275862079</v>
      </c>
      <c r="G24" s="250">
        <f>'Revenues &amp; Expenses'!$AM$5*1000*'Revenues &amp; Expenses'!O32</f>
        <v>2.1188454987287897</v>
      </c>
      <c r="H24" s="247">
        <f t="shared" si="12"/>
        <v>15</v>
      </c>
      <c r="I24" s="247">
        <f t="shared" si="2"/>
        <v>0</v>
      </c>
      <c r="J24" s="247">
        <v>315</v>
      </c>
      <c r="K24" s="391">
        <f>IF(I24&gt;0,J24*'Revenues &amp; Expenses'!F32*16,0)</f>
        <v>0</v>
      </c>
      <c r="L24" s="540">
        <f>K24*'Revenues &amp; Expenses'!N32</f>
        <v>0</v>
      </c>
      <c r="M24" s="391"/>
      <c r="N24" s="391"/>
      <c r="O24" s="409">
        <f t="shared" si="9"/>
        <v>44196</v>
      </c>
      <c r="P24" s="435">
        <f ca="1">HLOOKUP(O24,'Financial Statements'!$C$31:$W$43,13)</f>
        <v>0.8533164588275195</v>
      </c>
      <c r="Q24" s="404">
        <f t="shared" ca="1" si="10"/>
        <v>1</v>
      </c>
      <c r="R24" s="380"/>
      <c r="S24" s="455">
        <f>SUM('Revenues &amp; Expenses'!BJ247:$BJ$258)</f>
        <v>4243450.8352195024</v>
      </c>
      <c r="T24" s="455">
        <f ca="1">VLOOKUP(O24,'Credit Reserve Simulation'!$C$11:$F$257,4)</f>
        <v>233927.71284211759</v>
      </c>
      <c r="U24" s="458">
        <f t="shared" ca="1" si="3"/>
        <v>4009523.1223773849</v>
      </c>
      <c r="V24" s="380"/>
      <c r="W24" s="404"/>
      <c r="X24" s="404"/>
      <c r="Y24" s="406"/>
      <c r="AA24" s="627">
        <f>'Debt Amortization'!AF23</f>
        <v>0.22086572693958989</v>
      </c>
      <c r="AC24" s="637">
        <f t="shared" si="4"/>
        <v>37288</v>
      </c>
      <c r="AD24" s="465">
        <f t="shared" si="11"/>
        <v>15</v>
      </c>
      <c r="AE24" s="465">
        <f t="shared" si="5"/>
        <v>0</v>
      </c>
      <c r="AF24" s="465">
        <f t="shared" si="6"/>
        <v>0</v>
      </c>
      <c r="AG24" s="640">
        <f t="shared" si="7"/>
        <v>0</v>
      </c>
      <c r="AJ24" s="465">
        <f t="shared" si="8"/>
        <v>0</v>
      </c>
      <c r="AK24" s="646">
        <f t="shared" si="0"/>
        <v>0</v>
      </c>
    </row>
    <row r="25" spans="1:38">
      <c r="A25" s="250">
        <v>31.469822802906034</v>
      </c>
      <c r="B25" s="248">
        <f>'Revenues &amp; Expenses'!AX33</f>
        <v>37316</v>
      </c>
      <c r="C25" s="250">
        <f>'PJM Curve Simulation'!J33</f>
        <v>25.875000762939454</v>
      </c>
      <c r="D25" s="250">
        <f t="shared" si="1"/>
        <v>47.605637833601271</v>
      </c>
      <c r="F25" s="250">
        <f>('Fuel Curve Simulation'!J33*'Revenues &amp; Expenses'!$S$2/1000)</f>
        <v>45.482082931034483</v>
      </c>
      <c r="G25" s="250">
        <f>'Revenues &amp; Expenses'!$AM$5*1000*'Revenues &amp; Expenses'!O33</f>
        <v>2.1235549025667901</v>
      </c>
      <c r="H25" s="247">
        <f t="shared" si="12"/>
        <v>16</v>
      </c>
      <c r="I25" s="247">
        <f t="shared" si="2"/>
        <v>0</v>
      </c>
      <c r="J25" s="247">
        <v>315</v>
      </c>
      <c r="K25" s="391">
        <f>IF(I25&gt;0,J25*'Revenues &amp; Expenses'!F33*16,0)</f>
        <v>0</v>
      </c>
      <c r="L25" s="540">
        <f>K25*'Revenues &amp; Expenses'!N33</f>
        <v>0</v>
      </c>
      <c r="M25" s="391"/>
      <c r="N25" s="391"/>
      <c r="O25" s="411"/>
      <c r="P25" s="417"/>
      <c r="Q25" s="412"/>
      <c r="R25" s="462"/>
      <c r="S25" s="501"/>
      <c r="T25" s="412"/>
      <c r="U25" s="412"/>
      <c r="V25" s="462"/>
      <c r="W25" s="412"/>
      <c r="X25" s="412"/>
      <c r="Y25" s="413"/>
      <c r="AC25" s="637">
        <f t="shared" si="4"/>
        <v>37316</v>
      </c>
      <c r="AD25" s="465">
        <f t="shared" si="11"/>
        <v>16</v>
      </c>
      <c r="AE25" s="465">
        <f t="shared" si="5"/>
        <v>0</v>
      </c>
      <c r="AF25" s="465">
        <f t="shared" si="6"/>
        <v>0</v>
      </c>
      <c r="AG25" s="640">
        <f t="shared" si="7"/>
        <v>0</v>
      </c>
      <c r="AJ25" s="465">
        <f t="shared" si="8"/>
        <v>0</v>
      </c>
      <c r="AK25" s="646">
        <f t="shared" si="0"/>
        <v>0</v>
      </c>
    </row>
    <row r="26" spans="1:38">
      <c r="A26" s="250">
        <v>29.238188900428785</v>
      </c>
      <c r="B26" s="248">
        <f>'Revenues &amp; Expenses'!AX34</f>
        <v>37347</v>
      </c>
      <c r="C26" s="250">
        <f>'PJM Curve Simulation'!J34</f>
        <v>25.775000762939452</v>
      </c>
      <c r="D26" s="250">
        <f t="shared" si="1"/>
        <v>46.528591325378457</v>
      </c>
      <c r="F26" s="250">
        <f>('Fuel Curve Simulation'!J34*'Revenues &amp; Expenses'!$S$2/1000)</f>
        <v>44.400316551724153</v>
      </c>
      <c r="G26" s="250">
        <f>'Revenues &amp; Expenses'!$AM$5*1000*'Revenues &amp; Expenses'!O34</f>
        <v>2.1282747736543008</v>
      </c>
      <c r="H26" s="247">
        <f t="shared" si="12"/>
        <v>17</v>
      </c>
      <c r="I26" s="247">
        <f t="shared" si="2"/>
        <v>0</v>
      </c>
      <c r="J26" s="247">
        <v>315</v>
      </c>
      <c r="K26" s="391">
        <f>IF(I26&gt;0,J26*'Revenues &amp; Expenses'!F34*16,0)</f>
        <v>0</v>
      </c>
      <c r="L26" s="540">
        <f>K26*'Revenues &amp; Expenses'!N34</f>
        <v>0</v>
      </c>
      <c r="M26" s="391"/>
      <c r="N26" s="391"/>
      <c r="O26" s="398"/>
      <c r="AC26" s="637">
        <f t="shared" si="4"/>
        <v>37347</v>
      </c>
      <c r="AD26" s="465">
        <f t="shared" si="11"/>
        <v>17</v>
      </c>
      <c r="AE26" s="465">
        <f t="shared" si="5"/>
        <v>0</v>
      </c>
      <c r="AF26" s="465">
        <f t="shared" si="6"/>
        <v>0</v>
      </c>
      <c r="AG26" s="640">
        <f t="shared" si="7"/>
        <v>0</v>
      </c>
      <c r="AJ26" s="465">
        <f t="shared" si="8"/>
        <v>0</v>
      </c>
      <c r="AK26" s="646">
        <f t="shared" si="0"/>
        <v>0</v>
      </c>
    </row>
    <row r="27" spans="1:38">
      <c r="A27" s="250">
        <v>33.894704276056729</v>
      </c>
      <c r="B27" s="248">
        <f>'Revenues &amp; Expenses'!AX35</f>
        <v>37377</v>
      </c>
      <c r="C27" s="250">
        <f>'PJM Curve Simulation'!J35</f>
        <v>30.875</v>
      </c>
      <c r="D27" s="250">
        <f t="shared" si="1"/>
        <v>45.742228411118191</v>
      </c>
      <c r="F27" s="250">
        <f>('Fuel Curve Simulation'!J35*'Revenues &amp; Expenses'!$S$2/1000)</f>
        <v>43.609223275862071</v>
      </c>
      <c r="G27" s="250">
        <f>'Revenues &amp; Expenses'!$AM$5*1000*'Revenues &amp; Expenses'!O35</f>
        <v>2.1330051352561168</v>
      </c>
      <c r="H27" s="247">
        <f t="shared" si="12"/>
        <v>18</v>
      </c>
      <c r="I27" s="247">
        <f t="shared" si="2"/>
        <v>0</v>
      </c>
      <c r="J27" s="247">
        <v>315</v>
      </c>
      <c r="K27" s="391">
        <f>IF(I27&gt;0,J27*'Revenues &amp; Expenses'!F35*16,0)</f>
        <v>0</v>
      </c>
      <c r="L27" s="540">
        <f>K27*'Revenues &amp; Expenses'!N35</f>
        <v>0</v>
      </c>
      <c r="M27" s="391"/>
      <c r="N27" s="391"/>
      <c r="O27" s="398"/>
      <c r="P27" s="252"/>
      <c r="AC27" s="637">
        <f t="shared" si="4"/>
        <v>37377</v>
      </c>
      <c r="AD27" s="465">
        <f t="shared" si="11"/>
        <v>18</v>
      </c>
      <c r="AE27" s="465">
        <f t="shared" si="5"/>
        <v>0</v>
      </c>
      <c r="AF27" s="465">
        <f t="shared" si="6"/>
        <v>0</v>
      </c>
      <c r="AG27" s="640">
        <f t="shared" si="7"/>
        <v>0</v>
      </c>
      <c r="AJ27" s="465">
        <f t="shared" si="8"/>
        <v>0</v>
      </c>
      <c r="AK27" s="646">
        <f t="shared" si="0"/>
        <v>0</v>
      </c>
    </row>
    <row r="28" spans="1:38">
      <c r="A28" s="250">
        <v>67.683375208916715</v>
      </c>
      <c r="B28" s="248">
        <f>'Revenues &amp; Expenses'!AX36</f>
        <v>37408</v>
      </c>
      <c r="C28" s="250">
        <f>'PJM Curve Simulation'!J36</f>
        <v>54.849998474121094</v>
      </c>
      <c r="D28" s="250">
        <f t="shared" si="1"/>
        <v>45.547131527930127</v>
      </c>
      <c r="F28" s="250">
        <f>('Fuel Curve Simulation'!J36*'Revenues &amp; Expenses'!$S$2/1000)</f>
        <v>43.409385517241383</v>
      </c>
      <c r="G28" s="250">
        <f>'Revenues &amp; Expenses'!$AM$5*1000*'Revenues &amp; Expenses'!O36</f>
        <v>2.1377460106887409</v>
      </c>
      <c r="H28" s="247">
        <f t="shared" si="12"/>
        <v>19</v>
      </c>
      <c r="I28" s="247">
        <f t="shared" si="2"/>
        <v>1</v>
      </c>
      <c r="J28" s="247">
        <v>315</v>
      </c>
      <c r="K28" s="391">
        <f>IF(I28&gt;0,J28*'Revenues &amp; Expenses'!F36*16,0)</f>
        <v>100800</v>
      </c>
      <c r="L28" s="540">
        <f>K28*'Revenues &amp; Expenses'!N36</f>
        <v>85464.441543937122</v>
      </c>
      <c r="M28" s="391"/>
      <c r="N28" s="391"/>
      <c r="Q28" s="391"/>
      <c r="AC28" s="637">
        <f t="shared" si="4"/>
        <v>37408</v>
      </c>
      <c r="AD28" s="465">
        <f t="shared" si="11"/>
        <v>19</v>
      </c>
      <c r="AE28" s="465">
        <f t="shared" si="5"/>
        <v>4687724.4882765627</v>
      </c>
      <c r="AF28" s="465">
        <f t="shared" si="6"/>
        <v>85464.441543937122</v>
      </c>
      <c r="AG28" s="640">
        <f t="shared" si="7"/>
        <v>54.849998474121094</v>
      </c>
      <c r="AJ28" s="465">
        <f t="shared" si="8"/>
        <v>3892660.1599627999</v>
      </c>
      <c r="AK28" s="646">
        <f t="shared" si="0"/>
        <v>45.547131527930127</v>
      </c>
    </row>
    <row r="29" spans="1:38">
      <c r="A29" s="250">
        <v>124.34732379899991</v>
      </c>
      <c r="B29" s="248">
        <f>'Revenues &amp; Expenses'!AX37</f>
        <v>37438</v>
      </c>
      <c r="C29" s="250">
        <f>'PJM Curve Simulation'!J37</f>
        <v>94.699996948242188</v>
      </c>
      <c r="D29" s="250">
        <f t="shared" si="1"/>
        <v>45.946603802630854</v>
      </c>
      <c r="F29" s="250">
        <f>('Fuel Curve Simulation'!J37*'Revenues &amp; Expenses'!$S$2/1000)</f>
        <v>43.804106379310355</v>
      </c>
      <c r="G29" s="250">
        <f>'Revenues &amp; Expenses'!$AM$5*1000*'Revenues &amp; Expenses'!O37</f>
        <v>2.1424974233205005</v>
      </c>
      <c r="H29" s="247">
        <f t="shared" si="12"/>
        <v>20</v>
      </c>
      <c r="I29" s="247">
        <f t="shared" si="2"/>
        <v>1</v>
      </c>
      <c r="J29" s="247">
        <v>315</v>
      </c>
      <c r="K29" s="391">
        <f>IF(I29&gt;0,J29*'Revenues &amp; Expenses'!F37*16,0)</f>
        <v>115920</v>
      </c>
      <c r="L29" s="540">
        <f>K29*'Revenues &amp; Expenses'!N37</f>
        <v>97694.205439617712</v>
      </c>
      <c r="M29" s="391"/>
      <c r="N29" s="391"/>
      <c r="AC29" s="637">
        <f t="shared" si="4"/>
        <v>37438</v>
      </c>
      <c r="AD29" s="465">
        <f t="shared" si="11"/>
        <v>20</v>
      </c>
      <c r="AE29" s="465">
        <f t="shared" si="5"/>
        <v>9251640.9569927435</v>
      </c>
      <c r="AF29" s="465">
        <f t="shared" si="6"/>
        <v>97694.205439617712</v>
      </c>
      <c r="AG29" s="640">
        <f t="shared" si="7"/>
        <v>94.699996948242202</v>
      </c>
      <c r="AJ29" s="465">
        <f t="shared" si="8"/>
        <v>4488716.9511469388</v>
      </c>
      <c r="AK29" s="646">
        <f t="shared" si="0"/>
        <v>45.946603802630854</v>
      </c>
    </row>
    <row r="30" spans="1:38">
      <c r="A30" s="250">
        <v>100.27366535565065</v>
      </c>
      <c r="B30" s="248">
        <f>'Revenues &amp; Expenses'!AX38</f>
        <v>37469</v>
      </c>
      <c r="C30" s="250">
        <f>'PJM Curve Simulation'!J38</f>
        <v>81.699996948242188</v>
      </c>
      <c r="D30" s="250">
        <f t="shared" si="1"/>
        <v>46.658229913813045</v>
      </c>
      <c r="F30" s="250">
        <f>('Fuel Curve Simulation'!J38*'Revenues &amp; Expenses'!$S$2/1000)</f>
        <v>44.510970517241383</v>
      </c>
      <c r="G30" s="250">
        <f>'Revenues &amp; Expenses'!$AM$5*1000*'Revenues &amp; Expenses'!O38</f>
        <v>2.1472593965716626</v>
      </c>
      <c r="H30" s="247">
        <f t="shared" si="12"/>
        <v>21</v>
      </c>
      <c r="I30" s="247">
        <f t="shared" si="2"/>
        <v>1</v>
      </c>
      <c r="J30" s="247">
        <v>315</v>
      </c>
      <c r="K30" s="391">
        <f>IF(I30&gt;0,J30*'Revenues &amp; Expenses'!F38*16,0)</f>
        <v>110880</v>
      </c>
      <c r="L30" s="540">
        <f>K30*'Revenues &amp; Expenses'!N38</f>
        <v>92868.89136216075</v>
      </c>
      <c r="M30" s="391"/>
      <c r="N30" s="391"/>
      <c r="AC30" s="637">
        <f t="shared" si="4"/>
        <v>37469</v>
      </c>
      <c r="AD30" s="465">
        <f t="shared" si="11"/>
        <v>21</v>
      </c>
      <c r="AE30" s="465">
        <f t="shared" si="5"/>
        <v>7587388.1408751681</v>
      </c>
      <c r="AF30" s="465">
        <f t="shared" si="6"/>
        <v>92868.89136216075</v>
      </c>
      <c r="AG30" s="640">
        <f t="shared" si="7"/>
        <v>81.699996948242188</v>
      </c>
      <c r="AJ30" s="465">
        <f t="shared" si="8"/>
        <v>4333098.0850166222</v>
      </c>
      <c r="AK30" s="646">
        <f t="shared" si="0"/>
        <v>46.658229913813038</v>
      </c>
    </row>
    <row r="31" spans="1:38">
      <c r="A31" s="250">
        <v>37.915268411266695</v>
      </c>
      <c r="B31" s="248">
        <f>'Revenues &amp; Expenses'!AX39</f>
        <v>37500</v>
      </c>
      <c r="C31" s="250">
        <f>'PJM Curve Simulation'!J39</f>
        <v>32.824998474121095</v>
      </c>
      <c r="D31" s="250">
        <f t="shared" si="1"/>
        <v>47.43427712632834</v>
      </c>
      <c r="F31" s="250">
        <f>('Fuel Curve Simulation'!J39*'Revenues &amp; Expenses'!$S$2/1000)</f>
        <v>45.282245172413795</v>
      </c>
      <c r="G31" s="250">
        <f>'Revenues &amp; Expenses'!$AM$5*1000*'Revenues &amp; Expenses'!O39</f>
        <v>2.1520319539145478</v>
      </c>
      <c r="H31" s="247">
        <f t="shared" si="12"/>
        <v>22</v>
      </c>
      <c r="I31" s="247">
        <f t="shared" si="2"/>
        <v>0</v>
      </c>
      <c r="J31" s="247">
        <v>315</v>
      </c>
      <c r="K31" s="391">
        <f>IF(I31&gt;0,J31*'Revenues &amp; Expenses'!F39*16,0)</f>
        <v>0</v>
      </c>
      <c r="L31" s="540">
        <f>K31*'Revenues &amp; Expenses'!N39</f>
        <v>0</v>
      </c>
      <c r="M31" s="391"/>
      <c r="N31" s="391"/>
      <c r="AC31" s="637">
        <f t="shared" si="4"/>
        <v>37500</v>
      </c>
      <c r="AD31" s="465">
        <f t="shared" si="11"/>
        <v>22</v>
      </c>
      <c r="AE31" s="465">
        <f t="shared" si="5"/>
        <v>0</v>
      </c>
      <c r="AF31" s="465">
        <f t="shared" si="6"/>
        <v>0</v>
      </c>
      <c r="AG31" s="640">
        <f t="shared" si="7"/>
        <v>0</v>
      </c>
      <c r="AJ31" s="465">
        <f t="shared" si="8"/>
        <v>0</v>
      </c>
      <c r="AK31" s="646">
        <f t="shared" si="0"/>
        <v>0</v>
      </c>
    </row>
    <row r="32" spans="1:38">
      <c r="A32" s="250">
        <v>31.100844823122024</v>
      </c>
      <c r="B32" s="248">
        <f>'Revenues &amp; Expenses'!AX40</f>
        <v>37530</v>
      </c>
      <c r="C32" s="250">
        <f>'PJM Curve Simulation'!J40</f>
        <v>26.475000381469727</v>
      </c>
      <c r="D32" s="250">
        <f t="shared" si="1"/>
        <v>48.174000808528831</v>
      </c>
      <c r="F32" s="250">
        <f>('Fuel Curve Simulation'!J40*'Revenues &amp; Expenses'!$S$2/1000)</f>
        <v>46.017185689655186</v>
      </c>
      <c r="G32" s="250">
        <f>'Revenues &amp; Expenses'!$AM$5*1000*'Revenues &amp; Expenses'!O40</f>
        <v>2.1568151188736469</v>
      </c>
      <c r="H32" s="247">
        <f t="shared" si="12"/>
        <v>23</v>
      </c>
      <c r="I32" s="247">
        <f t="shared" si="2"/>
        <v>0</v>
      </c>
      <c r="J32" s="247">
        <v>315</v>
      </c>
      <c r="K32" s="391">
        <f>IF(I32&gt;0,J32*'Revenues &amp; Expenses'!F40*16,0)</f>
        <v>0</v>
      </c>
      <c r="L32" s="540">
        <f>K32*'Revenues &amp; Expenses'!N40</f>
        <v>0</v>
      </c>
      <c r="M32" s="391"/>
      <c r="N32" s="391"/>
      <c r="AC32" s="637">
        <f t="shared" si="4"/>
        <v>37530</v>
      </c>
      <c r="AD32" s="465">
        <f t="shared" si="11"/>
        <v>23</v>
      </c>
      <c r="AE32" s="465">
        <f t="shared" si="5"/>
        <v>0</v>
      </c>
      <c r="AF32" s="465">
        <f t="shared" si="6"/>
        <v>0</v>
      </c>
      <c r="AG32" s="640">
        <f t="shared" si="7"/>
        <v>0</v>
      </c>
      <c r="AJ32" s="465">
        <f t="shared" si="8"/>
        <v>0</v>
      </c>
      <c r="AK32" s="646">
        <f t="shared" si="0"/>
        <v>0</v>
      </c>
    </row>
    <row r="33" spans="1:38">
      <c r="A33" s="250">
        <v>31.137095597267155</v>
      </c>
      <c r="B33" s="248">
        <f>'Revenues &amp; Expenses'!AX41</f>
        <v>37561</v>
      </c>
      <c r="C33" s="250">
        <f>'PJM Curve Simulation'!J41</f>
        <v>26.147499084472656</v>
      </c>
      <c r="D33" s="250">
        <f t="shared" si="1"/>
        <v>48.892264949508508</v>
      </c>
      <c r="F33" s="250">
        <f>('Fuel Curve Simulation'!J41*'Revenues &amp; Expenses'!$S$2/1000)</f>
        <v>46.73065603448277</v>
      </c>
      <c r="G33" s="250">
        <f>'Revenues &amp; Expenses'!$AM$5*1000*'Revenues &amp; Expenses'!O41</f>
        <v>2.1616089150257376</v>
      </c>
      <c r="H33" s="247">
        <f t="shared" si="12"/>
        <v>24</v>
      </c>
      <c r="I33" s="247">
        <f t="shared" si="2"/>
        <v>0</v>
      </c>
      <c r="J33" s="247">
        <v>315</v>
      </c>
      <c r="K33" s="391">
        <f>IF(I33&gt;0,J33*'Revenues &amp; Expenses'!F41*16,0)</f>
        <v>0</v>
      </c>
      <c r="L33" s="540">
        <f>K33*'Revenues &amp; Expenses'!N41</f>
        <v>0</v>
      </c>
      <c r="M33" s="391"/>
      <c r="N33" s="391"/>
      <c r="AC33" s="637">
        <f t="shared" si="4"/>
        <v>37561</v>
      </c>
      <c r="AD33" s="465">
        <f t="shared" si="11"/>
        <v>24</v>
      </c>
      <c r="AE33" s="465">
        <f t="shared" si="5"/>
        <v>0</v>
      </c>
      <c r="AF33" s="465">
        <f t="shared" si="6"/>
        <v>0</v>
      </c>
      <c r="AG33" s="640">
        <f t="shared" si="7"/>
        <v>0</v>
      </c>
      <c r="AJ33" s="465">
        <f t="shared" si="8"/>
        <v>0</v>
      </c>
      <c r="AK33" s="646">
        <f t="shared" si="0"/>
        <v>0</v>
      </c>
    </row>
    <row r="34" spans="1:38">
      <c r="A34" s="250">
        <v>33.646392079175875</v>
      </c>
      <c r="B34" s="248">
        <f>'Revenues &amp; Expenses'!AX42</f>
        <v>37591</v>
      </c>
      <c r="C34" s="250">
        <f>'PJM Curve Simulation'!J42</f>
        <v>27.899999618530273</v>
      </c>
      <c r="D34" s="250">
        <f t="shared" si="1"/>
        <v>49.196000262551728</v>
      </c>
      <c r="F34" s="250">
        <f>('Fuel Curve Simulation'!J42*'Revenues &amp; Expenses'!$S$2/1000)</f>
        <v>47.029586896551727</v>
      </c>
      <c r="G34" s="250">
        <f>'Revenues &amp; Expenses'!$AM$5*1000*'Revenues &amp; Expenses'!O42</f>
        <v>2.1664133659999996</v>
      </c>
      <c r="H34" s="247">
        <f t="shared" si="12"/>
        <v>25</v>
      </c>
      <c r="I34" s="247">
        <f t="shared" si="2"/>
        <v>0</v>
      </c>
      <c r="J34" s="247">
        <v>315</v>
      </c>
      <c r="K34" s="391">
        <f>IF(I34&gt;0,J34*'Revenues &amp; Expenses'!F42*16,0)</f>
        <v>0</v>
      </c>
      <c r="L34" s="540">
        <f>K34*'Revenues &amp; Expenses'!N42</f>
        <v>0</v>
      </c>
      <c r="M34" s="391">
        <f>SUM(L23:L34)</f>
        <v>276027.53834571555</v>
      </c>
      <c r="N34" s="391">
        <f>SUM(K23:K34)</f>
        <v>327600</v>
      </c>
      <c r="AC34" s="637">
        <f t="shared" si="4"/>
        <v>37591</v>
      </c>
      <c r="AD34" s="465">
        <f t="shared" si="11"/>
        <v>25</v>
      </c>
      <c r="AE34" s="465">
        <f t="shared" si="5"/>
        <v>0</v>
      </c>
      <c r="AF34" s="465">
        <f t="shared" si="6"/>
        <v>0</v>
      </c>
      <c r="AG34" s="640">
        <f t="shared" si="7"/>
        <v>0</v>
      </c>
      <c r="AH34" s="640">
        <f>IF(SUM(AF23:AF34)=0,0,SUM(AE23:AE34)/SUM(AF23:AF34))</f>
        <v>77.987702658793822</v>
      </c>
      <c r="AJ34" s="465">
        <f t="shared" si="8"/>
        <v>0</v>
      </c>
      <c r="AK34" s="646">
        <f t="shared" si="0"/>
        <v>0</v>
      </c>
      <c r="AL34" s="646">
        <f>IF(SUM(AF23:AF34)=0,0,SUM(AJ23:AJ34)/SUM(AF23:AF34))</f>
        <v>46.062343171723292</v>
      </c>
    </row>
    <row r="35" spans="1:38">
      <c r="A35" s="250">
        <v>44.542357871580379</v>
      </c>
      <c r="B35" s="248">
        <f>'Revenues &amp; Expenses'!AX43</f>
        <v>37622</v>
      </c>
      <c r="C35" s="250">
        <f>'PJM Curve Simulation'!J43</f>
        <v>36.324998474121088</v>
      </c>
      <c r="D35" s="250">
        <f t="shared" si="1"/>
        <v>48.548452460995371</v>
      </c>
      <c r="F35" s="250">
        <f>('Fuel Curve Simulation'!J43*'Revenues &amp; Expenses'!$S$2/1000)</f>
        <v>46.377223965517238</v>
      </c>
      <c r="G35" s="250">
        <f>'Revenues &amp; Expenses'!$AM$5*1000*'Revenues &amp; Expenses'!O43</f>
        <v>2.1712284954781311</v>
      </c>
      <c r="H35" s="247">
        <f t="shared" si="12"/>
        <v>26</v>
      </c>
      <c r="I35" s="247">
        <f t="shared" si="2"/>
        <v>0</v>
      </c>
      <c r="J35" s="247">
        <v>315</v>
      </c>
      <c r="K35" s="391">
        <f>IF(I35&gt;0,J35*'Revenues &amp; Expenses'!F43*16,0)</f>
        <v>0</v>
      </c>
      <c r="L35" s="540">
        <f>K35*'Revenues &amp; Expenses'!N43</f>
        <v>0</v>
      </c>
      <c r="M35" s="391"/>
      <c r="N35" s="391"/>
      <c r="AC35" s="637">
        <f t="shared" si="4"/>
        <v>37622</v>
      </c>
      <c r="AD35" s="465">
        <f t="shared" si="11"/>
        <v>26</v>
      </c>
      <c r="AE35" s="465">
        <f t="shared" si="5"/>
        <v>0</v>
      </c>
      <c r="AF35" s="465">
        <f t="shared" si="6"/>
        <v>0</v>
      </c>
      <c r="AG35" s="640">
        <f t="shared" si="7"/>
        <v>0</v>
      </c>
      <c r="AJ35" s="465">
        <f t="shared" si="8"/>
        <v>0</v>
      </c>
      <c r="AK35" s="646">
        <f t="shared" si="0"/>
        <v>0</v>
      </c>
    </row>
    <row r="36" spans="1:38">
      <c r="A36" s="250">
        <v>44.542357871580379</v>
      </c>
      <c r="B36" s="248">
        <f>'Revenues &amp; Expenses'!AX44</f>
        <v>37653</v>
      </c>
      <c r="C36" s="250">
        <f>'PJM Curve Simulation'!J44</f>
        <v>36.324998474121088</v>
      </c>
      <c r="D36" s="250">
        <f t="shared" si="1"/>
        <v>47.499588292711721</v>
      </c>
      <c r="F36" s="250">
        <f>('Fuel Curve Simulation'!J44*'Revenues &amp; Expenses'!$S$2/1000)</f>
        <v>45.323533965517257</v>
      </c>
      <c r="G36" s="250">
        <f>'Revenues &amp; Expenses'!$AM$5*1000*'Revenues &amp; Expenses'!O44</f>
        <v>2.1760543271944668</v>
      </c>
      <c r="H36" s="247">
        <f t="shared" si="12"/>
        <v>27</v>
      </c>
      <c r="I36" s="247">
        <f t="shared" si="2"/>
        <v>0</v>
      </c>
      <c r="J36" s="247">
        <v>315</v>
      </c>
      <c r="K36" s="391">
        <f>IF(I36&gt;0,J36*'Revenues &amp; Expenses'!F44*16,0)</f>
        <v>0</v>
      </c>
      <c r="L36" s="540">
        <f>K36*'Revenues &amp; Expenses'!N44</f>
        <v>0</v>
      </c>
      <c r="M36" s="391"/>
      <c r="N36" s="391"/>
      <c r="AC36" s="637">
        <f t="shared" si="4"/>
        <v>37653</v>
      </c>
      <c r="AD36" s="465">
        <f t="shared" si="11"/>
        <v>27</v>
      </c>
      <c r="AE36" s="465">
        <f t="shared" si="5"/>
        <v>0</v>
      </c>
      <c r="AF36" s="465">
        <f t="shared" si="6"/>
        <v>0</v>
      </c>
      <c r="AG36" s="640">
        <f t="shared" si="7"/>
        <v>0</v>
      </c>
      <c r="AJ36" s="465">
        <f t="shared" si="8"/>
        <v>0</v>
      </c>
      <c r="AK36" s="646">
        <f t="shared" si="0"/>
        <v>0</v>
      </c>
    </row>
    <row r="37" spans="1:38">
      <c r="A37" s="250">
        <v>31.86509592790604</v>
      </c>
      <c r="B37" s="248">
        <f>'Revenues &amp; Expenses'!AX45</f>
        <v>37681</v>
      </c>
      <c r="C37" s="250">
        <f>'PJM Curve Simulation'!J45</f>
        <v>26.200000762939453</v>
      </c>
      <c r="D37" s="250">
        <f t="shared" si="1"/>
        <v>46.457341057349893</v>
      </c>
      <c r="F37" s="250">
        <f>('Fuel Curve Simulation'!J45*'Revenues &amp; Expenses'!$S$2/1000)</f>
        <v>44.276450172413803</v>
      </c>
      <c r="G37" s="250">
        <f>'Revenues &amp; Expenses'!$AM$5*1000*'Revenues &amp; Expenses'!O45</f>
        <v>2.1808908849360931</v>
      </c>
      <c r="H37" s="247">
        <f t="shared" si="12"/>
        <v>28</v>
      </c>
      <c r="I37" s="247">
        <f t="shared" si="2"/>
        <v>0</v>
      </c>
      <c r="J37" s="247">
        <v>315</v>
      </c>
      <c r="K37" s="391">
        <f>IF(I37&gt;0,J37*'Revenues &amp; Expenses'!F45*16,0)</f>
        <v>0</v>
      </c>
      <c r="L37" s="540">
        <f>K37*'Revenues &amp; Expenses'!N45</f>
        <v>0</v>
      </c>
      <c r="M37" s="391"/>
      <c r="N37" s="391"/>
      <c r="AC37" s="637">
        <f t="shared" si="4"/>
        <v>37681</v>
      </c>
      <c r="AD37" s="465">
        <f t="shared" si="11"/>
        <v>28</v>
      </c>
      <c r="AE37" s="465">
        <f t="shared" si="5"/>
        <v>0</v>
      </c>
      <c r="AF37" s="465">
        <f t="shared" si="6"/>
        <v>0</v>
      </c>
      <c r="AG37" s="640">
        <f t="shared" si="7"/>
        <v>0</v>
      </c>
      <c r="AJ37" s="465">
        <f t="shared" si="8"/>
        <v>0</v>
      </c>
      <c r="AK37" s="646">
        <f t="shared" si="0"/>
        <v>0</v>
      </c>
    </row>
    <row r="38" spans="1:38">
      <c r="A38" s="250">
        <v>29.465061358508159</v>
      </c>
      <c r="B38" s="248">
        <f>'Revenues &amp; Expenses'!AX46</f>
        <v>37712</v>
      </c>
      <c r="C38" s="250">
        <f>'PJM Curve Simulation'!J46</f>
        <v>25.975000762939452</v>
      </c>
      <c r="D38" s="250">
        <f t="shared" si="1"/>
        <v>45.40024060633607</v>
      </c>
      <c r="F38" s="250">
        <f>('Fuel Curve Simulation'!J46*'Revenues &amp; Expenses'!$S$2/1000)</f>
        <v>43.214502413793106</v>
      </c>
      <c r="G38" s="250">
        <f>'Revenues &amp; Expenses'!$AM$5*1000*'Revenues &amp; Expenses'!O46</f>
        <v>2.1857381925429666</v>
      </c>
      <c r="H38" s="247">
        <f t="shared" si="12"/>
        <v>29</v>
      </c>
      <c r="I38" s="247">
        <f t="shared" si="2"/>
        <v>0</v>
      </c>
      <c r="J38" s="247">
        <v>315</v>
      </c>
      <c r="K38" s="391">
        <f>IF(I38&gt;0,J38*'Revenues &amp; Expenses'!F46*16,0)</f>
        <v>0</v>
      </c>
      <c r="L38" s="540">
        <f>K38*'Revenues &amp; Expenses'!N46</f>
        <v>0</v>
      </c>
      <c r="M38" s="391"/>
      <c r="N38" s="391"/>
      <c r="AC38" s="637">
        <f t="shared" si="4"/>
        <v>37712</v>
      </c>
      <c r="AD38" s="465">
        <f t="shared" si="11"/>
        <v>29</v>
      </c>
      <c r="AE38" s="465">
        <f t="shared" si="5"/>
        <v>0</v>
      </c>
      <c r="AF38" s="465">
        <f t="shared" si="6"/>
        <v>0</v>
      </c>
      <c r="AG38" s="640">
        <f t="shared" si="7"/>
        <v>0</v>
      </c>
      <c r="AJ38" s="465">
        <f t="shared" si="8"/>
        <v>0</v>
      </c>
      <c r="AK38" s="646">
        <f t="shared" si="0"/>
        <v>0</v>
      </c>
    </row>
    <row r="39" spans="1:38">
      <c r="A39" s="250">
        <v>34.004484694764606</v>
      </c>
      <c r="B39" s="248">
        <f>'Revenues &amp; Expenses'!AX47</f>
        <v>37742</v>
      </c>
      <c r="C39" s="250">
        <f>'PJM Curve Simulation'!J47</f>
        <v>30.975000000000001</v>
      </c>
      <c r="D39" s="250">
        <f t="shared" si="1"/>
        <v>44.642081791149423</v>
      </c>
      <c r="F39" s="250">
        <f>('Fuel Curve Simulation'!J47*'Revenues &amp; Expenses'!$S$2/1000)</f>
        <v>42.451485517241387</v>
      </c>
      <c r="G39" s="250">
        <f>'Revenues &amp; Expenses'!$AM$5*1000*'Revenues &amp; Expenses'!O47</f>
        <v>2.1905962739080316</v>
      </c>
      <c r="H39" s="247">
        <f t="shared" si="12"/>
        <v>30</v>
      </c>
      <c r="I39" s="247">
        <f t="shared" si="2"/>
        <v>0</v>
      </c>
      <c r="J39" s="247">
        <v>315</v>
      </c>
      <c r="K39" s="391">
        <f>IF(I39&gt;0,J39*'Revenues &amp; Expenses'!F47*16,0)</f>
        <v>0</v>
      </c>
      <c r="L39" s="540">
        <f>K39*'Revenues &amp; Expenses'!N47</f>
        <v>0</v>
      </c>
      <c r="M39" s="391"/>
      <c r="N39" s="391"/>
      <c r="AC39" s="637">
        <f t="shared" si="4"/>
        <v>37742</v>
      </c>
      <c r="AD39" s="465">
        <f t="shared" si="11"/>
        <v>30</v>
      </c>
      <c r="AE39" s="465">
        <f t="shared" si="5"/>
        <v>0</v>
      </c>
      <c r="AF39" s="465">
        <f t="shared" si="6"/>
        <v>0</v>
      </c>
      <c r="AG39" s="640">
        <f t="shared" si="7"/>
        <v>0</v>
      </c>
      <c r="AJ39" s="465">
        <f t="shared" si="8"/>
        <v>0</v>
      </c>
      <c r="AK39" s="646">
        <f t="shared" si="0"/>
        <v>0</v>
      </c>
    </row>
    <row r="40" spans="1:38">
      <c r="A40" s="250">
        <v>67.991868267676097</v>
      </c>
      <c r="B40" s="248">
        <f>'Revenues &amp; Expenses'!AX48</f>
        <v>37773</v>
      </c>
      <c r="C40" s="250">
        <f>'PJM Curve Simulation'!J48</f>
        <v>55.099998474121094</v>
      </c>
      <c r="D40" s="250">
        <f t="shared" si="1"/>
        <v>44.486750152977343</v>
      </c>
      <c r="F40" s="250">
        <f>('Fuel Curve Simulation'!J48*'Revenues &amp; Expenses'!$S$2/1000)</f>
        <v>42.291285000000009</v>
      </c>
      <c r="G40" s="250">
        <f>'Revenues &amp; Expenses'!$AM$5*1000*'Revenues &amp; Expenses'!O48</f>
        <v>2.1954651529773366</v>
      </c>
      <c r="H40" s="247">
        <f t="shared" si="12"/>
        <v>31</v>
      </c>
      <c r="I40" s="247">
        <f t="shared" si="2"/>
        <v>1</v>
      </c>
      <c r="J40" s="247">
        <v>315</v>
      </c>
      <c r="K40" s="391">
        <f>IF(I40&gt;0,J40*'Revenues &amp; Expenses'!F48*16,0)</f>
        <v>105840</v>
      </c>
      <c r="L40" s="540">
        <f>K40*'Revenues &amp; Expenses'!N48</f>
        <v>83401.075993691018</v>
      </c>
      <c r="M40" s="391"/>
      <c r="N40" s="391"/>
      <c r="AC40" s="637">
        <f t="shared" si="4"/>
        <v>37773</v>
      </c>
      <c r="AD40" s="465">
        <f t="shared" si="11"/>
        <v>31</v>
      </c>
      <c r="AE40" s="465">
        <f t="shared" si="5"/>
        <v>4595399.1599924322</v>
      </c>
      <c r="AF40" s="465">
        <f t="shared" si="6"/>
        <v>83401.075993691018</v>
      </c>
      <c r="AG40" s="640">
        <f t="shared" si="7"/>
        <v>55.099998474121094</v>
      </c>
      <c r="AJ40" s="465">
        <f t="shared" si="8"/>
        <v>3710242.8302208087</v>
      </c>
      <c r="AK40" s="646">
        <f t="shared" si="0"/>
        <v>44.486750152977343</v>
      </c>
    </row>
    <row r="41" spans="1:38">
      <c r="A41" s="250">
        <v>123.69079091723562</v>
      </c>
      <c r="B41" s="248">
        <f>'Revenues &amp; Expenses'!AX49</f>
        <v>37803</v>
      </c>
      <c r="C41" s="250">
        <f>'PJM Curve Simulation'!J49</f>
        <v>94.199996948242188</v>
      </c>
      <c r="D41" s="250">
        <f t="shared" si="1"/>
        <v>44.929291060646712</v>
      </c>
      <c r="F41" s="250">
        <f>('Fuel Curve Simulation'!J49*'Revenues &amp; Expenses'!$S$2/1000)</f>
        <v>42.728946206896559</v>
      </c>
      <c r="G41" s="250">
        <f>'Revenues &amp; Expenses'!$AM$5*1000*'Revenues &amp; Expenses'!O49</f>
        <v>2.200344853750154</v>
      </c>
      <c r="H41" s="247">
        <f t="shared" si="12"/>
        <v>32</v>
      </c>
      <c r="I41" s="247">
        <f t="shared" si="2"/>
        <v>1</v>
      </c>
      <c r="J41" s="247">
        <v>315</v>
      </c>
      <c r="K41" s="391">
        <f>IF(I41&gt;0,J41*'Revenues &amp; Expenses'!F49*16,0)</f>
        <v>115920</v>
      </c>
      <c r="L41" s="540">
        <f>K41*'Revenues &amp; Expenses'!N49</f>
        <v>90796.665516419875</v>
      </c>
      <c r="M41" s="391"/>
      <c r="N41" s="391"/>
      <c r="AC41" s="637">
        <f t="shared" si="4"/>
        <v>37803</v>
      </c>
      <c r="AD41" s="465">
        <f t="shared" si="11"/>
        <v>32</v>
      </c>
      <c r="AE41" s="465">
        <f t="shared" si="5"/>
        <v>8553045.6145573184</v>
      </c>
      <c r="AF41" s="465">
        <f t="shared" si="6"/>
        <v>90796.665516419875</v>
      </c>
      <c r="AG41" s="640">
        <f t="shared" si="7"/>
        <v>94.199996948242188</v>
      </c>
      <c r="AJ41" s="465">
        <f t="shared" si="8"/>
        <v>4079429.8123234129</v>
      </c>
      <c r="AK41" s="646">
        <f t="shared" si="0"/>
        <v>44.929291060646712</v>
      </c>
    </row>
    <row r="42" spans="1:38">
      <c r="A42" s="250">
        <v>99.659995410110895</v>
      </c>
      <c r="B42" s="248">
        <f>'Revenues &amp; Expenses'!AX50</f>
        <v>37834</v>
      </c>
      <c r="C42" s="250">
        <f>'PJM Curve Simulation'!J50</f>
        <v>81.199996948242188</v>
      </c>
      <c r="D42" s="250">
        <f t="shared" si="1"/>
        <v>45.68398608993428</v>
      </c>
      <c r="F42" s="250">
        <f>('Fuel Curve Simulation'!J50*'Revenues &amp; Expenses'!$S$2/1000)</f>
        <v>43.478750689655179</v>
      </c>
      <c r="G42" s="250">
        <f>'Revenues &amp; Expenses'!$AM$5*1000*'Revenues &amp; Expenses'!O50</f>
        <v>2.2052354002790975</v>
      </c>
      <c r="H42" s="247">
        <f t="shared" si="12"/>
        <v>33</v>
      </c>
      <c r="I42" s="247">
        <f t="shared" si="2"/>
        <v>1</v>
      </c>
      <c r="J42" s="247">
        <v>315</v>
      </c>
      <c r="K42" s="391">
        <f>IF(I42&gt;0,J42*'Revenues &amp; Expenses'!F50*16,0)</f>
        <v>105840</v>
      </c>
      <c r="L42" s="540">
        <f>K42*'Revenues &amp; Expenses'!N50</f>
        <v>82388.377795839551</v>
      </c>
      <c r="M42" s="391"/>
      <c r="N42" s="391"/>
      <c r="AC42" s="637">
        <f t="shared" si="4"/>
        <v>37834</v>
      </c>
      <c r="AD42" s="465">
        <f t="shared" si="11"/>
        <v>33</v>
      </c>
      <c r="AE42" s="465">
        <f t="shared" si="5"/>
        <v>6689936.0255927956</v>
      </c>
      <c r="AF42" s="465">
        <f t="shared" si="6"/>
        <v>82388.377795839551</v>
      </c>
      <c r="AG42" s="640">
        <f t="shared" si="7"/>
        <v>81.199996948242188</v>
      </c>
      <c r="AJ42" s="465">
        <f t="shared" si="8"/>
        <v>3763829.5051973844</v>
      </c>
      <c r="AK42" s="646">
        <f t="shared" si="0"/>
        <v>45.68398608993428</v>
      </c>
    </row>
    <row r="43" spans="1:38">
      <c r="A43" s="250">
        <v>38.204036653260367</v>
      </c>
      <c r="B43" s="248">
        <f>'Revenues &amp; Expenses'!AX51</f>
        <v>37865</v>
      </c>
      <c r="C43" s="250">
        <f>'PJM Curve Simulation'!J51</f>
        <v>33.074998474121095</v>
      </c>
      <c r="D43" s="250">
        <f t="shared" si="1"/>
        <v>46.499799402877137</v>
      </c>
      <c r="F43" s="250">
        <f>('Fuel Curve Simulation'!J51*'Revenues &amp; Expenses'!$S$2/1000)</f>
        <v>44.289662586206894</v>
      </c>
      <c r="G43" s="250">
        <f>'Revenues &amp; Expenses'!$AM$5*1000*'Revenues &amp; Expenses'!O51</f>
        <v>2.2101368166702402</v>
      </c>
      <c r="H43" s="247">
        <f t="shared" si="12"/>
        <v>34</v>
      </c>
      <c r="I43" s="247">
        <f t="shared" si="2"/>
        <v>0</v>
      </c>
      <c r="J43" s="247">
        <v>315</v>
      </c>
      <c r="K43" s="391">
        <f>IF(I43&gt;0,J43*'Revenues &amp; Expenses'!F51*16,0)</f>
        <v>0</v>
      </c>
      <c r="L43" s="540">
        <f>K43*'Revenues &amp; Expenses'!N51</f>
        <v>0</v>
      </c>
      <c r="M43" s="391"/>
      <c r="N43" s="391"/>
      <c r="AC43" s="637">
        <f t="shared" si="4"/>
        <v>37865</v>
      </c>
      <c r="AD43" s="465">
        <f t="shared" si="11"/>
        <v>34</v>
      </c>
      <c r="AE43" s="465">
        <f t="shared" si="5"/>
        <v>0</v>
      </c>
      <c r="AF43" s="465">
        <f t="shared" si="6"/>
        <v>0</v>
      </c>
      <c r="AG43" s="640">
        <f t="shared" si="7"/>
        <v>0</v>
      </c>
      <c r="AJ43" s="465">
        <f t="shared" si="8"/>
        <v>0</v>
      </c>
      <c r="AK43" s="646">
        <f t="shared" si="0"/>
        <v>0</v>
      </c>
    </row>
    <row r="44" spans="1:38">
      <c r="A44" s="250">
        <v>31.394526073122023</v>
      </c>
      <c r="B44" s="248">
        <f>'Revenues &amp; Expenses'!AX52</f>
        <v>37895</v>
      </c>
      <c r="C44" s="250">
        <f>'PJM Curve Simulation'!J52</f>
        <v>26.725000381469727</v>
      </c>
      <c r="D44" s="250">
        <f t="shared" si="1"/>
        <v>47.274334816738417</v>
      </c>
      <c r="F44" s="250">
        <f>('Fuel Curve Simulation'!J52*'Revenues &amp; Expenses'!$S$2/1000)</f>
        <v>45.059285689655184</v>
      </c>
      <c r="G44" s="250">
        <f>'Revenues &amp; Expenses'!$AM$5*1000*'Revenues &amp; Expenses'!O52</f>
        <v>2.2150491270832351</v>
      </c>
      <c r="H44" s="247">
        <f t="shared" si="12"/>
        <v>35</v>
      </c>
      <c r="I44" s="247">
        <f t="shared" si="2"/>
        <v>0</v>
      </c>
      <c r="J44" s="247">
        <v>315</v>
      </c>
      <c r="K44" s="391">
        <f>IF(I44&gt;0,J44*'Revenues &amp; Expenses'!F52*16,0)</f>
        <v>0</v>
      </c>
      <c r="L44" s="540">
        <f>K44*'Revenues &amp; Expenses'!N52</f>
        <v>0</v>
      </c>
      <c r="M44" s="391"/>
      <c r="N44" s="391"/>
      <c r="AC44" s="637">
        <f t="shared" si="4"/>
        <v>37895</v>
      </c>
      <c r="AD44" s="465">
        <f t="shared" si="11"/>
        <v>35</v>
      </c>
      <c r="AE44" s="465">
        <f t="shared" si="5"/>
        <v>0</v>
      </c>
      <c r="AF44" s="465">
        <f t="shared" si="6"/>
        <v>0</v>
      </c>
      <c r="AG44" s="640">
        <f t="shared" si="7"/>
        <v>0</v>
      </c>
      <c r="AJ44" s="465">
        <f t="shared" si="8"/>
        <v>0</v>
      </c>
      <c r="AK44" s="646">
        <f t="shared" si="0"/>
        <v>0</v>
      </c>
    </row>
    <row r="45" spans="1:38">
      <c r="A45" s="250">
        <v>31.434801847267153</v>
      </c>
      <c r="B45" s="248">
        <f>'Revenues &amp; Expenses'!AX53</f>
        <v>37926</v>
      </c>
      <c r="C45" s="250">
        <f>'PJM Curve Simulation'!J53</f>
        <v>26.397499084472656</v>
      </c>
      <c r="D45" s="250">
        <f t="shared" si="1"/>
        <v>48.042274941938331</v>
      </c>
      <c r="F45" s="250">
        <f>('Fuel Curve Simulation'!J53*'Revenues &amp; Expenses'!$S$2/1000)</f>
        <v>45.822302586206902</v>
      </c>
      <c r="G45" s="250">
        <f>'Revenues &amp; Expenses'!$AM$5*1000*'Revenues &amp; Expenses'!O53</f>
        <v>2.2199723557314321</v>
      </c>
      <c r="H45" s="247">
        <f t="shared" si="12"/>
        <v>36</v>
      </c>
      <c r="I45" s="247">
        <f t="shared" si="2"/>
        <v>0</v>
      </c>
      <c r="J45" s="247">
        <v>315</v>
      </c>
      <c r="K45" s="391">
        <f>IF(I45&gt;0,J45*'Revenues &amp; Expenses'!F53*16,0)</f>
        <v>0</v>
      </c>
      <c r="L45" s="540">
        <f>K45*'Revenues &amp; Expenses'!N53</f>
        <v>0</v>
      </c>
      <c r="M45" s="391"/>
      <c r="N45" s="391"/>
      <c r="AC45" s="637">
        <f t="shared" si="4"/>
        <v>37926</v>
      </c>
      <c r="AD45" s="465">
        <f t="shared" si="11"/>
        <v>36</v>
      </c>
      <c r="AE45" s="465">
        <f t="shared" si="5"/>
        <v>0</v>
      </c>
      <c r="AF45" s="465">
        <f t="shared" si="6"/>
        <v>0</v>
      </c>
      <c r="AG45" s="640">
        <f t="shared" si="7"/>
        <v>0</v>
      </c>
      <c r="AJ45" s="465">
        <f t="shared" si="8"/>
        <v>0</v>
      </c>
      <c r="AK45" s="646">
        <f t="shared" si="0"/>
        <v>0</v>
      </c>
    </row>
    <row r="46" spans="1:38">
      <c r="A46" s="250">
        <v>33.947883051749486</v>
      </c>
      <c r="B46" s="248">
        <f>'Revenues &amp; Expenses'!AX54</f>
        <v>37956</v>
      </c>
      <c r="C46" s="250">
        <f>'PJM Curve Simulation'!J54</f>
        <v>28.149999618530273</v>
      </c>
      <c r="D46" s="250">
        <f t="shared" si="1"/>
        <v>48.400641182054422</v>
      </c>
      <c r="F46" s="250">
        <f>('Fuel Curve Simulation'!J54*'Revenues &amp; Expenses'!$S$2/1000)</f>
        <v>46.17573465517242</v>
      </c>
      <c r="G46" s="250">
        <f>'Revenues &amp; Expenses'!$AM$5*1000*'Revenues &amp; Expenses'!O54</f>
        <v>2.2249065268819992</v>
      </c>
      <c r="H46" s="247">
        <f t="shared" si="12"/>
        <v>37</v>
      </c>
      <c r="I46" s="247">
        <f t="shared" si="2"/>
        <v>0</v>
      </c>
      <c r="J46" s="247">
        <v>315</v>
      </c>
      <c r="K46" s="391">
        <f>IF(I46&gt;0,J46*'Revenues &amp; Expenses'!F54*16,0)</f>
        <v>0</v>
      </c>
      <c r="L46" s="540">
        <f>K46*'Revenues &amp; Expenses'!N54</f>
        <v>0</v>
      </c>
      <c r="M46" s="391">
        <f>SUM(L35:L46)</f>
        <v>256586.11930595047</v>
      </c>
      <c r="N46" s="391">
        <f>SUM(K35:K46)</f>
        <v>327600</v>
      </c>
      <c r="AC46" s="637">
        <f t="shared" si="4"/>
        <v>37956</v>
      </c>
      <c r="AD46" s="465">
        <f t="shared" si="11"/>
        <v>37</v>
      </c>
      <c r="AE46" s="465">
        <f t="shared" si="5"/>
        <v>0</v>
      </c>
      <c r="AF46" s="465">
        <f t="shared" si="6"/>
        <v>0</v>
      </c>
      <c r="AG46" s="640">
        <f t="shared" si="7"/>
        <v>0</v>
      </c>
      <c r="AH46" s="640">
        <f>IF(SUM(AF35:AF46)=0,0,SUM(AE35:AE46)/SUM(AF35:AF46))</f>
        <v>77.316656309406497</v>
      </c>
      <c r="AJ46" s="465">
        <f t="shared" si="8"/>
        <v>0</v>
      </c>
      <c r="AK46" s="646">
        <f t="shared" si="0"/>
        <v>0</v>
      </c>
      <c r="AL46" s="646">
        <f>IF(SUM(AF35:AF46)=0,0,SUM(AJ35:AJ46)/SUM(AF35:AF46))</f>
        <v>45.027775387823439</v>
      </c>
    </row>
    <row r="47" spans="1:38">
      <c r="A47" s="250">
        <v>45.155466746220995</v>
      </c>
      <c r="B47" s="248">
        <f>'Revenues &amp; Expenses'!AX55</f>
        <v>37987</v>
      </c>
      <c r="C47" s="250">
        <f>'PJM Curve Simulation'!J55</f>
        <v>36.824998474121088</v>
      </c>
      <c r="D47" s="250">
        <f t="shared" si="1"/>
        <v>47.809376147614664</v>
      </c>
      <c r="F47" s="250">
        <f>('Fuel Curve Simulation'!J55*'Revenues &amp; Expenses'!$S$2/1000)</f>
        <v>45.579524482758622</v>
      </c>
      <c r="G47" s="250">
        <f>'Revenues &amp; Expenses'!$AM$5*1000*'Revenues &amp; Expenses'!O55</f>
        <v>2.2298516648560405</v>
      </c>
      <c r="H47" s="247">
        <f t="shared" si="12"/>
        <v>38</v>
      </c>
      <c r="I47" s="247">
        <f t="shared" si="2"/>
        <v>0</v>
      </c>
      <c r="J47" s="247">
        <v>315</v>
      </c>
      <c r="K47" s="391">
        <f>IF(I47&gt;0,J47*'Revenues &amp; Expenses'!F55*16,0)</f>
        <v>0</v>
      </c>
      <c r="L47" s="540">
        <f>K47*'Revenues &amp; Expenses'!N55</f>
        <v>0</v>
      </c>
      <c r="M47" s="391"/>
      <c r="N47" s="391"/>
      <c r="AC47" s="637">
        <f t="shared" si="4"/>
        <v>37987</v>
      </c>
      <c r="AD47" s="465">
        <f t="shared" si="11"/>
        <v>38</v>
      </c>
      <c r="AE47" s="465">
        <f t="shared" si="5"/>
        <v>0</v>
      </c>
      <c r="AF47" s="465">
        <f t="shared" si="6"/>
        <v>0</v>
      </c>
      <c r="AG47" s="640">
        <f t="shared" si="7"/>
        <v>0</v>
      </c>
      <c r="AJ47" s="465">
        <f t="shared" si="8"/>
        <v>0</v>
      </c>
      <c r="AK47" s="646">
        <f t="shared" si="0"/>
        <v>0</v>
      </c>
    </row>
    <row r="48" spans="1:38">
      <c r="A48" s="250">
        <v>45.155466746220995</v>
      </c>
      <c r="B48" s="248">
        <f>'Revenues &amp; Expenses'!AX56</f>
        <v>38018</v>
      </c>
      <c r="C48" s="250">
        <f>'PJM Curve Simulation'!J56</f>
        <v>36.824998474121088</v>
      </c>
      <c r="D48" s="250">
        <f t="shared" si="1"/>
        <v>46.815143483683904</v>
      </c>
      <c r="F48" s="250">
        <f>('Fuel Curve Simulation'!J56*'Revenues &amp; Expenses'!$S$2/1000)</f>
        <v>44.580335689655186</v>
      </c>
      <c r="G48" s="250">
        <f>'Revenues &amp; Expenses'!$AM$5*1000*'Revenues &amp; Expenses'!O56</f>
        <v>2.2348077940287174</v>
      </c>
      <c r="H48" s="247">
        <f t="shared" si="12"/>
        <v>39</v>
      </c>
      <c r="I48" s="247">
        <f t="shared" si="2"/>
        <v>0</v>
      </c>
      <c r="J48" s="247">
        <v>315</v>
      </c>
      <c r="K48" s="391">
        <f>IF(I48&gt;0,J48*'Revenues &amp; Expenses'!F56*16,0)</f>
        <v>0</v>
      </c>
      <c r="L48" s="540">
        <f>K48*'Revenues &amp; Expenses'!N56</f>
        <v>0</v>
      </c>
      <c r="M48" s="391"/>
      <c r="N48" s="391"/>
      <c r="AC48" s="637">
        <f t="shared" si="4"/>
        <v>38018</v>
      </c>
      <c r="AD48" s="465">
        <f t="shared" si="11"/>
        <v>39</v>
      </c>
      <c r="AE48" s="465">
        <f t="shared" si="5"/>
        <v>0</v>
      </c>
      <c r="AF48" s="465">
        <f t="shared" si="6"/>
        <v>0</v>
      </c>
      <c r="AG48" s="640">
        <f t="shared" si="7"/>
        <v>0</v>
      </c>
      <c r="AJ48" s="465">
        <f t="shared" si="8"/>
        <v>0</v>
      </c>
      <c r="AK48" s="646">
        <f t="shared" si="0"/>
        <v>0</v>
      </c>
    </row>
    <row r="49" spans="1:38">
      <c r="A49" s="250">
        <v>32.290774677906036</v>
      </c>
      <c r="B49" s="248">
        <f>'Revenues &amp; Expenses'!AX57</f>
        <v>38047</v>
      </c>
      <c r="C49" s="250">
        <f>'PJM Curve Simulation'!J57</f>
        <v>26.550000762939455</v>
      </c>
      <c r="D49" s="250">
        <f t="shared" si="1"/>
        <v>45.829179594001793</v>
      </c>
      <c r="F49" s="250">
        <f>('Fuel Curve Simulation'!J57*'Revenues &amp; Expenses'!$S$2/1000)</f>
        <v>43.589404655172423</v>
      </c>
      <c r="G49" s="250">
        <f>'Revenues &amp; Expenses'!$AM$5*1000*'Revenues &amp; Expenses'!O57</f>
        <v>2.2397749388293673</v>
      </c>
      <c r="H49" s="247">
        <f t="shared" si="12"/>
        <v>40</v>
      </c>
      <c r="I49" s="247">
        <f t="shared" si="2"/>
        <v>0</v>
      </c>
      <c r="J49" s="247">
        <v>315</v>
      </c>
      <c r="K49" s="391">
        <f>IF(I49&gt;0,J49*'Revenues &amp; Expenses'!F57*16,0)</f>
        <v>0</v>
      </c>
      <c r="L49" s="540">
        <f>K49*'Revenues &amp; Expenses'!N57</f>
        <v>0</v>
      </c>
      <c r="M49" s="391"/>
      <c r="N49" s="391"/>
      <c r="AC49" s="637">
        <f t="shared" si="4"/>
        <v>38047</v>
      </c>
      <c r="AD49" s="465">
        <f t="shared" si="11"/>
        <v>40</v>
      </c>
      <c r="AE49" s="465">
        <f t="shared" si="5"/>
        <v>0</v>
      </c>
      <c r="AF49" s="465">
        <f t="shared" si="6"/>
        <v>0</v>
      </c>
      <c r="AG49" s="640">
        <f t="shared" si="7"/>
        <v>0</v>
      </c>
      <c r="AJ49" s="465">
        <f t="shared" si="8"/>
        <v>0</v>
      </c>
      <c r="AK49" s="646">
        <f t="shared" si="0"/>
        <v>0</v>
      </c>
    </row>
    <row r="50" spans="1:38">
      <c r="A50" s="250">
        <v>29.86208816014706</v>
      </c>
      <c r="B50" s="248">
        <f>'Revenues &amp; Expenses'!AX58</f>
        <v>38078</v>
      </c>
      <c r="C50" s="250">
        <f>'PJM Curve Simulation'!J58</f>
        <v>26.325000762939453</v>
      </c>
      <c r="D50" s="250">
        <f t="shared" si="1"/>
        <v>44.821756572017485</v>
      </c>
      <c r="F50" s="250">
        <f>('Fuel Curve Simulation'!J58*'Revenues &amp; Expenses'!$S$2/1000)</f>
        <v>42.57700344827586</v>
      </c>
      <c r="G50" s="250">
        <f>'Revenues &amp; Expenses'!$AM$5*1000*'Revenues &amp; Expenses'!O58</f>
        <v>2.2447531237416265</v>
      </c>
      <c r="H50" s="247">
        <f t="shared" si="12"/>
        <v>41</v>
      </c>
      <c r="I50" s="247">
        <f t="shared" si="2"/>
        <v>0</v>
      </c>
      <c r="J50" s="247">
        <v>315</v>
      </c>
      <c r="K50" s="391">
        <f>IF(I50&gt;0,J50*'Revenues &amp; Expenses'!F58*16,0)</f>
        <v>0</v>
      </c>
      <c r="L50" s="540">
        <f>K50*'Revenues &amp; Expenses'!N58</f>
        <v>0</v>
      </c>
      <c r="M50" s="391"/>
      <c r="N50" s="391"/>
      <c r="AC50" s="637">
        <f t="shared" si="4"/>
        <v>38078</v>
      </c>
      <c r="AD50" s="465">
        <f t="shared" si="11"/>
        <v>41</v>
      </c>
      <c r="AE50" s="465">
        <f t="shared" si="5"/>
        <v>0</v>
      </c>
      <c r="AF50" s="465">
        <f t="shared" si="6"/>
        <v>0</v>
      </c>
      <c r="AG50" s="640">
        <f t="shared" si="7"/>
        <v>0</v>
      </c>
      <c r="AJ50" s="465">
        <f t="shared" si="8"/>
        <v>0</v>
      </c>
      <c r="AK50" s="646">
        <f t="shared" si="0"/>
        <v>0</v>
      </c>
    </row>
    <row r="51" spans="1:38">
      <c r="A51" s="250">
        <v>34.388716160242168</v>
      </c>
      <c r="B51" s="248">
        <f>'Revenues &amp; Expenses'!AX59</f>
        <v>38108</v>
      </c>
      <c r="C51" s="250">
        <f>'PJM Curve Simulation'!J59</f>
        <v>31.324999999999999</v>
      </c>
      <c r="D51" s="250">
        <f t="shared" si="1"/>
        <v>44.124836338820785</v>
      </c>
      <c r="F51" s="250">
        <f>('Fuel Curve Simulation'!J59*'Revenues &amp; Expenses'!$S$2/1000)</f>
        <v>41.875093965517237</v>
      </c>
      <c r="G51" s="250">
        <f>'Revenues &amp; Expenses'!$AM$5*1000*'Revenues &amp; Expenses'!O59</f>
        <v>2.2497423733035484</v>
      </c>
      <c r="H51" s="247">
        <f t="shared" si="12"/>
        <v>42</v>
      </c>
      <c r="I51" s="247">
        <f t="shared" si="2"/>
        <v>0</v>
      </c>
      <c r="J51" s="247">
        <v>315</v>
      </c>
      <c r="K51" s="391">
        <f>IF(I51&gt;0,J51*'Revenues &amp; Expenses'!F59*16,0)</f>
        <v>0</v>
      </c>
      <c r="L51" s="540">
        <f>K51*'Revenues &amp; Expenses'!N59</f>
        <v>0</v>
      </c>
      <c r="M51" s="391"/>
      <c r="N51" s="391"/>
      <c r="AC51" s="637">
        <f t="shared" si="4"/>
        <v>38108</v>
      </c>
      <c r="AD51" s="465">
        <f t="shared" si="11"/>
        <v>42</v>
      </c>
      <c r="AE51" s="465">
        <f t="shared" si="5"/>
        <v>0</v>
      </c>
      <c r="AF51" s="465">
        <f t="shared" si="6"/>
        <v>0</v>
      </c>
      <c r="AG51" s="640">
        <f t="shared" si="7"/>
        <v>0</v>
      </c>
      <c r="AJ51" s="465">
        <f t="shared" si="8"/>
        <v>0</v>
      </c>
      <c r="AK51" s="646">
        <f t="shared" si="0"/>
        <v>0</v>
      </c>
    </row>
    <row r="52" spans="1:38">
      <c r="A52" s="250">
        <v>68.608854385194874</v>
      </c>
      <c r="B52" s="248">
        <f>'Revenues &amp; Expenses'!AX60</f>
        <v>38139</v>
      </c>
      <c r="C52" s="250">
        <f>'PJM Curve Simulation'!J60</f>
        <v>55.599998474121094</v>
      </c>
      <c r="D52" s="250">
        <f t="shared" si="1"/>
        <v>44.025788919004292</v>
      </c>
      <c r="F52" s="250">
        <f>('Fuel Curve Simulation'!J60*'Revenues &amp; Expenses'!$S$2/1000)</f>
        <v>41.771046206896564</v>
      </c>
      <c r="G52" s="250">
        <f>'Revenues &amp; Expenses'!$AM$5*1000*'Revenues &amp; Expenses'!O60</f>
        <v>2.2547427121077246</v>
      </c>
      <c r="H52" s="247">
        <f t="shared" si="12"/>
        <v>43</v>
      </c>
      <c r="I52" s="247">
        <f t="shared" si="2"/>
        <v>1</v>
      </c>
      <c r="J52" s="247">
        <v>315</v>
      </c>
      <c r="K52" s="391">
        <f>IF(I52&gt;0,J52*'Revenues &amp; Expenses'!F60*16,0)</f>
        <v>110880</v>
      </c>
      <c r="L52" s="540">
        <f>K52*'Revenues &amp; Expenses'!N60</f>
        <v>81160.748377933021</v>
      </c>
      <c r="M52" s="391"/>
      <c r="N52" s="391"/>
      <c r="AC52" s="637">
        <f t="shared" si="4"/>
        <v>38139</v>
      </c>
      <c r="AD52" s="465">
        <f t="shared" si="11"/>
        <v>43</v>
      </c>
      <c r="AE52" s="465">
        <f t="shared" si="5"/>
        <v>4512537.4859716017</v>
      </c>
      <c r="AF52" s="465">
        <f t="shared" si="6"/>
        <v>81160.748377933021</v>
      </c>
      <c r="AG52" s="640">
        <f t="shared" si="7"/>
        <v>55.599998474121087</v>
      </c>
      <c r="AJ52" s="465">
        <f t="shared" si="8"/>
        <v>3573165.9765952993</v>
      </c>
      <c r="AK52" s="646">
        <f t="shared" si="0"/>
        <v>44.025788919004292</v>
      </c>
    </row>
    <row r="53" spans="1:38">
      <c r="A53" s="250">
        <v>124.01905735811776</v>
      </c>
      <c r="B53" s="248">
        <f>'Revenues &amp; Expenses'!AX61</f>
        <v>38169</v>
      </c>
      <c r="C53" s="250">
        <f>'PJM Curve Simulation'!J61</f>
        <v>94.449996948242188</v>
      </c>
      <c r="D53" s="250">
        <f t="shared" si="1"/>
        <v>44.516356578594518</v>
      </c>
      <c r="F53" s="250">
        <f>('Fuel Curve Simulation'!J61*'Revenues &amp; Expenses'!$S$2/1000)</f>
        <v>42.256602413793111</v>
      </c>
      <c r="G53" s="250">
        <f>'Revenues &amp; Expenses'!$AM$5*1000*'Revenues &amp; Expenses'!O61</f>
        <v>2.2597541648014081</v>
      </c>
      <c r="H53" s="247">
        <f t="shared" si="12"/>
        <v>44</v>
      </c>
      <c r="I53" s="247">
        <f t="shared" si="2"/>
        <v>1</v>
      </c>
      <c r="J53" s="247">
        <v>315</v>
      </c>
      <c r="K53" s="391">
        <f>IF(I53&gt;0,J53*'Revenues &amp; Expenses'!F61*16,0)</f>
        <v>110880</v>
      </c>
      <c r="L53" s="540">
        <f>K53*'Revenues &amp; Expenses'!N61</f>
        <v>80665.83385705961</v>
      </c>
      <c r="M53" s="391"/>
      <c r="N53" s="391"/>
      <c r="AC53" s="637">
        <f t="shared" si="4"/>
        <v>38169</v>
      </c>
      <c r="AD53" s="465">
        <f t="shared" si="11"/>
        <v>44</v>
      </c>
      <c r="AE53" s="465">
        <f t="shared" si="5"/>
        <v>7618887.7616266916</v>
      </c>
      <c r="AF53" s="465">
        <f t="shared" si="6"/>
        <v>80665.83385705961</v>
      </c>
      <c r="AG53" s="640">
        <f t="shared" si="7"/>
        <v>94.449996948242188</v>
      </c>
      <c r="AJ53" s="465">
        <f t="shared" si="8"/>
        <v>3590949.0236905278</v>
      </c>
      <c r="AK53" s="646">
        <f t="shared" si="0"/>
        <v>44.516356578594518</v>
      </c>
    </row>
    <row r="54" spans="1:38">
      <c r="A54" s="250">
        <v>99.966830382880772</v>
      </c>
      <c r="B54" s="248">
        <f>'Revenues &amp; Expenses'!AX62</f>
        <v>38200</v>
      </c>
      <c r="C54" s="250">
        <f>'PJM Curve Simulation'!J62</f>
        <v>81.449996948242188</v>
      </c>
      <c r="D54" s="250">
        <f t="shared" si="1"/>
        <v>45.333942618155604</v>
      </c>
      <c r="F54" s="250">
        <f>('Fuel Curve Simulation'!J62*'Revenues &amp; Expenses'!$S$2/1000)</f>
        <v>43.069165862068971</v>
      </c>
      <c r="G54" s="250">
        <f>'Revenues &amp; Expenses'!$AM$5*1000*'Revenues &amp; Expenses'!O62</f>
        <v>2.2647767560866328</v>
      </c>
      <c r="H54" s="247">
        <f t="shared" si="12"/>
        <v>45</v>
      </c>
      <c r="I54" s="247">
        <f t="shared" si="2"/>
        <v>1</v>
      </c>
      <c r="J54" s="247">
        <v>315</v>
      </c>
      <c r="K54" s="391">
        <f>IF(I54&gt;0,J54*'Revenues &amp; Expenses'!F62*16,0)</f>
        <v>110880</v>
      </c>
      <c r="L54" s="540">
        <f>K54*'Revenues &amp; Expenses'!N62</f>
        <v>80156.833065075858</v>
      </c>
      <c r="M54" s="391"/>
      <c r="N54" s="391"/>
      <c r="AC54" s="637">
        <f t="shared" si="4"/>
        <v>38200</v>
      </c>
      <c r="AD54" s="465">
        <f t="shared" si="11"/>
        <v>45</v>
      </c>
      <c r="AE54" s="465">
        <f t="shared" si="5"/>
        <v>6528773.8085311875</v>
      </c>
      <c r="AF54" s="465">
        <f t="shared" si="6"/>
        <v>80156.833065075858</v>
      </c>
      <c r="AG54" s="640">
        <f t="shared" si="7"/>
        <v>81.449996948242188</v>
      </c>
      <c r="AJ54" s="465">
        <f t="shared" si="8"/>
        <v>3633825.2706252267</v>
      </c>
      <c r="AK54" s="646">
        <f t="shared" si="0"/>
        <v>45.333942618155604</v>
      </c>
    </row>
    <row r="55" spans="1:38">
      <c r="A55" s="250">
        <v>38.6083121920515</v>
      </c>
      <c r="B55" s="248">
        <f>'Revenues &amp; Expenses'!AX63</f>
        <v>38231</v>
      </c>
      <c r="C55" s="250">
        <f>'PJM Curve Simulation'!J63</f>
        <v>33.424998474121097</v>
      </c>
      <c r="D55" s="250">
        <f t="shared" si="1"/>
        <v>46.199434821065168</v>
      </c>
      <c r="F55" s="250">
        <f>('Fuel Curve Simulation'!J63*'Revenues &amp; Expenses'!$S$2/1000)</f>
        <v>43.929624310344835</v>
      </c>
      <c r="G55" s="250">
        <f>'Revenues &amp; Expenses'!$AM$5*1000*'Revenues &amp; Expenses'!O63</f>
        <v>2.2698105107203368</v>
      </c>
      <c r="H55" s="247">
        <f t="shared" si="12"/>
        <v>46</v>
      </c>
      <c r="I55" s="247">
        <f t="shared" si="2"/>
        <v>0</v>
      </c>
      <c r="J55" s="247">
        <v>315</v>
      </c>
      <c r="K55" s="391">
        <f>IF(I55&gt;0,J55*'Revenues &amp; Expenses'!F63*16,0)</f>
        <v>0</v>
      </c>
      <c r="L55" s="540">
        <f>K55*'Revenues &amp; Expenses'!N63</f>
        <v>0</v>
      </c>
      <c r="M55" s="391"/>
      <c r="N55" s="391"/>
      <c r="AC55" s="637">
        <f t="shared" si="4"/>
        <v>38231</v>
      </c>
      <c r="AD55" s="465">
        <f t="shared" si="11"/>
        <v>46</v>
      </c>
      <c r="AE55" s="465">
        <f t="shared" si="5"/>
        <v>0</v>
      </c>
      <c r="AF55" s="465">
        <f t="shared" si="6"/>
        <v>0</v>
      </c>
      <c r="AG55" s="640">
        <f t="shared" si="7"/>
        <v>0</v>
      </c>
      <c r="AJ55" s="465">
        <f t="shared" si="8"/>
        <v>0</v>
      </c>
      <c r="AK55" s="646">
        <f t="shared" si="0"/>
        <v>0</v>
      </c>
    </row>
    <row r="56" spans="1:38">
      <c r="A56" s="250">
        <v>31.805679823122031</v>
      </c>
      <c r="B56" s="248">
        <f>'Revenues &amp; Expenses'!AX64</f>
        <v>38261</v>
      </c>
      <c r="C56" s="250">
        <f>'PJM Curve Simulation'!J64</f>
        <v>27.075000381469728</v>
      </c>
      <c r="D56" s="250">
        <f t="shared" si="1"/>
        <v>47.03686183282484</v>
      </c>
      <c r="F56" s="250">
        <f>('Fuel Curve Simulation'!J64*'Revenues &amp; Expenses'!$S$2/1000)</f>
        <v>44.762006379310357</v>
      </c>
      <c r="G56" s="250">
        <f>'Revenues &amp; Expenses'!$AM$5*1000*'Revenues &amp; Expenses'!O64</f>
        <v>2.274855453514482</v>
      </c>
      <c r="H56" s="247">
        <f t="shared" si="12"/>
        <v>47</v>
      </c>
      <c r="I56" s="247">
        <f t="shared" si="2"/>
        <v>0</v>
      </c>
      <c r="J56" s="247">
        <v>315</v>
      </c>
      <c r="K56" s="391">
        <f>IF(I56&gt;0,J56*'Revenues &amp; Expenses'!F64*16,0)</f>
        <v>0</v>
      </c>
      <c r="L56" s="540">
        <f>K56*'Revenues &amp; Expenses'!N64</f>
        <v>0</v>
      </c>
      <c r="M56" s="391"/>
      <c r="N56" s="391"/>
      <c r="AC56" s="637">
        <f t="shared" si="4"/>
        <v>38261</v>
      </c>
      <c r="AD56" s="465">
        <f t="shared" si="11"/>
        <v>47</v>
      </c>
      <c r="AE56" s="465">
        <f t="shared" si="5"/>
        <v>0</v>
      </c>
      <c r="AF56" s="465">
        <f t="shared" si="6"/>
        <v>0</v>
      </c>
      <c r="AG56" s="640">
        <f t="shared" si="7"/>
        <v>0</v>
      </c>
      <c r="AJ56" s="465">
        <f t="shared" si="8"/>
        <v>0</v>
      </c>
      <c r="AK56" s="646">
        <f t="shared" si="0"/>
        <v>0</v>
      </c>
    </row>
    <row r="57" spans="1:38">
      <c r="A57" s="250">
        <v>31.851590597267155</v>
      </c>
      <c r="B57" s="248">
        <f>'Revenues &amp; Expenses'!AX65</f>
        <v>38292</v>
      </c>
      <c r="C57" s="250">
        <f>'PJM Curve Simulation'!J65</f>
        <v>26.747499084472658</v>
      </c>
      <c r="D57" s="250">
        <f t="shared" si="1"/>
        <v>47.846223678301698</v>
      </c>
      <c r="F57" s="250">
        <f>('Fuel Curve Simulation'!J65*'Revenues &amp; Expenses'!$S$2/1000)</f>
        <v>45.566312068965516</v>
      </c>
      <c r="G57" s="250">
        <f>'Revenues &amp; Expenses'!$AM$5*1000*'Revenues &amp; Expenses'!O65</f>
        <v>2.2799116093361809</v>
      </c>
      <c r="H57" s="247">
        <f t="shared" si="12"/>
        <v>48</v>
      </c>
      <c r="I57" s="247">
        <f t="shared" si="2"/>
        <v>0</v>
      </c>
      <c r="J57" s="247">
        <v>315</v>
      </c>
      <c r="K57" s="391">
        <f>IF(I57&gt;0,J57*'Revenues &amp; Expenses'!F65*16,0)</f>
        <v>0</v>
      </c>
      <c r="L57" s="540">
        <f>K57*'Revenues &amp; Expenses'!N65</f>
        <v>0</v>
      </c>
      <c r="M57" s="391"/>
      <c r="N57" s="391"/>
      <c r="AC57" s="637">
        <f t="shared" si="4"/>
        <v>38292</v>
      </c>
      <c r="AD57" s="465">
        <f t="shared" si="11"/>
        <v>48</v>
      </c>
      <c r="AE57" s="465">
        <f t="shared" si="5"/>
        <v>0</v>
      </c>
      <c r="AF57" s="465">
        <f t="shared" si="6"/>
        <v>0</v>
      </c>
      <c r="AG57" s="640">
        <f t="shared" si="7"/>
        <v>0</v>
      </c>
      <c r="AJ57" s="465">
        <f t="shared" si="8"/>
        <v>0</v>
      </c>
      <c r="AK57" s="646">
        <f t="shared" si="0"/>
        <v>0</v>
      </c>
    </row>
    <row r="58" spans="1:38">
      <c r="A58" s="250">
        <v>34.369970413352533</v>
      </c>
      <c r="B58" s="248">
        <f>'Revenues &amp; Expenses'!AX66</f>
        <v>38322</v>
      </c>
      <c r="C58" s="250">
        <f>'PJM Curve Simulation'!J66</f>
        <v>28.499999618530275</v>
      </c>
      <c r="D58" s="250">
        <f t="shared" si="1"/>
        <v>48.217935554831968</v>
      </c>
      <c r="F58" s="250">
        <f>('Fuel Curve Simulation'!J66*'Revenues &amp; Expenses'!$S$2/1000)</f>
        <v>45.932956551724153</v>
      </c>
      <c r="G58" s="250">
        <f>'Revenues &amp; Expenses'!$AM$5*1000*'Revenues &amp; Expenses'!O66</f>
        <v>2.284979003107813</v>
      </c>
      <c r="H58" s="247">
        <f t="shared" si="12"/>
        <v>49</v>
      </c>
      <c r="I58" s="247">
        <f t="shared" si="2"/>
        <v>0</v>
      </c>
      <c r="J58" s="247">
        <v>315</v>
      </c>
      <c r="K58" s="391">
        <f>IF(I58&gt;0,J58*'Revenues &amp; Expenses'!F66*16,0)</f>
        <v>0</v>
      </c>
      <c r="L58" s="540">
        <f>K58*'Revenues &amp; Expenses'!N66</f>
        <v>0</v>
      </c>
      <c r="M58" s="391">
        <f>SUM(L47:L58)</f>
        <v>241983.4153000685</v>
      </c>
      <c r="N58" s="391">
        <f>SUM(K47:K58)</f>
        <v>332640</v>
      </c>
      <c r="AC58" s="637">
        <f t="shared" si="4"/>
        <v>38322</v>
      </c>
      <c r="AD58" s="465">
        <f t="shared" si="11"/>
        <v>49</v>
      </c>
      <c r="AE58" s="465">
        <f t="shared" si="5"/>
        <v>0</v>
      </c>
      <c r="AF58" s="465">
        <f t="shared" si="6"/>
        <v>0</v>
      </c>
      <c r="AG58" s="640">
        <f t="shared" si="7"/>
        <v>0</v>
      </c>
      <c r="AH58" s="640">
        <f>IF(SUM(AF47:AF58)=0,0,SUM(AE47:AE58)/SUM(AF47:AF58))</f>
        <v>77.113545293962133</v>
      </c>
      <c r="AJ58" s="465">
        <f t="shared" si="8"/>
        <v>0</v>
      </c>
      <c r="AK58" s="646">
        <f t="shared" si="0"/>
        <v>0</v>
      </c>
      <c r="AL58" s="646">
        <f>IF(SUM(AF47:AF58)=0,0,SUM(AJ47:AJ58)/SUM(AF47:AF58))</f>
        <v>44.622645967374261</v>
      </c>
    </row>
    <row r="59" spans="1:38">
      <c r="A59" s="250">
        <v>45.768575620861604</v>
      </c>
      <c r="B59" s="248">
        <f>'Revenues &amp; Expenses'!AX67</f>
        <v>38353</v>
      </c>
      <c r="C59" s="250">
        <f>'PJM Curve Simulation'!J67</f>
        <v>37.324998474121088</v>
      </c>
      <c r="D59" s="250">
        <f t="shared" si="1"/>
        <v>47.641668004634745</v>
      </c>
      <c r="F59" s="250">
        <f>('Fuel Curve Simulation'!J67*'Revenues &amp; Expenses'!$S$2/1000)</f>
        <v>45.351610344827591</v>
      </c>
      <c r="G59" s="250">
        <f>'Revenues &amp; Expenses'!$AM$5*1000*'Revenues &amp; Expenses'!O67</f>
        <v>2.2900576598071534</v>
      </c>
      <c r="H59" s="247">
        <f t="shared" si="12"/>
        <v>50</v>
      </c>
      <c r="I59" s="247">
        <f t="shared" si="2"/>
        <v>0</v>
      </c>
      <c r="J59" s="247">
        <v>315</v>
      </c>
      <c r="K59" s="391">
        <f>IF(I59&gt;0,J59*'Revenues &amp; Expenses'!F67*16,0)</f>
        <v>0</v>
      </c>
      <c r="L59" s="540">
        <f>K59*'Revenues &amp; Expenses'!N67</f>
        <v>0</v>
      </c>
      <c r="M59" s="391"/>
      <c r="N59" s="391"/>
      <c r="AC59" s="637">
        <f t="shared" si="4"/>
        <v>38353</v>
      </c>
      <c r="AD59" s="465">
        <f t="shared" si="11"/>
        <v>50</v>
      </c>
      <c r="AE59" s="465">
        <f t="shared" si="5"/>
        <v>0</v>
      </c>
      <c r="AF59" s="465">
        <f t="shared" si="6"/>
        <v>0</v>
      </c>
      <c r="AG59" s="640">
        <f t="shared" si="7"/>
        <v>0</v>
      </c>
      <c r="AJ59" s="465">
        <f t="shared" si="8"/>
        <v>0</v>
      </c>
      <c r="AK59" s="646">
        <f t="shared" si="0"/>
        <v>0</v>
      </c>
    </row>
    <row r="60" spans="1:38">
      <c r="A60" s="250">
        <v>45.768575620861604</v>
      </c>
      <c r="B60" s="248">
        <f>'Revenues &amp; Expenses'!AX68</f>
        <v>38384</v>
      </c>
      <c r="C60" s="250">
        <f>'PJM Curve Simulation'!J68</f>
        <v>37.324998474121088</v>
      </c>
      <c r="D60" s="250">
        <f t="shared" si="1"/>
        <v>46.660781569984742</v>
      </c>
      <c r="F60" s="250">
        <f>('Fuel Curve Simulation'!J68*'Revenues &amp; Expenses'!$S$2/1000)</f>
        <v>44.365633965517247</v>
      </c>
      <c r="G60" s="250">
        <f>'Revenues &amp; Expenses'!$AM$5*1000*'Revenues &amp; Expenses'!O68</f>
        <v>2.2951476044674926</v>
      </c>
      <c r="H60" s="247">
        <f t="shared" si="12"/>
        <v>51</v>
      </c>
      <c r="I60" s="247">
        <f t="shared" si="2"/>
        <v>0</v>
      </c>
      <c r="J60" s="247">
        <v>315</v>
      </c>
      <c r="K60" s="391">
        <f>IF(I60&gt;0,J60*'Revenues &amp; Expenses'!F68*16,0)</f>
        <v>0</v>
      </c>
      <c r="L60" s="540">
        <f>K60*'Revenues &amp; Expenses'!N68</f>
        <v>0</v>
      </c>
      <c r="M60" s="391"/>
      <c r="N60" s="391"/>
      <c r="AC60" s="637">
        <f t="shared" si="4"/>
        <v>38384</v>
      </c>
      <c r="AD60" s="465">
        <f t="shared" si="11"/>
        <v>51</v>
      </c>
      <c r="AE60" s="465">
        <f t="shared" si="5"/>
        <v>0</v>
      </c>
      <c r="AF60" s="465">
        <f t="shared" si="6"/>
        <v>0</v>
      </c>
      <c r="AG60" s="640">
        <f t="shared" si="7"/>
        <v>0</v>
      </c>
      <c r="AJ60" s="465">
        <f t="shared" si="8"/>
        <v>0</v>
      </c>
      <c r="AK60" s="646">
        <f t="shared" si="0"/>
        <v>0</v>
      </c>
    </row>
    <row r="61" spans="1:38">
      <c r="A61" s="250">
        <v>32.898887177906033</v>
      </c>
      <c r="B61" s="248">
        <f>'Revenues &amp; Expenses'!AX69</f>
        <v>38412</v>
      </c>
      <c r="C61" s="250">
        <f>'PJM Curve Simulation'!J69</f>
        <v>27.050000762939455</v>
      </c>
      <c r="D61" s="250">
        <f t="shared" si="1"/>
        <v>45.694770413901907</v>
      </c>
      <c r="F61" s="250">
        <f>('Fuel Curve Simulation'!J69*'Revenues &amp; Expenses'!$S$2/1000)</f>
        <v>43.394521551724146</v>
      </c>
      <c r="G61" s="250">
        <f>'Revenues &amp; Expenses'!$AM$5*1000*'Revenues &amp; Expenses'!O69</f>
        <v>2.3002488621777601</v>
      </c>
      <c r="H61" s="247">
        <f t="shared" si="12"/>
        <v>52</v>
      </c>
      <c r="I61" s="247">
        <f t="shared" si="2"/>
        <v>0</v>
      </c>
      <c r="J61" s="247">
        <v>315</v>
      </c>
      <c r="K61" s="391">
        <f>IF(I61&gt;0,J61*'Revenues &amp; Expenses'!F69*16,0)</f>
        <v>0</v>
      </c>
      <c r="L61" s="540">
        <f>K61*'Revenues &amp; Expenses'!N69</f>
        <v>0</v>
      </c>
      <c r="M61" s="391"/>
      <c r="N61" s="391"/>
      <c r="AC61" s="637">
        <f t="shared" si="4"/>
        <v>38412</v>
      </c>
      <c r="AD61" s="465">
        <f t="shared" si="11"/>
        <v>52</v>
      </c>
      <c r="AE61" s="465">
        <f t="shared" si="5"/>
        <v>0</v>
      </c>
      <c r="AF61" s="465">
        <f t="shared" si="6"/>
        <v>0</v>
      </c>
      <c r="AG61" s="640">
        <f t="shared" si="7"/>
        <v>0</v>
      </c>
      <c r="AJ61" s="465">
        <f t="shared" si="8"/>
        <v>0</v>
      </c>
      <c r="AK61" s="646">
        <f t="shared" si="0"/>
        <v>0</v>
      </c>
    </row>
    <row r="62" spans="1:38">
      <c r="A62" s="250">
        <v>30.429269305345489</v>
      </c>
      <c r="B62" s="248">
        <f>'Revenues &amp; Expenses'!AX70</f>
        <v>38443</v>
      </c>
      <c r="C62" s="250">
        <f>'PJM Curve Simulation'!J70</f>
        <v>26.825000762939453</v>
      </c>
      <c r="D62" s="250">
        <f t="shared" si="1"/>
        <v>44.70069421670334</v>
      </c>
      <c r="F62" s="250">
        <f>('Fuel Curve Simulation'!J70*'Revenues &amp; Expenses'!$S$2/1000)</f>
        <v>42.39533275862069</v>
      </c>
      <c r="G62" s="250">
        <f>'Revenues &amp; Expenses'!$AM$5*1000*'Revenues &amp; Expenses'!O70</f>
        <v>2.3053614580826505</v>
      </c>
      <c r="H62" s="247">
        <f t="shared" si="12"/>
        <v>53</v>
      </c>
      <c r="I62" s="247">
        <f t="shared" si="2"/>
        <v>0</v>
      </c>
      <c r="J62" s="247">
        <v>315</v>
      </c>
      <c r="K62" s="391">
        <f>IF(I62&gt;0,J62*'Revenues &amp; Expenses'!F70*16,0)</f>
        <v>0</v>
      </c>
      <c r="L62" s="540">
        <f>K62*'Revenues &amp; Expenses'!N70</f>
        <v>0</v>
      </c>
      <c r="M62" s="391"/>
      <c r="N62" s="391"/>
      <c r="AC62" s="637">
        <f t="shared" si="4"/>
        <v>38443</v>
      </c>
      <c r="AD62" s="465">
        <f t="shared" si="11"/>
        <v>53</v>
      </c>
      <c r="AE62" s="465">
        <f t="shared" si="5"/>
        <v>0</v>
      </c>
      <c r="AF62" s="465">
        <f t="shared" si="6"/>
        <v>0</v>
      </c>
      <c r="AG62" s="640">
        <f t="shared" si="7"/>
        <v>0</v>
      </c>
      <c r="AJ62" s="465">
        <f t="shared" si="8"/>
        <v>0</v>
      </c>
      <c r="AK62" s="646">
        <f t="shared" si="0"/>
        <v>0</v>
      </c>
    </row>
    <row r="63" spans="1:38">
      <c r="A63" s="250">
        <v>34.937618253781551</v>
      </c>
      <c r="B63" s="248">
        <f>'Revenues &amp; Expenses'!AX71</f>
        <v>38473</v>
      </c>
      <c r="C63" s="250">
        <f>'PJM Curve Simulation'!J71</f>
        <v>31.824999999999999</v>
      </c>
      <c r="D63" s="250">
        <f t="shared" si="1"/>
        <v>44.020424210486198</v>
      </c>
      <c r="F63" s="250">
        <f>('Fuel Curve Simulation'!J71*'Revenues &amp; Expenses'!$S$2/1000)</f>
        <v>41.709938793103454</v>
      </c>
      <c r="G63" s="250">
        <f>'Revenues &amp; Expenses'!$AM$5*1000*'Revenues &amp; Expenses'!O71</f>
        <v>2.3104854173827438</v>
      </c>
      <c r="H63" s="247">
        <f t="shared" si="12"/>
        <v>54</v>
      </c>
      <c r="I63" s="247">
        <f t="shared" si="2"/>
        <v>0</v>
      </c>
      <c r="J63" s="247">
        <v>315</v>
      </c>
      <c r="K63" s="391">
        <f>IF(I63&gt;0,J63*'Revenues &amp; Expenses'!F71*16,0)</f>
        <v>0</v>
      </c>
      <c r="L63" s="540">
        <f>K63*'Revenues &amp; Expenses'!N71</f>
        <v>0</v>
      </c>
      <c r="M63" s="391"/>
      <c r="N63" s="391"/>
      <c r="AC63" s="637">
        <f t="shared" si="4"/>
        <v>38473</v>
      </c>
      <c r="AD63" s="465">
        <f t="shared" si="11"/>
        <v>54</v>
      </c>
      <c r="AE63" s="465">
        <f t="shared" si="5"/>
        <v>0</v>
      </c>
      <c r="AF63" s="465">
        <f t="shared" si="6"/>
        <v>0</v>
      </c>
      <c r="AG63" s="640">
        <f t="shared" si="7"/>
        <v>0</v>
      </c>
      <c r="AJ63" s="465">
        <f t="shared" si="8"/>
        <v>0</v>
      </c>
      <c r="AK63" s="646">
        <f t="shared" si="0"/>
        <v>0</v>
      </c>
    </row>
    <row r="64" spans="1:38">
      <c r="A64" s="250">
        <v>69.534333561473005</v>
      </c>
      <c r="B64" s="248">
        <f>'Revenues &amp; Expenses'!AX72</f>
        <v>38504</v>
      </c>
      <c r="C64" s="250">
        <f>'PJM Curve Simulation'!J72</f>
        <v>56.349998474121094</v>
      </c>
      <c r="D64" s="250">
        <f t="shared" si="1"/>
        <v>43.928118006713952</v>
      </c>
      <c r="F64" s="250">
        <f>('Fuel Curve Simulation'!J72*'Revenues &amp; Expenses'!$S$2/1000)</f>
        <v>41.612497241379316</v>
      </c>
      <c r="G64" s="250">
        <f>'Revenues &amp; Expenses'!$AM$5*1000*'Revenues &amp; Expenses'!O72</f>
        <v>2.315620765334633</v>
      </c>
      <c r="H64" s="247">
        <f t="shared" si="12"/>
        <v>55</v>
      </c>
      <c r="I64" s="247">
        <f t="shared" si="2"/>
        <v>1</v>
      </c>
      <c r="J64" s="247">
        <v>315</v>
      </c>
      <c r="K64" s="391">
        <f>IF(I64&gt;0,J64*'Revenues &amp; Expenses'!F72*16,0)</f>
        <v>105840</v>
      </c>
      <c r="L64" s="540">
        <f>K64*'Revenues &amp; Expenses'!N72</f>
        <v>71907.228415833975</v>
      </c>
      <c r="M64" s="391"/>
      <c r="N64" s="391"/>
      <c r="AC64" s="637">
        <f t="shared" si="4"/>
        <v>38504</v>
      </c>
      <c r="AD64" s="465">
        <f t="shared" si="11"/>
        <v>55</v>
      </c>
      <c r="AE64" s="465">
        <f t="shared" si="5"/>
        <v>4051972.2115105214</v>
      </c>
      <c r="AF64" s="465">
        <f t="shared" si="6"/>
        <v>71907.228415833975</v>
      </c>
      <c r="AG64" s="640">
        <f t="shared" si="7"/>
        <v>56.349998474121094</v>
      </c>
      <c r="AJ64" s="465">
        <f t="shared" si="8"/>
        <v>3158749.2153864894</v>
      </c>
      <c r="AK64" s="646">
        <f t="shared" si="0"/>
        <v>43.928118006713952</v>
      </c>
    </row>
    <row r="65" spans="1:38">
      <c r="A65" s="250">
        <v>125.66038956252852</v>
      </c>
      <c r="B65" s="248">
        <f>'Revenues &amp; Expenses'!AX73</f>
        <v>38534</v>
      </c>
      <c r="C65" s="250">
        <f>'PJM Curve Simulation'!J73</f>
        <v>95.699996948242188</v>
      </c>
      <c r="D65" s="250">
        <f t="shared" si="1"/>
        <v>44.438639596216575</v>
      </c>
      <c r="F65" s="250">
        <f>('Fuel Curve Simulation'!J73*'Revenues &amp; Expenses'!$S$2/1000)</f>
        <v>42.117872068965532</v>
      </c>
      <c r="G65" s="250">
        <f>'Revenues &amp; Expenses'!$AM$5*1000*'Revenues &amp; Expenses'!O73</f>
        <v>2.320767527251046</v>
      </c>
      <c r="H65" s="247">
        <f t="shared" si="12"/>
        <v>56</v>
      </c>
      <c r="I65" s="247">
        <f t="shared" si="2"/>
        <v>1</v>
      </c>
      <c r="J65" s="247">
        <v>315</v>
      </c>
      <c r="K65" s="391">
        <f>IF(I65&gt;0,J65*'Revenues &amp; Expenses'!F73*16,0)</f>
        <v>110880</v>
      </c>
      <c r="L65" s="540">
        <f>K65*'Revenues &amp; Expenses'!N73</f>
        <v>74877.536930598231</v>
      </c>
      <c r="M65" s="391"/>
      <c r="N65" s="391"/>
      <c r="AC65" s="637">
        <f t="shared" si="4"/>
        <v>38534</v>
      </c>
      <c r="AD65" s="465">
        <f t="shared" si="11"/>
        <v>56</v>
      </c>
      <c r="AE65" s="465">
        <f t="shared" si="5"/>
        <v>7165780.0557501428</v>
      </c>
      <c r="AF65" s="465">
        <f t="shared" si="6"/>
        <v>74877.536930598231</v>
      </c>
      <c r="AG65" s="640">
        <f t="shared" si="7"/>
        <v>95.699996948242188</v>
      </c>
      <c r="AJ65" s="465">
        <f t="shared" si="8"/>
        <v>3327455.8775112513</v>
      </c>
      <c r="AK65" s="646">
        <f t="shared" si="0"/>
        <v>44.438639596216575</v>
      </c>
    </row>
    <row r="66" spans="1:38">
      <c r="A66" s="250">
        <v>101.50100524673013</v>
      </c>
      <c r="B66" s="248">
        <f>'Revenues &amp; Expenses'!AX74</f>
        <v>38565</v>
      </c>
      <c r="C66" s="250">
        <f>'PJM Curve Simulation'!J74</f>
        <v>82.699996948242188</v>
      </c>
      <c r="D66" s="250">
        <f t="shared" si="1"/>
        <v>45.276179866432003</v>
      </c>
      <c r="F66" s="250">
        <f>('Fuel Curve Simulation'!J74*'Revenues &amp; Expenses'!$S$2/1000)</f>
        <v>42.950254137931033</v>
      </c>
      <c r="G66" s="250">
        <f>'Revenues &amp; Expenses'!$AM$5*1000*'Revenues &amp; Expenses'!O74</f>
        <v>2.3259257285009718</v>
      </c>
      <c r="H66" s="247">
        <f t="shared" si="12"/>
        <v>57</v>
      </c>
      <c r="I66" s="247">
        <f t="shared" si="2"/>
        <v>1</v>
      </c>
      <c r="J66" s="247">
        <v>315</v>
      </c>
      <c r="K66" s="391">
        <f>IF(I66&gt;0,J66*'Revenues &amp; Expenses'!F74*16,0)</f>
        <v>115920</v>
      </c>
      <c r="L66" s="540">
        <f>K66*'Revenues &amp; Expenses'!N74</f>
        <v>77793.470105122673</v>
      </c>
      <c r="M66" s="391"/>
      <c r="N66" s="391"/>
      <c r="AC66" s="637">
        <f t="shared" si="4"/>
        <v>38565</v>
      </c>
      <c r="AD66" s="465">
        <f t="shared" si="11"/>
        <v>57</v>
      </c>
      <c r="AE66" s="465">
        <f t="shared" si="5"/>
        <v>6433519.740286815</v>
      </c>
      <c r="AF66" s="465">
        <f t="shared" si="6"/>
        <v>77793.470105122673</v>
      </c>
      <c r="AG66" s="640">
        <f t="shared" si="7"/>
        <v>82.699996948242188</v>
      </c>
      <c r="AJ66" s="465">
        <f t="shared" si="8"/>
        <v>3522191.144913435</v>
      </c>
      <c r="AK66" s="646">
        <f t="shared" si="0"/>
        <v>45.276179866432003</v>
      </c>
    </row>
    <row r="67" spans="1:38">
      <c r="A67" s="250">
        <v>39.18584867603883</v>
      </c>
      <c r="B67" s="248">
        <f>'Revenues &amp; Expenses'!AX75</f>
        <v>38596</v>
      </c>
      <c r="C67" s="250">
        <f>'PJM Curve Simulation'!J75</f>
        <v>33.924998474121097</v>
      </c>
      <c r="D67" s="250">
        <f t="shared" si="1"/>
        <v>46.148414187613241</v>
      </c>
      <c r="F67" s="250">
        <f>('Fuel Curve Simulation'!J75*'Revenues &amp; Expenses'!$S$2/1000)</f>
        <v>43.817318793103453</v>
      </c>
      <c r="G67" s="250">
        <f>'Revenues &amp; Expenses'!$AM$5*1000*'Revenues &amp; Expenses'!O75</f>
        <v>2.3310953945097856</v>
      </c>
      <c r="H67" s="247">
        <f t="shared" si="12"/>
        <v>58</v>
      </c>
      <c r="I67" s="247">
        <f t="shared" si="2"/>
        <v>0</v>
      </c>
      <c r="J67" s="247">
        <v>315</v>
      </c>
      <c r="K67" s="391">
        <f>IF(I67&gt;0,J67*'Revenues &amp; Expenses'!F75*16,0)</f>
        <v>0</v>
      </c>
      <c r="L67" s="540">
        <f>K67*'Revenues &amp; Expenses'!N75</f>
        <v>0</v>
      </c>
      <c r="M67" s="391"/>
      <c r="N67" s="391"/>
      <c r="AC67" s="637">
        <f t="shared" si="4"/>
        <v>38596</v>
      </c>
      <c r="AD67" s="465">
        <f t="shared" si="11"/>
        <v>58</v>
      </c>
      <c r="AE67" s="465">
        <f t="shared" si="5"/>
        <v>0</v>
      </c>
      <c r="AF67" s="465">
        <f t="shared" si="6"/>
        <v>0</v>
      </c>
      <c r="AG67" s="640">
        <f t="shared" si="7"/>
        <v>0</v>
      </c>
      <c r="AJ67" s="465">
        <f t="shared" si="8"/>
        <v>0</v>
      </c>
      <c r="AK67" s="646">
        <f t="shared" si="0"/>
        <v>0</v>
      </c>
    </row>
    <row r="68" spans="1:38">
      <c r="A68" s="250">
        <v>32.393042323122025</v>
      </c>
      <c r="B68" s="248">
        <f>'Revenues &amp; Expenses'!AX76</f>
        <v>38626</v>
      </c>
      <c r="C68" s="250">
        <f>'PJM Curve Simulation'!J76</f>
        <v>27.575000381469728</v>
      </c>
      <c r="D68" s="250">
        <f t="shared" si="1"/>
        <v>47.00744758524214</v>
      </c>
      <c r="F68" s="250">
        <f>('Fuel Curve Simulation'!J76*'Revenues &amp; Expenses'!$S$2/1000)</f>
        <v>44.671171034482768</v>
      </c>
      <c r="G68" s="250">
        <f>'Revenues &amp; Expenses'!$AM$5*1000*'Revenues &amp; Expenses'!O76</f>
        <v>2.336276550759373</v>
      </c>
      <c r="H68" s="247">
        <f t="shared" si="12"/>
        <v>59</v>
      </c>
      <c r="I68" s="247">
        <f t="shared" si="2"/>
        <v>0</v>
      </c>
      <c r="J68" s="247">
        <v>315</v>
      </c>
      <c r="K68" s="391">
        <f>IF(I68&gt;0,J68*'Revenues &amp; Expenses'!F76*16,0)</f>
        <v>0</v>
      </c>
      <c r="L68" s="540">
        <f>K68*'Revenues &amp; Expenses'!N76</f>
        <v>0</v>
      </c>
      <c r="M68" s="391"/>
      <c r="N68" s="391"/>
      <c r="AC68" s="637">
        <f t="shared" si="4"/>
        <v>38626</v>
      </c>
      <c r="AD68" s="465">
        <f t="shared" si="11"/>
        <v>59</v>
      </c>
      <c r="AE68" s="465">
        <f t="shared" si="5"/>
        <v>0</v>
      </c>
      <c r="AF68" s="465">
        <f t="shared" si="6"/>
        <v>0</v>
      </c>
      <c r="AG68" s="640">
        <f t="shared" si="7"/>
        <v>0</v>
      </c>
      <c r="AJ68" s="465">
        <f t="shared" si="8"/>
        <v>0</v>
      </c>
      <c r="AK68" s="646">
        <f t="shared" ref="AK68:AK131" si="13">IF(AF68&gt;0,AJ68/AF68,0)</f>
        <v>0</v>
      </c>
    </row>
    <row r="69" spans="1:38">
      <c r="A69" s="250">
        <v>32.447003097267157</v>
      </c>
      <c r="B69" s="248">
        <f>'Revenues &amp; Expenses'!AX77</f>
        <v>38657</v>
      </c>
      <c r="C69" s="250">
        <f>'PJM Curve Simulation'!J77</f>
        <v>27.247499084472658</v>
      </c>
      <c r="D69" s="250">
        <f t="shared" ref="D69:D132" si="14">F69+G69</f>
        <v>47.83180991244344</v>
      </c>
      <c r="F69" s="250">
        <f>('Fuel Curve Simulation'!J77*'Revenues &amp; Expenses'!$S$2/1000)</f>
        <v>45.490340689655184</v>
      </c>
      <c r="G69" s="250">
        <f>'Revenues &amp; Expenses'!$AM$5*1000*'Revenues &amp; Expenses'!O77</f>
        <v>2.3414692227882576</v>
      </c>
      <c r="H69" s="247">
        <f t="shared" si="12"/>
        <v>60</v>
      </c>
      <c r="I69" s="247">
        <f t="shared" ref="I69:I132" si="15">IF(C69&gt;D69,1,0)</f>
        <v>0</v>
      </c>
      <c r="J69" s="247">
        <v>315</v>
      </c>
      <c r="K69" s="391">
        <f>IF(I69&gt;0,J69*'Revenues &amp; Expenses'!F77*16,0)</f>
        <v>0</v>
      </c>
      <c r="L69" s="540">
        <f>K69*'Revenues &amp; Expenses'!N77</f>
        <v>0</v>
      </c>
      <c r="M69" s="391"/>
      <c r="N69" s="391"/>
      <c r="AC69" s="637">
        <f t="shared" ref="AC69:AC132" si="16">B69</f>
        <v>38657</v>
      </c>
      <c r="AD69" s="465">
        <f t="shared" si="11"/>
        <v>60</v>
      </c>
      <c r="AE69" s="465">
        <f t="shared" ref="AE69:AE132" si="17">C69*L69</f>
        <v>0</v>
      </c>
      <c r="AF69" s="465">
        <f t="shared" ref="AF69:AF132" si="18">L69</f>
        <v>0</v>
      </c>
      <c r="AG69" s="640">
        <f t="shared" ref="AG69:AG132" si="19">IF(AF69&gt;0,AE69/AF69,0)</f>
        <v>0</v>
      </c>
      <c r="AJ69" s="465">
        <f t="shared" ref="AJ69:AJ132" si="20">D69*L69</f>
        <v>0</v>
      </c>
      <c r="AK69" s="646">
        <f t="shared" si="13"/>
        <v>0</v>
      </c>
    </row>
    <row r="70" spans="1:38">
      <c r="A70" s="250">
        <v>34.972952358499754</v>
      </c>
      <c r="B70" s="248">
        <f>'Revenues &amp; Expenses'!AX78</f>
        <v>38687</v>
      </c>
      <c r="C70" s="250">
        <f>'PJM Curve Simulation'!J78</f>
        <v>28.999999618530275</v>
      </c>
      <c r="D70" s="250">
        <f t="shared" si="14"/>
        <v>48.225128781019315</v>
      </c>
      <c r="F70" s="250">
        <f>('Fuel Curve Simulation'!J78*'Revenues &amp; Expenses'!$S$2/1000)</f>
        <v>45.878455344827593</v>
      </c>
      <c r="G70" s="250">
        <f>'Revenues &amp; Expenses'!$AM$5*1000*'Revenues &amp; Expenses'!O78</f>
        <v>2.3466734361917236</v>
      </c>
      <c r="H70" s="247">
        <f t="shared" si="12"/>
        <v>61</v>
      </c>
      <c r="I70" s="247">
        <f t="shared" si="15"/>
        <v>0</v>
      </c>
      <c r="J70" s="247">
        <v>315</v>
      </c>
      <c r="K70" s="391">
        <f>IF(I70&gt;0,J70*'Revenues &amp; Expenses'!F78*16,0)</f>
        <v>0</v>
      </c>
      <c r="L70" s="540">
        <f>K70*'Revenues &amp; Expenses'!N78</f>
        <v>0</v>
      </c>
      <c r="M70" s="391">
        <f>SUM(L59:L70)</f>
        <v>224578.23545155488</v>
      </c>
      <c r="N70" s="391">
        <f>SUM(K59:K70)</f>
        <v>332640</v>
      </c>
      <c r="AC70" s="637">
        <f t="shared" si="16"/>
        <v>38687</v>
      </c>
      <c r="AD70" s="465">
        <f t="shared" ref="AD70:AD133" si="21">AD69+1</f>
        <v>61</v>
      </c>
      <c r="AE70" s="465">
        <f t="shared" si="17"/>
        <v>0</v>
      </c>
      <c r="AF70" s="465">
        <f t="shared" si="18"/>
        <v>0</v>
      </c>
      <c r="AG70" s="640">
        <f t="shared" si="19"/>
        <v>0</v>
      </c>
      <c r="AH70" s="640">
        <f>IF(SUM(AF59:AF70)=0,0,SUM(AE59:AE70)/SUM(AF59:AF70))</f>
        <v>78.597429408314781</v>
      </c>
      <c r="AJ70" s="465">
        <f t="shared" si="20"/>
        <v>0</v>
      </c>
      <c r="AK70" s="646">
        <f t="shared" si="13"/>
        <v>0</v>
      </c>
      <c r="AL70" s="646">
        <f>IF(SUM(AF59:AF70)=0,0,SUM(AJ59:AJ70)/SUM(AF59:AF70))</f>
        <v>44.565299115862665</v>
      </c>
    </row>
    <row r="71" spans="1:38">
      <c r="A71" s="250">
        <v>46.381684495502206</v>
      </c>
      <c r="B71" s="248">
        <f>'Revenues &amp; Expenses'!AX79</f>
        <v>38718</v>
      </c>
      <c r="C71" s="250">
        <f>'PJM Curve Simulation'!J79</f>
        <v>37.824998474121088</v>
      </c>
      <c r="D71" s="250">
        <f t="shared" si="14"/>
        <v>47.668816975242642</v>
      </c>
      <c r="F71" s="250">
        <f>('Fuel Curve Simulation'!J79*'Revenues &amp; Expenses'!$S$2/1000)</f>
        <v>45.316927758620693</v>
      </c>
      <c r="G71" s="250">
        <f>'Revenues &amp; Expenses'!$AM$5*1000*'Revenues &amp; Expenses'!O79</f>
        <v>2.3518892166219461</v>
      </c>
      <c r="H71" s="247">
        <f t="shared" si="12"/>
        <v>62</v>
      </c>
      <c r="I71" s="247">
        <f t="shared" si="15"/>
        <v>0</v>
      </c>
      <c r="J71" s="247">
        <v>315</v>
      </c>
      <c r="K71" s="391">
        <f>IF(I71&gt;0,J71*'Revenues &amp; Expenses'!F79*16,0)</f>
        <v>0</v>
      </c>
      <c r="L71" s="540">
        <f>K71*'Revenues &amp; Expenses'!N79</f>
        <v>0</v>
      </c>
      <c r="M71" s="391"/>
      <c r="N71" s="391"/>
      <c r="AC71" s="637">
        <f t="shared" si="16"/>
        <v>38718</v>
      </c>
      <c r="AD71" s="465">
        <f t="shared" si="21"/>
        <v>62</v>
      </c>
      <c r="AE71" s="465">
        <f t="shared" si="17"/>
        <v>0</v>
      </c>
      <c r="AF71" s="465">
        <f t="shared" si="18"/>
        <v>0</v>
      </c>
      <c r="AG71" s="640">
        <f t="shared" si="19"/>
        <v>0</v>
      </c>
      <c r="AJ71" s="465">
        <f t="shared" si="20"/>
        <v>0</v>
      </c>
      <c r="AK71" s="646">
        <f t="shared" si="13"/>
        <v>0</v>
      </c>
    </row>
    <row r="72" spans="1:38">
      <c r="A72" s="250">
        <v>46.381684495502206</v>
      </c>
      <c r="B72" s="248">
        <f>'Revenues &amp; Expenses'!AX80</f>
        <v>38749</v>
      </c>
      <c r="C72" s="250">
        <f>'PJM Curve Simulation'!J80</f>
        <v>37.824998474121088</v>
      </c>
      <c r="D72" s="250">
        <f t="shared" si="14"/>
        <v>46.702931934615705</v>
      </c>
      <c r="F72" s="250">
        <f>('Fuel Curve Simulation'!J80*'Revenues &amp; Expenses'!$S$2/1000)</f>
        <v>44.345815344827592</v>
      </c>
      <c r="G72" s="250">
        <f>'Revenues &amp; Expenses'!$AM$5*1000*'Revenues &amp; Expenses'!O80</f>
        <v>2.3571165897881143</v>
      </c>
      <c r="H72" s="247">
        <f t="shared" si="12"/>
        <v>63</v>
      </c>
      <c r="I72" s="247">
        <f t="shared" si="15"/>
        <v>0</v>
      </c>
      <c r="J72" s="247">
        <v>315</v>
      </c>
      <c r="K72" s="391">
        <f>IF(I72&gt;0,J72*'Revenues &amp; Expenses'!F80*16,0)</f>
        <v>0</v>
      </c>
      <c r="L72" s="540">
        <f>K72*'Revenues &amp; Expenses'!N80</f>
        <v>0</v>
      </c>
      <c r="M72" s="391"/>
      <c r="N72" s="391"/>
      <c r="AC72" s="637">
        <f t="shared" si="16"/>
        <v>38749</v>
      </c>
      <c r="AD72" s="465">
        <f t="shared" si="21"/>
        <v>63</v>
      </c>
      <c r="AE72" s="465">
        <f t="shared" si="17"/>
        <v>0</v>
      </c>
      <c r="AF72" s="465">
        <f t="shared" si="18"/>
        <v>0</v>
      </c>
      <c r="AG72" s="640">
        <f t="shared" si="19"/>
        <v>0</v>
      </c>
      <c r="AJ72" s="465">
        <f t="shared" si="20"/>
        <v>0</v>
      </c>
      <c r="AK72" s="646">
        <f t="shared" si="13"/>
        <v>0</v>
      </c>
    </row>
    <row r="73" spans="1:38">
      <c r="A73" s="250">
        <v>33.506999677906038</v>
      </c>
      <c r="B73" s="248">
        <f>'Revenues &amp; Expenses'!AX81</f>
        <v>38777</v>
      </c>
      <c r="C73" s="250">
        <f>'PJM Curve Simulation'!J81</f>
        <v>27.550000762939455</v>
      </c>
      <c r="D73" s="250">
        <f t="shared" si="14"/>
        <v>45.763483340077258</v>
      </c>
      <c r="F73" s="250">
        <f>('Fuel Curve Simulation'!J81*'Revenues &amp; Expenses'!$S$2/1000)</f>
        <v>43.401127758620696</v>
      </c>
      <c r="G73" s="250">
        <f>'Revenues &amp; Expenses'!$AM$5*1000*'Revenues &amp; Expenses'!O81</f>
        <v>2.3623555814565598</v>
      </c>
      <c r="H73" s="247">
        <f t="shared" si="12"/>
        <v>64</v>
      </c>
      <c r="I73" s="247">
        <f t="shared" si="15"/>
        <v>0</v>
      </c>
      <c r="J73" s="247">
        <v>315</v>
      </c>
      <c r="K73" s="391">
        <f>IF(I73&gt;0,J73*'Revenues &amp; Expenses'!F81*16,0)</f>
        <v>0</v>
      </c>
      <c r="L73" s="540">
        <f>K73*'Revenues &amp; Expenses'!N81</f>
        <v>0</v>
      </c>
      <c r="M73" s="391"/>
      <c r="N73" s="391"/>
      <c r="AC73" s="637">
        <f t="shared" si="16"/>
        <v>38777</v>
      </c>
      <c r="AD73" s="465">
        <f t="shared" si="21"/>
        <v>64</v>
      </c>
      <c r="AE73" s="465">
        <f t="shared" si="17"/>
        <v>0</v>
      </c>
      <c r="AF73" s="465">
        <f t="shared" si="18"/>
        <v>0</v>
      </c>
      <c r="AG73" s="640">
        <f t="shared" si="19"/>
        <v>0</v>
      </c>
      <c r="AJ73" s="465">
        <f t="shared" si="20"/>
        <v>0</v>
      </c>
      <c r="AK73" s="646">
        <f t="shared" si="13"/>
        <v>0</v>
      </c>
    </row>
    <row r="74" spans="1:38">
      <c r="A74" s="250">
        <v>30.996450450543918</v>
      </c>
      <c r="B74" s="248">
        <f>'Revenues &amp; Expenses'!AX82</f>
        <v>38808</v>
      </c>
      <c r="C74" s="250">
        <f>'PJM Curve Simulation'!J82</f>
        <v>27.325000762939453</v>
      </c>
      <c r="D74" s="250">
        <f t="shared" si="14"/>
        <v>44.791015355381923</v>
      </c>
      <c r="F74" s="250">
        <f>('Fuel Curve Simulation'!J82*'Revenues &amp; Expenses'!$S$2/1000)</f>
        <v>42.423409137931039</v>
      </c>
      <c r="G74" s="250">
        <f>'Revenues &amp; Expenses'!$AM$5*1000*'Revenues &amp; Expenses'!O82</f>
        <v>2.3676062174508816</v>
      </c>
      <c r="H74" s="247">
        <f t="shared" si="12"/>
        <v>65</v>
      </c>
      <c r="I74" s="247">
        <f t="shared" si="15"/>
        <v>0</v>
      </c>
      <c r="J74" s="247">
        <v>315</v>
      </c>
      <c r="K74" s="391">
        <f>IF(I74&gt;0,J74*'Revenues &amp; Expenses'!F82*16,0)</f>
        <v>0</v>
      </c>
      <c r="L74" s="540">
        <f>K74*'Revenues &amp; Expenses'!N82</f>
        <v>0</v>
      </c>
      <c r="M74" s="391"/>
      <c r="N74" s="391"/>
      <c r="AC74" s="637">
        <f t="shared" si="16"/>
        <v>38808</v>
      </c>
      <c r="AD74" s="465">
        <f t="shared" si="21"/>
        <v>65</v>
      </c>
      <c r="AE74" s="465">
        <f t="shared" si="17"/>
        <v>0</v>
      </c>
      <c r="AF74" s="465">
        <f t="shared" si="18"/>
        <v>0</v>
      </c>
      <c r="AG74" s="640">
        <f t="shared" si="19"/>
        <v>0</v>
      </c>
      <c r="AJ74" s="465">
        <f t="shared" si="20"/>
        <v>0</v>
      </c>
      <c r="AK74" s="646">
        <f t="shared" si="13"/>
        <v>0</v>
      </c>
    </row>
    <row r="75" spans="1:38">
      <c r="A75" s="250">
        <v>35.760971394090625</v>
      </c>
      <c r="B75" s="248">
        <f>'Revenues &amp; Expenses'!AX83</f>
        <v>38838</v>
      </c>
      <c r="C75" s="250">
        <f>'PJM Curve Simulation'!J83</f>
        <v>32.575000000000003</v>
      </c>
      <c r="D75" s="250">
        <f t="shared" si="14"/>
        <v>44.130702316755539</v>
      </c>
      <c r="F75" s="250">
        <f>('Fuel Curve Simulation'!J83*'Revenues &amp; Expenses'!$S$2/1000)</f>
        <v>41.757833793103458</v>
      </c>
      <c r="G75" s="250">
        <f>'Revenues &amp; Expenses'!$AM$5*1000*'Revenues &amp; Expenses'!O83</f>
        <v>2.3728685236520777</v>
      </c>
      <c r="H75" s="247">
        <f t="shared" si="12"/>
        <v>66</v>
      </c>
      <c r="I75" s="247">
        <f t="shared" si="15"/>
        <v>0</v>
      </c>
      <c r="J75" s="247">
        <v>315</v>
      </c>
      <c r="K75" s="391">
        <f>IF(I75&gt;0,J75*'Revenues &amp; Expenses'!F83*16,0)</f>
        <v>0</v>
      </c>
      <c r="L75" s="540">
        <f>K75*'Revenues &amp; Expenses'!N83</f>
        <v>0</v>
      </c>
      <c r="M75" s="391"/>
      <c r="N75" s="391"/>
      <c r="AC75" s="637">
        <f t="shared" si="16"/>
        <v>38838</v>
      </c>
      <c r="AD75" s="465">
        <f t="shared" si="21"/>
        <v>66</v>
      </c>
      <c r="AE75" s="465">
        <f t="shared" si="17"/>
        <v>0</v>
      </c>
      <c r="AF75" s="465">
        <f t="shared" si="18"/>
        <v>0</v>
      </c>
      <c r="AG75" s="640">
        <f t="shared" si="19"/>
        <v>0</v>
      </c>
      <c r="AJ75" s="465">
        <f t="shared" si="20"/>
        <v>0</v>
      </c>
      <c r="AK75" s="646">
        <f t="shared" si="13"/>
        <v>0</v>
      </c>
    </row>
    <row r="76" spans="1:38">
      <c r="A76" s="250">
        <v>70.76830579651056</v>
      </c>
      <c r="B76" s="248">
        <f>'Revenues &amp; Expenses'!AX84</f>
        <v>38869</v>
      </c>
      <c r="C76" s="250">
        <f>'PJM Curve Simulation'!J84</f>
        <v>57.349998474121094</v>
      </c>
      <c r="D76" s="250">
        <f t="shared" si="14"/>
        <v>44.060004939791781</v>
      </c>
      <c r="F76" s="250">
        <f>('Fuel Curve Simulation'!J84*'Revenues &amp; Expenses'!$S$2/1000)</f>
        <v>41.681862413793112</v>
      </c>
      <c r="G76" s="250">
        <f>'Revenues &amp; Expenses'!$AM$5*1000*'Revenues &amp; Expenses'!O84</f>
        <v>2.3781425259986677</v>
      </c>
      <c r="H76" s="247">
        <f t="shared" ref="H76:H139" si="22">H75+1</f>
        <v>67</v>
      </c>
      <c r="I76" s="247">
        <f t="shared" si="15"/>
        <v>1</v>
      </c>
      <c r="J76" s="247">
        <v>315</v>
      </c>
      <c r="K76" s="391">
        <f>IF(I76&gt;0,J76*'Revenues &amp; Expenses'!F84*16,0)</f>
        <v>100800</v>
      </c>
      <c r="L76" s="540">
        <f>K76*'Revenues &amp; Expenses'!N84</f>
        <v>63612.665160549404</v>
      </c>
      <c r="M76" s="391"/>
      <c r="N76" s="391"/>
      <c r="AC76" s="637">
        <f t="shared" si="16"/>
        <v>38869</v>
      </c>
      <c r="AD76" s="465">
        <f t="shared" si="21"/>
        <v>67</v>
      </c>
      <c r="AE76" s="465">
        <f t="shared" si="17"/>
        <v>3648186.2498922846</v>
      </c>
      <c r="AF76" s="465">
        <f t="shared" si="18"/>
        <v>63612.665160549404</v>
      </c>
      <c r="AG76" s="640">
        <f t="shared" si="19"/>
        <v>57.349998474121094</v>
      </c>
      <c r="AJ76" s="465">
        <f t="shared" si="20"/>
        <v>2802774.3412071271</v>
      </c>
      <c r="AK76" s="646">
        <f t="shared" si="13"/>
        <v>44.060004939791774</v>
      </c>
    </row>
    <row r="77" spans="1:38">
      <c r="A77" s="250">
        <v>128.61478753046788</v>
      </c>
      <c r="B77" s="248">
        <f>'Revenues &amp; Expenses'!AX85</f>
        <v>38899</v>
      </c>
      <c r="C77" s="250">
        <f>'PJM Curve Simulation'!J85</f>
        <v>97.949996948242188</v>
      </c>
      <c r="D77" s="250">
        <f t="shared" si="14"/>
        <v>44.592135664279937</v>
      </c>
      <c r="F77" s="250">
        <f>('Fuel Curve Simulation'!J85*'Revenues &amp; Expenses'!$S$2/1000)</f>
        <v>42.208707413793114</v>
      </c>
      <c r="G77" s="250">
        <f>'Revenues &amp; Expenses'!$AM$5*1000*'Revenues &amp; Expenses'!O85</f>
        <v>2.3834282504868241</v>
      </c>
      <c r="H77" s="247">
        <f t="shared" si="22"/>
        <v>68</v>
      </c>
      <c r="I77" s="247">
        <f t="shared" si="15"/>
        <v>1</v>
      </c>
      <c r="J77" s="247">
        <v>315</v>
      </c>
      <c r="K77" s="391">
        <f>IF(I77&gt;0,J77*'Revenues &amp; Expenses'!F85*16,0)</f>
        <v>115920</v>
      </c>
      <c r="L77" s="540">
        <f>K77*'Revenues &amp; Expenses'!N85</f>
        <v>72710.546880879803</v>
      </c>
      <c r="M77" s="391"/>
      <c r="N77" s="391"/>
      <c r="AC77" s="637">
        <f t="shared" si="16"/>
        <v>38899</v>
      </c>
      <c r="AD77" s="465">
        <f t="shared" si="21"/>
        <v>68</v>
      </c>
      <c r="AE77" s="465">
        <f t="shared" si="17"/>
        <v>7121997.8450871976</v>
      </c>
      <c r="AF77" s="465">
        <f t="shared" si="18"/>
        <v>72710.546880879803</v>
      </c>
      <c r="AG77" s="640">
        <f t="shared" si="19"/>
        <v>97.949996948242188</v>
      </c>
      <c r="AJ77" s="465">
        <f t="shared" si="20"/>
        <v>3242318.5707361787</v>
      </c>
      <c r="AK77" s="646">
        <f t="shared" si="13"/>
        <v>44.592135664279937</v>
      </c>
    </row>
    <row r="78" spans="1:38">
      <c r="A78" s="250">
        <v>104.262520001659</v>
      </c>
      <c r="B78" s="248">
        <f>'Revenues &amp; Expenses'!AX86</f>
        <v>38930</v>
      </c>
      <c r="C78" s="250">
        <f>'PJM Curve Simulation'!J86</f>
        <v>84.949996948242188</v>
      </c>
      <c r="D78" s="250">
        <f t="shared" si="14"/>
        <v>45.443027619722223</v>
      </c>
      <c r="F78" s="250">
        <f>('Fuel Curve Simulation'!J86*'Revenues &amp; Expenses'!$S$2/1000)</f>
        <v>43.054301896551728</v>
      </c>
      <c r="G78" s="250">
        <f>'Revenues &amp; Expenses'!$AM$5*1000*'Revenues &amp; Expenses'!O86</f>
        <v>2.3887257231704977</v>
      </c>
      <c r="H78" s="247">
        <f t="shared" si="22"/>
        <v>69</v>
      </c>
      <c r="I78" s="247">
        <f t="shared" si="15"/>
        <v>1</v>
      </c>
      <c r="J78" s="247">
        <v>315</v>
      </c>
      <c r="K78" s="391">
        <f>IF(I78&gt;0,J78*'Revenues &amp; Expenses'!F86*16,0)</f>
        <v>110880</v>
      </c>
      <c r="L78" s="540">
        <f>K78*'Revenues &amp; Expenses'!N86</f>
        <v>69112.786934695163</v>
      </c>
      <c r="M78" s="391"/>
      <c r="N78" s="391"/>
      <c r="AC78" s="637">
        <f t="shared" si="16"/>
        <v>38930</v>
      </c>
      <c r="AD78" s="465">
        <f t="shared" si="21"/>
        <v>69</v>
      </c>
      <c r="AE78" s="465">
        <f t="shared" si="17"/>
        <v>5871131.039186867</v>
      </c>
      <c r="AF78" s="465">
        <f t="shared" si="18"/>
        <v>69112.786934695163</v>
      </c>
      <c r="AG78" s="640">
        <f t="shared" si="19"/>
        <v>84.949996948242188</v>
      </c>
      <c r="AJ78" s="465">
        <f t="shared" si="20"/>
        <v>3140694.2855493296</v>
      </c>
      <c r="AK78" s="646">
        <f t="shared" si="13"/>
        <v>45.443027619722223</v>
      </c>
    </row>
    <row r="79" spans="1:38">
      <c r="A79" s="250">
        <v>39.763385160026154</v>
      </c>
      <c r="B79" s="248">
        <f>'Revenues &amp; Expenses'!AX87</f>
        <v>38961</v>
      </c>
      <c r="C79" s="250">
        <f>'PJM Curve Simulation'!J87</f>
        <v>34.424998474121097</v>
      </c>
      <c r="D79" s="250">
        <f t="shared" si="14"/>
        <v>46.343477901196032</v>
      </c>
      <c r="F79" s="250">
        <f>('Fuel Curve Simulation'!J87*'Revenues &amp; Expenses'!$S$2/1000)</f>
        <v>43.949442931034483</v>
      </c>
      <c r="G79" s="250">
        <f>'Revenues &amp; Expenses'!$AM$5*1000*'Revenues &amp; Expenses'!O87</f>
        <v>2.3940349701615493</v>
      </c>
      <c r="H79" s="247">
        <f t="shared" si="22"/>
        <v>70</v>
      </c>
      <c r="I79" s="247">
        <f t="shared" si="15"/>
        <v>0</v>
      </c>
      <c r="J79" s="247">
        <v>315</v>
      </c>
      <c r="K79" s="391">
        <f>IF(I79&gt;0,J79*'Revenues &amp; Expenses'!F87*16,0)</f>
        <v>0</v>
      </c>
      <c r="L79" s="540">
        <f>K79*'Revenues &amp; Expenses'!N87</f>
        <v>0</v>
      </c>
      <c r="M79" s="391"/>
      <c r="N79" s="391"/>
      <c r="AC79" s="637">
        <f t="shared" si="16"/>
        <v>38961</v>
      </c>
      <c r="AD79" s="465">
        <f t="shared" si="21"/>
        <v>70</v>
      </c>
      <c r="AE79" s="465">
        <f t="shared" si="17"/>
        <v>0</v>
      </c>
      <c r="AF79" s="465">
        <f t="shared" si="18"/>
        <v>0</v>
      </c>
      <c r="AG79" s="640">
        <f t="shared" si="19"/>
        <v>0</v>
      </c>
      <c r="AJ79" s="465">
        <f t="shared" si="20"/>
        <v>0</v>
      </c>
      <c r="AK79" s="646">
        <f t="shared" si="13"/>
        <v>0</v>
      </c>
    </row>
    <row r="80" spans="1:38">
      <c r="A80" s="250">
        <v>32.980404823122029</v>
      </c>
      <c r="B80" s="248">
        <f>'Revenues &amp; Expenses'!AX88</f>
        <v>38991</v>
      </c>
      <c r="C80" s="250">
        <f>'PJM Curve Simulation'!J88</f>
        <v>28.075000381469728</v>
      </c>
      <c r="D80" s="250">
        <f t="shared" si="14"/>
        <v>47.21586360383678</v>
      </c>
      <c r="F80" s="250">
        <f>('Fuel Curve Simulation'!J88*'Revenues &amp; Expenses'!$S$2/1000)</f>
        <v>44.816507586206903</v>
      </c>
      <c r="G80" s="250">
        <f>'Revenues &amp; Expenses'!$AM$5*1000*'Revenues &amp; Expenses'!O88</f>
        <v>2.3993560176298758</v>
      </c>
      <c r="H80" s="247">
        <f t="shared" si="22"/>
        <v>71</v>
      </c>
      <c r="I80" s="247">
        <f t="shared" si="15"/>
        <v>0</v>
      </c>
      <c r="J80" s="247">
        <v>315</v>
      </c>
      <c r="K80" s="391">
        <f>IF(I80&gt;0,J80*'Revenues &amp; Expenses'!F88*16,0)</f>
        <v>0</v>
      </c>
      <c r="L80" s="540">
        <f>K80*'Revenues &amp; Expenses'!N88</f>
        <v>0</v>
      </c>
      <c r="M80" s="391"/>
      <c r="N80" s="391"/>
      <c r="AC80" s="637">
        <f t="shared" si="16"/>
        <v>38991</v>
      </c>
      <c r="AD80" s="465">
        <f t="shared" si="21"/>
        <v>71</v>
      </c>
      <c r="AE80" s="465">
        <f t="shared" si="17"/>
        <v>0</v>
      </c>
      <c r="AF80" s="465">
        <f t="shared" si="18"/>
        <v>0</v>
      </c>
      <c r="AG80" s="640">
        <f t="shared" si="19"/>
        <v>0</v>
      </c>
      <c r="AJ80" s="465">
        <f t="shared" si="20"/>
        <v>0</v>
      </c>
      <c r="AK80" s="646">
        <f t="shared" si="13"/>
        <v>0</v>
      </c>
    </row>
    <row r="81" spans="1:38">
      <c r="A81" s="250">
        <v>33.042415597267158</v>
      </c>
      <c r="B81" s="248">
        <f>'Revenues &amp; Expenses'!AX89</f>
        <v>39022</v>
      </c>
      <c r="C81" s="250">
        <f>'PJM Curve Simulation'!J89</f>
        <v>27.747499084472658</v>
      </c>
      <c r="D81" s="250">
        <f t="shared" si="14"/>
        <v>48.068442512493199</v>
      </c>
      <c r="F81" s="250">
        <f>('Fuel Curve Simulation'!J89*'Revenues &amp; Expenses'!$S$2/1000)</f>
        <v>45.663753620689661</v>
      </c>
      <c r="G81" s="250">
        <f>'Revenues &amp; Expenses'!$AM$5*1000*'Revenues &amp; Expenses'!O89</f>
        <v>2.4046888918035401</v>
      </c>
      <c r="H81" s="247">
        <f t="shared" si="22"/>
        <v>72</v>
      </c>
      <c r="I81" s="247">
        <f t="shared" si="15"/>
        <v>0</v>
      </c>
      <c r="J81" s="247">
        <v>315</v>
      </c>
      <c r="K81" s="391">
        <f>IF(I81&gt;0,J81*'Revenues &amp; Expenses'!F89*16,0)</f>
        <v>0</v>
      </c>
      <c r="L81" s="540">
        <f>K81*'Revenues &amp; Expenses'!N89</f>
        <v>0</v>
      </c>
      <c r="M81" s="391"/>
      <c r="N81" s="391"/>
      <c r="AC81" s="637">
        <f t="shared" si="16"/>
        <v>39022</v>
      </c>
      <c r="AD81" s="465">
        <f t="shared" si="21"/>
        <v>72</v>
      </c>
      <c r="AE81" s="465">
        <f t="shared" si="17"/>
        <v>0</v>
      </c>
      <c r="AF81" s="465">
        <f t="shared" si="18"/>
        <v>0</v>
      </c>
      <c r="AG81" s="640">
        <f t="shared" si="19"/>
        <v>0</v>
      </c>
      <c r="AJ81" s="465">
        <f t="shared" si="20"/>
        <v>0</v>
      </c>
      <c r="AK81" s="646">
        <f t="shared" si="13"/>
        <v>0</v>
      </c>
    </row>
    <row r="82" spans="1:38">
      <c r="A82" s="250">
        <v>35.575934303646967</v>
      </c>
      <c r="B82" s="248">
        <f>'Revenues &amp; Expenses'!AX90</f>
        <v>39052</v>
      </c>
      <c r="C82" s="250">
        <f>'PJM Curve Simulation'!J90</f>
        <v>29.499999618530275</v>
      </c>
      <c r="D82" s="250">
        <f t="shared" si="14"/>
        <v>48.475114308624093</v>
      </c>
      <c r="F82" s="250">
        <f>('Fuel Curve Simulation'!J90*'Revenues &amp; Expenses'!$S$2/1000)</f>
        <v>46.06508068965519</v>
      </c>
      <c r="G82" s="250">
        <f>'Revenues &amp; Expenses'!$AM$5*1000*'Revenues &amp; Expenses'!O90</f>
        <v>2.4100336189689</v>
      </c>
      <c r="H82" s="247">
        <f t="shared" si="22"/>
        <v>73</v>
      </c>
      <c r="I82" s="247">
        <f t="shared" si="15"/>
        <v>0</v>
      </c>
      <c r="J82" s="247">
        <v>315</v>
      </c>
      <c r="K82" s="391">
        <f>IF(I82&gt;0,J82*'Revenues &amp; Expenses'!F90*16,0)</f>
        <v>0</v>
      </c>
      <c r="L82" s="540">
        <f>K82*'Revenues &amp; Expenses'!N90</f>
        <v>0</v>
      </c>
      <c r="M82" s="391">
        <f>SUM(L71:L82)</f>
        <v>205435.99897612439</v>
      </c>
      <c r="N82" s="391">
        <f>SUM(K71:K82)</f>
        <v>327600</v>
      </c>
      <c r="AC82" s="637">
        <f t="shared" si="16"/>
        <v>39052</v>
      </c>
      <c r="AD82" s="465">
        <f t="shared" si="21"/>
        <v>73</v>
      </c>
      <c r="AE82" s="465">
        <f t="shared" si="17"/>
        <v>0</v>
      </c>
      <c r="AF82" s="465">
        <f t="shared" si="18"/>
        <v>0</v>
      </c>
      <c r="AG82" s="640">
        <f t="shared" si="19"/>
        <v>0</v>
      </c>
      <c r="AH82" s="640">
        <f>IF(SUM(AF71:AF82)=0,0,SUM(AE71:AE82)/SUM(AF71:AF82))</f>
        <v>81.004863885128472</v>
      </c>
      <c r="AJ82" s="465">
        <f t="shared" si="20"/>
        <v>0</v>
      </c>
      <c r="AK82" s="646">
        <f t="shared" si="13"/>
        <v>0</v>
      </c>
      <c r="AL82" s="646">
        <f>IF(SUM(AF71:AF82)=0,0,SUM(AJ71:AJ82)/SUM(AF71:AF82))</f>
        <v>44.713620024113688</v>
      </c>
    </row>
    <row r="83" spans="1:38">
      <c r="A83" s="250">
        <v>46.994793370142816</v>
      </c>
      <c r="B83" s="248">
        <f>'Revenues &amp; Expenses'!AX91</f>
        <v>39083</v>
      </c>
      <c r="C83" s="250">
        <f>'PJM Curve Simulation'!J91</f>
        <v>38.324998474121088</v>
      </c>
      <c r="D83" s="250">
        <f t="shared" si="14"/>
        <v>47.940413501332813</v>
      </c>
      <c r="F83" s="250">
        <f>('Fuel Curve Simulation'!J91*'Revenues &amp; Expenses'!$S$2/1000)</f>
        <v>45.525023275862075</v>
      </c>
      <c r="G83" s="250">
        <f>'Revenues &amp; Expenses'!$AM$5*1000*'Revenues &amp; Expenses'!O91</f>
        <v>2.4153902254707389</v>
      </c>
      <c r="H83" s="247">
        <f t="shared" si="22"/>
        <v>74</v>
      </c>
      <c r="I83" s="247">
        <f t="shared" si="15"/>
        <v>0</v>
      </c>
      <c r="J83" s="247">
        <v>315</v>
      </c>
      <c r="K83" s="391">
        <f>IF(I83&gt;0,J83*'Revenues &amp; Expenses'!F91*16,0)</f>
        <v>0</v>
      </c>
      <c r="L83" s="540">
        <f>K83*'Revenues &amp; Expenses'!N91</f>
        <v>0</v>
      </c>
      <c r="M83" s="391"/>
      <c r="N83" s="391"/>
      <c r="AC83" s="637">
        <f t="shared" si="16"/>
        <v>39083</v>
      </c>
      <c r="AD83" s="465">
        <f t="shared" si="21"/>
        <v>74</v>
      </c>
      <c r="AE83" s="465">
        <f t="shared" si="17"/>
        <v>0</v>
      </c>
      <c r="AF83" s="465">
        <f t="shared" si="18"/>
        <v>0</v>
      </c>
      <c r="AG83" s="640">
        <f t="shared" si="19"/>
        <v>0</v>
      </c>
      <c r="AJ83" s="465">
        <f t="shared" si="20"/>
        <v>0</v>
      </c>
      <c r="AK83" s="646">
        <f t="shared" si="13"/>
        <v>0</v>
      </c>
    </row>
    <row r="84" spans="1:38">
      <c r="A84" s="250">
        <v>46.994793370142816</v>
      </c>
      <c r="B84" s="248">
        <f>'Revenues &amp; Expenses'!AX92</f>
        <v>39114</v>
      </c>
      <c r="C84" s="250">
        <f>'PJM Curve Simulation'!J92</f>
        <v>38.324998474121088</v>
      </c>
      <c r="D84" s="250">
        <f t="shared" si="14"/>
        <v>46.987882013574463</v>
      </c>
      <c r="F84" s="250">
        <f>('Fuel Curve Simulation'!J92*'Revenues &amp; Expenses'!$S$2/1000)</f>
        <v>44.567123275862073</v>
      </c>
      <c r="G84" s="250">
        <f>'Revenues &amp; Expenses'!$AM$5*1000*'Revenues &amp; Expenses'!O92</f>
        <v>2.4207587377123936</v>
      </c>
      <c r="H84" s="247">
        <f t="shared" si="22"/>
        <v>75</v>
      </c>
      <c r="I84" s="247">
        <f t="shared" si="15"/>
        <v>0</v>
      </c>
      <c r="J84" s="247">
        <v>315</v>
      </c>
      <c r="K84" s="391">
        <f>IF(I84&gt;0,J84*'Revenues &amp; Expenses'!F92*16,0)</f>
        <v>0</v>
      </c>
      <c r="L84" s="540">
        <f>K84*'Revenues &amp; Expenses'!N92</f>
        <v>0</v>
      </c>
      <c r="M84" s="391"/>
      <c r="N84" s="391"/>
      <c r="AC84" s="637">
        <f t="shared" si="16"/>
        <v>39114</v>
      </c>
      <c r="AD84" s="465">
        <f t="shared" si="21"/>
        <v>75</v>
      </c>
      <c r="AE84" s="465">
        <f t="shared" si="17"/>
        <v>0</v>
      </c>
      <c r="AF84" s="465">
        <f t="shared" si="18"/>
        <v>0</v>
      </c>
      <c r="AG84" s="640">
        <f t="shared" si="19"/>
        <v>0</v>
      </c>
      <c r="AJ84" s="465">
        <f t="shared" si="20"/>
        <v>0</v>
      </c>
      <c r="AK84" s="646">
        <f t="shared" si="13"/>
        <v>0</v>
      </c>
    </row>
    <row r="85" spans="1:38">
      <c r="A85" s="250">
        <v>34.115112177906042</v>
      </c>
      <c r="B85" s="248">
        <f>'Revenues &amp; Expenses'!AX93</f>
        <v>39142</v>
      </c>
      <c r="C85" s="250">
        <f>'PJM Curve Simulation'!J93</f>
        <v>28.050000762939455</v>
      </c>
      <c r="D85" s="250">
        <f t="shared" si="14"/>
        <v>46.063438837328306</v>
      </c>
      <c r="F85" s="250">
        <f>('Fuel Curve Simulation'!J93*'Revenues &amp; Expenses'!$S$2/1000)</f>
        <v>43.63729965517242</v>
      </c>
      <c r="G85" s="250">
        <f>'Revenues &amp; Expenses'!$AM$5*1000*'Revenues &amp; Expenses'!O93</f>
        <v>2.4261391821558864</v>
      </c>
      <c r="H85" s="247">
        <f t="shared" si="22"/>
        <v>76</v>
      </c>
      <c r="I85" s="247">
        <f t="shared" si="15"/>
        <v>0</v>
      </c>
      <c r="J85" s="247">
        <v>315</v>
      </c>
      <c r="K85" s="391">
        <f>IF(I85&gt;0,J85*'Revenues &amp; Expenses'!F93*16,0)</f>
        <v>0</v>
      </c>
      <c r="L85" s="540">
        <f>K85*'Revenues &amp; Expenses'!N93</f>
        <v>0</v>
      </c>
      <c r="M85" s="391"/>
      <c r="N85" s="391"/>
      <c r="AC85" s="637">
        <f t="shared" si="16"/>
        <v>39142</v>
      </c>
      <c r="AD85" s="465">
        <f t="shared" si="21"/>
        <v>76</v>
      </c>
      <c r="AE85" s="465">
        <f t="shared" si="17"/>
        <v>0</v>
      </c>
      <c r="AF85" s="465">
        <f t="shared" si="18"/>
        <v>0</v>
      </c>
      <c r="AG85" s="640">
        <f t="shared" si="19"/>
        <v>0</v>
      </c>
      <c r="AJ85" s="465">
        <f t="shared" si="20"/>
        <v>0</v>
      </c>
      <c r="AK85" s="646">
        <f t="shared" si="13"/>
        <v>0</v>
      </c>
    </row>
    <row r="86" spans="1:38">
      <c r="A86" s="250">
        <v>31.563631595742347</v>
      </c>
      <c r="B86" s="248">
        <f>'Revenues &amp; Expenses'!AX94</f>
        <v>39173</v>
      </c>
      <c r="C86" s="250">
        <f>'PJM Curve Simulation'!J94</f>
        <v>27.825000762939453</v>
      </c>
      <c r="D86" s="250">
        <f t="shared" si="14"/>
        <v>45.104325033597917</v>
      </c>
      <c r="F86" s="250">
        <f>('Fuel Curve Simulation'!J94*'Revenues &amp; Expenses'!$S$2/1000)</f>
        <v>42.672793448275861</v>
      </c>
      <c r="G86" s="250">
        <f>'Revenues &amp; Expenses'!$AM$5*1000*'Revenues &amp; Expenses'!O94</f>
        <v>2.4315315853220554</v>
      </c>
      <c r="H86" s="247">
        <f t="shared" si="22"/>
        <v>77</v>
      </c>
      <c r="I86" s="247">
        <f t="shared" si="15"/>
        <v>0</v>
      </c>
      <c r="J86" s="247">
        <v>315</v>
      </c>
      <c r="K86" s="391">
        <f>IF(I86&gt;0,J86*'Revenues &amp; Expenses'!F94*16,0)</f>
        <v>0</v>
      </c>
      <c r="L86" s="540">
        <f>K86*'Revenues &amp; Expenses'!N94</f>
        <v>0</v>
      </c>
      <c r="M86" s="391"/>
      <c r="N86" s="391"/>
      <c r="AC86" s="637">
        <f t="shared" si="16"/>
        <v>39173</v>
      </c>
      <c r="AD86" s="465">
        <f t="shared" si="21"/>
        <v>77</v>
      </c>
      <c r="AE86" s="465">
        <f t="shared" si="17"/>
        <v>0</v>
      </c>
      <c r="AF86" s="465">
        <f t="shared" si="18"/>
        <v>0</v>
      </c>
      <c r="AG86" s="640">
        <f t="shared" si="19"/>
        <v>0</v>
      </c>
      <c r="AJ86" s="465">
        <f t="shared" si="20"/>
        <v>0</v>
      </c>
      <c r="AK86" s="646">
        <f t="shared" si="13"/>
        <v>0</v>
      </c>
    </row>
    <row r="87" spans="1:38">
      <c r="A87" s="250">
        <v>36.85877558116939</v>
      </c>
      <c r="B87" s="248">
        <f>'Revenues &amp; Expenses'!AX95</f>
        <v>39203</v>
      </c>
      <c r="C87" s="250">
        <f>'PJM Curve Simulation'!J95</f>
        <v>33.575000000000003</v>
      </c>
      <c r="D87" s="250">
        <f t="shared" si="14"/>
        <v>44.465624249652755</v>
      </c>
      <c r="F87" s="250">
        <f>('Fuel Curve Simulation'!J95*'Revenues &amp; Expenses'!$S$2/1000)</f>
        <v>42.028688275862073</v>
      </c>
      <c r="G87" s="250">
        <f>'Revenues &amp; Expenses'!$AM$5*1000*'Revenues &amp; Expenses'!O95</f>
        <v>2.4369359737906837</v>
      </c>
      <c r="H87" s="247">
        <f t="shared" si="22"/>
        <v>78</v>
      </c>
      <c r="I87" s="247">
        <f t="shared" si="15"/>
        <v>0</v>
      </c>
      <c r="J87" s="247">
        <v>315</v>
      </c>
      <c r="K87" s="391">
        <f>IF(I87&gt;0,J87*'Revenues &amp; Expenses'!F95*16,0)</f>
        <v>0</v>
      </c>
      <c r="L87" s="540">
        <f>K87*'Revenues &amp; Expenses'!N95</f>
        <v>0</v>
      </c>
      <c r="M87" s="391"/>
      <c r="N87" s="391"/>
      <c r="AC87" s="637">
        <f t="shared" si="16"/>
        <v>39203</v>
      </c>
      <c r="AD87" s="465">
        <f t="shared" si="21"/>
        <v>78</v>
      </c>
      <c r="AE87" s="465">
        <f t="shared" si="17"/>
        <v>0</v>
      </c>
      <c r="AF87" s="465">
        <f t="shared" si="18"/>
        <v>0</v>
      </c>
      <c r="AG87" s="640">
        <f t="shared" si="19"/>
        <v>0</v>
      </c>
      <c r="AJ87" s="465">
        <f t="shared" si="20"/>
        <v>0</v>
      </c>
      <c r="AK87" s="646">
        <f t="shared" si="13"/>
        <v>0</v>
      </c>
    </row>
    <row r="88" spans="1:38">
      <c r="A88" s="250">
        <v>72.310771090307469</v>
      </c>
      <c r="B88" s="248">
        <f>'Revenues &amp; Expenses'!AX96</f>
        <v>39234</v>
      </c>
      <c r="C88" s="250">
        <f>'PJM Curve Simulation'!J96</f>
        <v>58.599998474121094</v>
      </c>
      <c r="D88" s="250">
        <f t="shared" si="14"/>
        <v>44.414887891442014</v>
      </c>
      <c r="F88" s="250">
        <f>('Fuel Curve Simulation'!J96*'Revenues &amp; Expenses'!$S$2/1000)</f>
        <v>41.972535517241383</v>
      </c>
      <c r="G88" s="250">
        <f>'Revenues &amp; Expenses'!$AM$5*1000*'Revenues &amp; Expenses'!O96</f>
        <v>2.4423523742006314</v>
      </c>
      <c r="H88" s="247">
        <f t="shared" si="22"/>
        <v>79</v>
      </c>
      <c r="I88" s="247">
        <f t="shared" si="15"/>
        <v>1</v>
      </c>
      <c r="J88" s="247">
        <v>315</v>
      </c>
      <c r="K88" s="391">
        <f>IF(I88&gt;0,J88*'Revenues &amp; Expenses'!F96*16,0)</f>
        <v>105840</v>
      </c>
      <c r="L88" s="540">
        <f>K88*'Revenues &amp; Expenses'!N96</f>
        <v>62020.392034030934</v>
      </c>
      <c r="M88" s="391"/>
      <c r="N88" s="391"/>
      <c r="AC88" s="637">
        <f t="shared" si="16"/>
        <v>39234</v>
      </c>
      <c r="AD88" s="465">
        <f t="shared" si="21"/>
        <v>79</v>
      </c>
      <c r="AE88" s="465">
        <f t="shared" si="17"/>
        <v>3634394.878558605</v>
      </c>
      <c r="AF88" s="465">
        <f t="shared" si="18"/>
        <v>62020.392034030934</v>
      </c>
      <c r="AG88" s="640">
        <f t="shared" si="19"/>
        <v>58.599998474121094</v>
      </c>
      <c r="AJ88" s="465">
        <f t="shared" si="20"/>
        <v>2754628.7591747674</v>
      </c>
      <c r="AK88" s="646">
        <f t="shared" si="13"/>
        <v>44.414887891442014</v>
      </c>
    </row>
    <row r="89" spans="1:38">
      <c r="A89" s="250">
        <v>131.56918549840722</v>
      </c>
      <c r="B89" s="248">
        <f>'Revenues &amp; Expenses'!AX97</f>
        <v>39264</v>
      </c>
      <c r="C89" s="250">
        <f>'PJM Curve Simulation'!J97</f>
        <v>100.19999694824219</v>
      </c>
      <c r="D89" s="250">
        <f t="shared" si="14"/>
        <v>44.962025296008598</v>
      </c>
      <c r="F89" s="250">
        <f>('Fuel Curve Simulation'!J97*'Revenues &amp; Expenses'!$S$2/1000)</f>
        <v>42.514244482758627</v>
      </c>
      <c r="G89" s="250">
        <f>'Revenues &amp; Expenses'!$AM$5*1000*'Revenues &amp; Expenses'!O97</f>
        <v>2.4477808132499677</v>
      </c>
      <c r="H89" s="247">
        <f t="shared" si="22"/>
        <v>80</v>
      </c>
      <c r="I89" s="247">
        <f t="shared" si="15"/>
        <v>1</v>
      </c>
      <c r="J89" s="247">
        <v>315</v>
      </c>
      <c r="K89" s="391">
        <f>IF(I89&gt;0,J89*'Revenues &amp; Expenses'!F97*16,0)</f>
        <v>115920</v>
      </c>
      <c r="L89" s="540">
        <f>K89*'Revenues &amp; Expenses'!N97</f>
        <v>67516.23783768875</v>
      </c>
      <c r="M89" s="391"/>
      <c r="N89" s="391"/>
      <c r="AC89" s="637">
        <f t="shared" si="16"/>
        <v>39264</v>
      </c>
      <c r="AD89" s="465">
        <f t="shared" si="21"/>
        <v>80</v>
      </c>
      <c r="AE89" s="465">
        <f t="shared" si="17"/>
        <v>6765126.8252932066</v>
      </c>
      <c r="AF89" s="465">
        <f t="shared" si="18"/>
        <v>67516.23783768875</v>
      </c>
      <c r="AG89" s="640">
        <f t="shared" si="19"/>
        <v>100.19999694824219</v>
      </c>
      <c r="AJ89" s="465">
        <f t="shared" si="20"/>
        <v>3035666.7935494944</v>
      </c>
      <c r="AK89" s="646">
        <f t="shared" si="13"/>
        <v>44.962025296008598</v>
      </c>
    </row>
    <row r="90" spans="1:38">
      <c r="A90" s="250">
        <v>107.02403475658787</v>
      </c>
      <c r="B90" s="248">
        <f>'Revenues &amp; Expenses'!AX98</f>
        <v>39295</v>
      </c>
      <c r="C90" s="250">
        <f>'PJM Curve Simulation'!J98</f>
        <v>87.199996948242188</v>
      </c>
      <c r="D90" s="250">
        <f t="shared" si="14"/>
        <v>45.827924248730596</v>
      </c>
      <c r="F90" s="250">
        <f>('Fuel Curve Simulation'!J98*'Revenues &amp; Expenses'!$S$2/1000)</f>
        <v>43.374702931034498</v>
      </c>
      <c r="G90" s="250">
        <f>'Revenues &amp; Expenses'!$AM$5*1000*'Revenues &amp; Expenses'!O98</f>
        <v>2.4532213176961011</v>
      </c>
      <c r="H90" s="247">
        <f t="shared" si="22"/>
        <v>81</v>
      </c>
      <c r="I90" s="247">
        <f t="shared" si="15"/>
        <v>1</v>
      </c>
      <c r="J90" s="247">
        <v>315</v>
      </c>
      <c r="K90" s="391">
        <f>IF(I90&gt;0,J90*'Revenues &amp; Expenses'!F98*16,0)</f>
        <v>105840</v>
      </c>
      <c r="L90" s="540">
        <f>K90*'Revenues &amp; Expenses'!N98</f>
        <v>61259.860619487335</v>
      </c>
      <c r="M90" s="391"/>
      <c r="N90" s="391"/>
      <c r="AC90" s="637">
        <f t="shared" si="16"/>
        <v>39295</v>
      </c>
      <c r="AD90" s="465">
        <f t="shared" si="21"/>
        <v>81</v>
      </c>
      <c r="AE90" s="465">
        <f t="shared" si="17"/>
        <v>5341859.6590690371</v>
      </c>
      <c r="AF90" s="465">
        <f t="shared" si="18"/>
        <v>61259.860619487335</v>
      </c>
      <c r="AG90" s="640">
        <f t="shared" si="19"/>
        <v>87.199996948242188</v>
      </c>
      <c r="AJ90" s="465">
        <f t="shared" si="20"/>
        <v>2807412.2519576601</v>
      </c>
      <c r="AK90" s="646">
        <f t="shared" si="13"/>
        <v>45.827924248730596</v>
      </c>
    </row>
    <row r="91" spans="1:38">
      <c r="A91" s="250">
        <v>40.340921644013484</v>
      </c>
      <c r="B91" s="248">
        <f>'Revenues &amp; Expenses'!AX99</f>
        <v>39326</v>
      </c>
      <c r="C91" s="250">
        <f>'PJM Curve Simulation'!J99</f>
        <v>34.924998474121097</v>
      </c>
      <c r="D91" s="250">
        <f t="shared" si="14"/>
        <v>46.748336500562807</v>
      </c>
      <c r="F91" s="250">
        <f>('Fuel Curve Simulation'!J99*'Revenues &amp; Expenses'!$S$2/1000)</f>
        <v>44.289662586206894</v>
      </c>
      <c r="G91" s="250">
        <f>'Revenues &amp; Expenses'!$AM$5*1000*'Revenues &amp; Expenses'!O99</f>
        <v>2.4586739143559111</v>
      </c>
      <c r="H91" s="247">
        <f t="shared" si="22"/>
        <v>82</v>
      </c>
      <c r="I91" s="247">
        <f t="shared" si="15"/>
        <v>0</v>
      </c>
      <c r="J91" s="247">
        <v>315</v>
      </c>
      <c r="K91" s="391">
        <f>IF(I91&gt;0,J91*'Revenues &amp; Expenses'!F99*16,0)</f>
        <v>0</v>
      </c>
      <c r="L91" s="540">
        <f>K91*'Revenues &amp; Expenses'!N99</f>
        <v>0</v>
      </c>
      <c r="M91" s="391"/>
      <c r="N91" s="391"/>
      <c r="AC91" s="637">
        <f t="shared" si="16"/>
        <v>39326</v>
      </c>
      <c r="AD91" s="465">
        <f t="shared" si="21"/>
        <v>82</v>
      </c>
      <c r="AE91" s="465">
        <f t="shared" si="17"/>
        <v>0</v>
      </c>
      <c r="AF91" s="465">
        <f t="shared" si="18"/>
        <v>0</v>
      </c>
      <c r="AG91" s="640">
        <f t="shared" si="19"/>
        <v>0</v>
      </c>
      <c r="AJ91" s="465">
        <f t="shared" si="20"/>
        <v>0</v>
      </c>
      <c r="AK91" s="646">
        <f t="shared" si="13"/>
        <v>0</v>
      </c>
    </row>
    <row r="92" spans="1:38">
      <c r="A92" s="250">
        <v>33.567767323122027</v>
      </c>
      <c r="B92" s="248">
        <f>'Revenues &amp; Expenses'!AX100</f>
        <v>39356</v>
      </c>
      <c r="C92" s="250">
        <f>'PJM Curve Simulation'!J100</f>
        <v>28.575000381469728</v>
      </c>
      <c r="D92" s="250">
        <f t="shared" si="14"/>
        <v>47.634078285278292</v>
      </c>
      <c r="F92" s="250">
        <f>('Fuel Curve Simulation'!J100*'Revenues &amp; Expenses'!$S$2/1000)</f>
        <v>45.169939655172413</v>
      </c>
      <c r="G92" s="250">
        <f>'Revenues &amp; Expenses'!$AM$5*1000*'Revenues &amp; Expenses'!O100</f>
        <v>2.4641386301058823</v>
      </c>
      <c r="H92" s="247">
        <f t="shared" si="22"/>
        <v>83</v>
      </c>
      <c r="I92" s="247">
        <f t="shared" si="15"/>
        <v>0</v>
      </c>
      <c r="J92" s="247">
        <v>315</v>
      </c>
      <c r="K92" s="391">
        <f>IF(I92&gt;0,J92*'Revenues &amp; Expenses'!F100*16,0)</f>
        <v>0</v>
      </c>
      <c r="L92" s="540">
        <f>K92*'Revenues &amp; Expenses'!N100</f>
        <v>0</v>
      </c>
      <c r="M92" s="391"/>
      <c r="N92" s="391"/>
      <c r="AC92" s="637">
        <f t="shared" si="16"/>
        <v>39356</v>
      </c>
      <c r="AD92" s="465">
        <f t="shared" si="21"/>
        <v>83</v>
      </c>
      <c r="AE92" s="465">
        <f t="shared" si="17"/>
        <v>0</v>
      </c>
      <c r="AF92" s="465">
        <f t="shared" si="18"/>
        <v>0</v>
      </c>
      <c r="AG92" s="640">
        <f t="shared" si="19"/>
        <v>0</v>
      </c>
      <c r="AJ92" s="465">
        <f t="shared" si="20"/>
        <v>0</v>
      </c>
      <c r="AK92" s="646">
        <f t="shared" si="13"/>
        <v>0</v>
      </c>
    </row>
    <row r="93" spans="1:38">
      <c r="A93" s="250">
        <v>33.637828097267153</v>
      </c>
      <c r="B93" s="248">
        <f>'Revenues &amp; Expenses'!AX101</f>
        <v>39387</v>
      </c>
      <c r="C93" s="250">
        <f>'PJM Curve Simulation'!J101</f>
        <v>28.247499084472658</v>
      </c>
      <c r="D93" s="250">
        <f t="shared" si="14"/>
        <v>48.493407388433965</v>
      </c>
      <c r="F93" s="250">
        <f>('Fuel Curve Simulation'!J101*'Revenues &amp; Expenses'!$S$2/1000)</f>
        <v>46.023791896551728</v>
      </c>
      <c r="G93" s="250">
        <f>'Revenues &amp; Expenses'!$AM$5*1000*'Revenues &amp; Expenses'!O101</f>
        <v>2.4696154918822355</v>
      </c>
      <c r="H93" s="247">
        <f t="shared" si="22"/>
        <v>84</v>
      </c>
      <c r="I93" s="247">
        <f t="shared" si="15"/>
        <v>0</v>
      </c>
      <c r="J93" s="247">
        <v>315</v>
      </c>
      <c r="K93" s="391">
        <f>IF(I93&gt;0,J93*'Revenues &amp; Expenses'!F101*16,0)</f>
        <v>0</v>
      </c>
      <c r="L93" s="540">
        <f>K93*'Revenues &amp; Expenses'!N101</f>
        <v>0</v>
      </c>
      <c r="M93" s="391"/>
      <c r="N93" s="391"/>
      <c r="AC93" s="637">
        <f t="shared" si="16"/>
        <v>39387</v>
      </c>
      <c r="AD93" s="465">
        <f t="shared" si="21"/>
        <v>84</v>
      </c>
      <c r="AE93" s="465">
        <f t="shared" si="17"/>
        <v>0</v>
      </c>
      <c r="AF93" s="465">
        <f t="shared" si="18"/>
        <v>0</v>
      </c>
      <c r="AG93" s="640">
        <f t="shared" si="19"/>
        <v>0</v>
      </c>
      <c r="AJ93" s="465">
        <f t="shared" si="20"/>
        <v>0</v>
      </c>
      <c r="AK93" s="646">
        <f t="shared" si="13"/>
        <v>0</v>
      </c>
    </row>
    <row r="94" spans="1:38">
      <c r="A94" s="250">
        <v>36.178916248794181</v>
      </c>
      <c r="B94" s="248">
        <f>'Revenues &amp; Expenses'!AX102</f>
        <v>39417</v>
      </c>
      <c r="C94" s="250">
        <f>'PJM Curve Simulation'!J102</f>
        <v>29.999999618530275</v>
      </c>
      <c r="D94" s="250">
        <f t="shared" si="14"/>
        <v>48.908481250818994</v>
      </c>
      <c r="F94" s="250">
        <f>('Fuel Curve Simulation'!J102*'Revenues &amp; Expenses'!$S$2/1000)</f>
        <v>46.433376724137936</v>
      </c>
      <c r="G94" s="250">
        <f>'Revenues &amp; Expenses'!$AM$5*1000*'Revenues &amp; Expenses'!O102</f>
        <v>2.4751045266810601</v>
      </c>
      <c r="H94" s="247">
        <f t="shared" si="22"/>
        <v>85</v>
      </c>
      <c r="I94" s="247">
        <f t="shared" si="15"/>
        <v>0</v>
      </c>
      <c r="J94" s="247">
        <v>315</v>
      </c>
      <c r="K94" s="391">
        <f>IF(I94&gt;0,J94*'Revenues &amp; Expenses'!F102*16,0)</f>
        <v>0</v>
      </c>
      <c r="L94" s="540">
        <f>K94*'Revenues &amp; Expenses'!N102</f>
        <v>0</v>
      </c>
      <c r="M94" s="391">
        <f>SUM(L83:L94)</f>
        <v>190796.49049120702</v>
      </c>
      <c r="N94" s="391">
        <f>SUM(K83:K94)</f>
        <v>327600</v>
      </c>
      <c r="AC94" s="637">
        <f t="shared" si="16"/>
        <v>39417</v>
      </c>
      <c r="AD94" s="465">
        <f t="shared" si="21"/>
        <v>85</v>
      </c>
      <c r="AE94" s="465">
        <f t="shared" si="17"/>
        <v>0</v>
      </c>
      <c r="AF94" s="465">
        <f t="shared" si="18"/>
        <v>0</v>
      </c>
      <c r="AG94" s="640">
        <f t="shared" si="19"/>
        <v>0</v>
      </c>
      <c r="AH94" s="640">
        <f>IF(SUM(AF83:AF94)=0,0,SUM(AE83:AE94)/SUM(AF83:AF94))</f>
        <v>82.503516298410645</v>
      </c>
      <c r="AJ94" s="465">
        <f t="shared" si="20"/>
        <v>0</v>
      </c>
      <c r="AK94" s="646">
        <f t="shared" si="13"/>
        <v>0</v>
      </c>
      <c r="AL94" s="646">
        <f>IF(SUM(AF83:AF94)=0,0,SUM(AJ83:AJ94)/SUM(AF83:AF94))</f>
        <v>45.062190518007206</v>
      </c>
    </row>
    <row r="95" spans="1:38">
      <c r="A95" s="250">
        <v>47.607902244783425</v>
      </c>
      <c r="B95" s="248">
        <f>'Revenues &amp; Expenses'!AX103</f>
        <v>39448</v>
      </c>
      <c r="C95" s="250">
        <f>'PJM Curve Simulation'!J103</f>
        <v>38.824998474121088</v>
      </c>
      <c r="D95" s="250">
        <f t="shared" si="14"/>
        <v>48.365667313282607</v>
      </c>
      <c r="F95" s="250">
        <f>('Fuel Curve Simulation'!J103*'Revenues &amp; Expenses'!$S$2/1000)</f>
        <v>45.885061551724156</v>
      </c>
      <c r="G95" s="250">
        <f>'Revenues &amp; Expenses'!$AM$5*1000*'Revenues &amp; Expenses'!O103</f>
        <v>2.4806057615584485</v>
      </c>
      <c r="H95" s="247">
        <f t="shared" si="22"/>
        <v>86</v>
      </c>
      <c r="I95" s="247">
        <f t="shared" si="15"/>
        <v>0</v>
      </c>
      <c r="J95" s="247">
        <v>315</v>
      </c>
      <c r="K95" s="391">
        <f>IF(I95&gt;0,J95*'Revenues &amp; Expenses'!F103*16,0)</f>
        <v>0</v>
      </c>
      <c r="L95" s="540">
        <f>K95*'Revenues &amp; Expenses'!N103</f>
        <v>0</v>
      </c>
      <c r="M95" s="391"/>
      <c r="N95" s="391"/>
      <c r="AC95" s="637">
        <f t="shared" si="16"/>
        <v>39448</v>
      </c>
      <c r="AD95" s="465">
        <f t="shared" si="21"/>
        <v>86</v>
      </c>
      <c r="AE95" s="465">
        <f t="shared" si="17"/>
        <v>0</v>
      </c>
      <c r="AF95" s="465">
        <f t="shared" si="18"/>
        <v>0</v>
      </c>
      <c r="AG95" s="640">
        <f t="shared" si="19"/>
        <v>0</v>
      </c>
      <c r="AJ95" s="465">
        <f t="shared" si="20"/>
        <v>0</v>
      </c>
      <c r="AK95" s="646">
        <f t="shared" si="13"/>
        <v>0</v>
      </c>
    </row>
    <row r="96" spans="1:38">
      <c r="A96" s="250">
        <v>47.607902244783425</v>
      </c>
      <c r="B96" s="248">
        <f>'Revenues &amp; Expenses'!AX104</f>
        <v>39479</v>
      </c>
      <c r="C96" s="250">
        <f>'PJM Curve Simulation'!J104</f>
        <v>38.824998474121088</v>
      </c>
      <c r="D96" s="250">
        <f t="shared" si="14"/>
        <v>47.421538533975465</v>
      </c>
      <c r="F96" s="250">
        <f>('Fuel Curve Simulation'!J104*'Revenues &amp; Expenses'!$S$2/1000)</f>
        <v>44.935419310344834</v>
      </c>
      <c r="G96" s="250">
        <f>'Revenues &amp; Expenses'!$AM$5*1000*'Revenues &amp; Expenses'!O104</f>
        <v>2.4861192236306278</v>
      </c>
      <c r="H96" s="247">
        <f t="shared" si="22"/>
        <v>87</v>
      </c>
      <c r="I96" s="247">
        <f t="shared" si="15"/>
        <v>0</v>
      </c>
      <c r="J96" s="247">
        <v>315</v>
      </c>
      <c r="K96" s="391">
        <f>IF(I96&gt;0,J96*'Revenues &amp; Expenses'!F104*16,0)</f>
        <v>0</v>
      </c>
      <c r="L96" s="540">
        <f>K96*'Revenues &amp; Expenses'!N104</f>
        <v>0</v>
      </c>
      <c r="M96" s="391"/>
      <c r="N96" s="391"/>
      <c r="AC96" s="637">
        <f t="shared" si="16"/>
        <v>39479</v>
      </c>
      <c r="AD96" s="465">
        <f t="shared" si="21"/>
        <v>87</v>
      </c>
      <c r="AE96" s="465">
        <f t="shared" si="17"/>
        <v>0</v>
      </c>
      <c r="AF96" s="465">
        <f t="shared" si="18"/>
        <v>0</v>
      </c>
      <c r="AG96" s="640">
        <f t="shared" si="19"/>
        <v>0</v>
      </c>
      <c r="AJ96" s="465">
        <f t="shared" si="20"/>
        <v>0</v>
      </c>
      <c r="AK96" s="646">
        <f t="shared" si="13"/>
        <v>0</v>
      </c>
    </row>
    <row r="97" spans="1:38">
      <c r="A97" s="250">
        <v>34.723224677906039</v>
      </c>
      <c r="B97" s="248">
        <f>'Revenues &amp; Expenses'!AX105</f>
        <v>39508</v>
      </c>
      <c r="C97" s="250">
        <f>'PJM Curve Simulation'!J105</f>
        <v>28.550000762939455</v>
      </c>
      <c r="D97" s="250">
        <f t="shared" si="14"/>
        <v>46.497240629729276</v>
      </c>
      <c r="F97" s="250">
        <f>('Fuel Curve Simulation'!J105*'Revenues &amp; Expenses'!$S$2/1000)</f>
        <v>44.005595689655181</v>
      </c>
      <c r="G97" s="250">
        <f>'Revenues &amp; Expenses'!$AM$5*1000*'Revenues &amp; Expenses'!O105</f>
        <v>2.491644940074095</v>
      </c>
      <c r="H97" s="247">
        <f t="shared" si="22"/>
        <v>88</v>
      </c>
      <c r="I97" s="247">
        <f t="shared" si="15"/>
        <v>0</v>
      </c>
      <c r="J97" s="247">
        <v>315</v>
      </c>
      <c r="K97" s="391">
        <f>IF(I97&gt;0,J97*'Revenues &amp; Expenses'!F105*16,0)</f>
        <v>0</v>
      </c>
      <c r="L97" s="540">
        <f>K97*'Revenues &amp; Expenses'!N105</f>
        <v>0</v>
      </c>
      <c r="M97" s="391"/>
      <c r="N97" s="391"/>
      <c r="AC97" s="637">
        <f t="shared" si="16"/>
        <v>39508</v>
      </c>
      <c r="AD97" s="465">
        <f t="shared" si="21"/>
        <v>88</v>
      </c>
      <c r="AE97" s="465">
        <f t="shared" si="17"/>
        <v>0</v>
      </c>
      <c r="AF97" s="465">
        <f t="shared" si="18"/>
        <v>0</v>
      </c>
      <c r="AG97" s="640">
        <f t="shared" si="19"/>
        <v>0</v>
      </c>
      <c r="AJ97" s="465">
        <f t="shared" si="20"/>
        <v>0</v>
      </c>
      <c r="AK97" s="646">
        <f t="shared" si="13"/>
        <v>0</v>
      </c>
    </row>
    <row r="98" spans="1:38">
      <c r="A98" s="250">
        <v>32.130812740940776</v>
      </c>
      <c r="B98" s="248">
        <f>'Revenues &amp; Expenses'!AX106</f>
        <v>39539</v>
      </c>
      <c r="C98" s="250">
        <f>'PJM Curve Simulation'!J106</f>
        <v>28.325000762939453</v>
      </c>
      <c r="D98" s="250">
        <f t="shared" si="14"/>
        <v>45.544878627780932</v>
      </c>
      <c r="F98" s="250">
        <f>('Fuel Curve Simulation'!J106*'Revenues &amp; Expenses'!$S$2/1000)</f>
        <v>43.047695689655178</v>
      </c>
      <c r="G98" s="250">
        <f>'Revenues &amp; Expenses'!$AM$5*1000*'Revenues &amp; Expenses'!O106</f>
        <v>2.4971829381257509</v>
      </c>
      <c r="H98" s="247">
        <f t="shared" si="22"/>
        <v>89</v>
      </c>
      <c r="I98" s="247">
        <f t="shared" si="15"/>
        <v>0</v>
      </c>
      <c r="J98" s="247">
        <v>315</v>
      </c>
      <c r="K98" s="391">
        <f>IF(I98&gt;0,J98*'Revenues &amp; Expenses'!F106*16,0)</f>
        <v>0</v>
      </c>
      <c r="L98" s="540">
        <f>K98*'Revenues &amp; Expenses'!N106</f>
        <v>0</v>
      </c>
      <c r="M98" s="391"/>
      <c r="N98" s="391"/>
      <c r="AC98" s="637">
        <f t="shared" si="16"/>
        <v>39539</v>
      </c>
      <c r="AD98" s="465">
        <f t="shared" si="21"/>
        <v>89</v>
      </c>
      <c r="AE98" s="465">
        <f t="shared" si="17"/>
        <v>0</v>
      </c>
      <c r="AF98" s="465">
        <f t="shared" si="18"/>
        <v>0</v>
      </c>
      <c r="AG98" s="640">
        <f t="shared" si="19"/>
        <v>0</v>
      </c>
      <c r="AJ98" s="465">
        <f t="shared" si="20"/>
        <v>0</v>
      </c>
      <c r="AK98" s="646">
        <f t="shared" si="13"/>
        <v>0</v>
      </c>
    </row>
    <row r="99" spans="1:38">
      <c r="A99" s="250">
        <v>38.231030815017846</v>
      </c>
      <c r="B99" s="248">
        <f>'Revenues &amp; Expenses'!AX107</f>
        <v>39569</v>
      </c>
      <c r="C99" s="250">
        <f>'PJM Curve Simulation'!J107</f>
        <v>34.825000000000003</v>
      </c>
      <c r="D99" s="250">
        <f t="shared" si="14"/>
        <v>44.906323762324412</v>
      </c>
      <c r="F99" s="250">
        <f>('Fuel Curve Simulation'!J107*'Revenues &amp; Expenses'!$S$2/1000)</f>
        <v>42.403590517241383</v>
      </c>
      <c r="G99" s="250">
        <f>'Revenues &amp; Expenses'!$AM$5*1000*'Revenues &amp; Expenses'!O107</f>
        <v>2.5027332450830317</v>
      </c>
      <c r="H99" s="247">
        <f t="shared" si="22"/>
        <v>90</v>
      </c>
      <c r="I99" s="247">
        <f t="shared" si="15"/>
        <v>0</v>
      </c>
      <c r="J99" s="247">
        <v>315</v>
      </c>
      <c r="K99" s="391">
        <f>IF(I99&gt;0,J99*'Revenues &amp; Expenses'!F107*16,0)</f>
        <v>0</v>
      </c>
      <c r="L99" s="540">
        <f>K99*'Revenues &amp; Expenses'!N107</f>
        <v>0</v>
      </c>
      <c r="M99" s="391"/>
      <c r="N99" s="391"/>
      <c r="AC99" s="637">
        <f t="shared" si="16"/>
        <v>39569</v>
      </c>
      <c r="AD99" s="465">
        <f t="shared" si="21"/>
        <v>90</v>
      </c>
      <c r="AE99" s="465">
        <f t="shared" si="17"/>
        <v>0</v>
      </c>
      <c r="AF99" s="465">
        <f t="shared" si="18"/>
        <v>0</v>
      </c>
      <c r="AG99" s="640">
        <f t="shared" si="19"/>
        <v>0</v>
      </c>
      <c r="AJ99" s="465">
        <f t="shared" si="20"/>
        <v>0</v>
      </c>
      <c r="AK99" s="646">
        <f t="shared" si="13"/>
        <v>0</v>
      </c>
    </row>
    <row r="100" spans="1:38">
      <c r="A100" s="250">
        <v>73.853236384104392</v>
      </c>
      <c r="B100" s="248">
        <f>'Revenues &amp; Expenses'!AX108</f>
        <v>39600</v>
      </c>
      <c r="C100" s="250">
        <f>'PJM Curve Simulation'!J108</f>
        <v>59.849998474121094</v>
      </c>
      <c r="D100" s="250">
        <f t="shared" si="14"/>
        <v>44.849127440028198</v>
      </c>
      <c r="F100" s="250">
        <f>('Fuel Curve Simulation'!J108*'Revenues &amp; Expenses'!$S$2/1000)</f>
        <v>42.34083155172415</v>
      </c>
      <c r="G100" s="250">
        <f>'Revenues &amp; Expenses'!$AM$5*1000*'Revenues &amp; Expenses'!O108</f>
        <v>2.5082958883040485</v>
      </c>
      <c r="H100" s="247">
        <f t="shared" si="22"/>
        <v>91</v>
      </c>
      <c r="I100" s="247">
        <f t="shared" si="15"/>
        <v>1</v>
      </c>
      <c r="J100" s="247">
        <v>315</v>
      </c>
      <c r="K100" s="391">
        <f>IF(I100&gt;0,J100*'Revenues &amp; Expenses'!F108*16,0)</f>
        <v>110880</v>
      </c>
      <c r="L100" s="540">
        <f>K100*'Revenues &amp; Expenses'!N108</f>
        <v>60328.848445497053</v>
      </c>
      <c r="M100" s="391"/>
      <c r="N100" s="391"/>
      <c r="AC100" s="637">
        <f t="shared" si="16"/>
        <v>39600</v>
      </c>
      <c r="AD100" s="465">
        <f t="shared" si="21"/>
        <v>91</v>
      </c>
      <c r="AE100" s="465">
        <f t="shared" si="17"/>
        <v>3610681.4874084815</v>
      </c>
      <c r="AF100" s="465">
        <f t="shared" si="18"/>
        <v>60328.848445497053</v>
      </c>
      <c r="AG100" s="640">
        <f t="shared" si="19"/>
        <v>59.849998474121094</v>
      </c>
      <c r="AJ100" s="465">
        <f t="shared" si="20"/>
        <v>2705696.2122422443</v>
      </c>
      <c r="AK100" s="646">
        <f t="shared" si="13"/>
        <v>44.849127440028198</v>
      </c>
    </row>
    <row r="101" spans="1:38">
      <c r="A101" s="250">
        <v>134.52358346634657</v>
      </c>
      <c r="B101" s="248">
        <f>'Revenues &amp; Expenses'!AX109</f>
        <v>39630</v>
      </c>
      <c r="C101" s="250">
        <f>'PJM Curve Simulation'!J109</f>
        <v>102.44999694824219</v>
      </c>
      <c r="D101" s="250">
        <f t="shared" si="14"/>
        <v>45.403017619345654</v>
      </c>
      <c r="F101" s="250">
        <f>('Fuel Curve Simulation'!J109*'Revenues &amp; Expenses'!$S$2/1000)</f>
        <v>42.889146724137937</v>
      </c>
      <c r="G101" s="250">
        <f>'Revenues &amp; Expenses'!$AM$5*1000*'Revenues &amp; Expenses'!O109</f>
        <v>2.5138708952077167</v>
      </c>
      <c r="H101" s="247">
        <f t="shared" si="22"/>
        <v>92</v>
      </c>
      <c r="I101" s="247">
        <f t="shared" si="15"/>
        <v>1</v>
      </c>
      <c r="J101" s="247">
        <v>315</v>
      </c>
      <c r="K101" s="391">
        <f>IF(I101&gt;0,J101*'Revenues &amp; Expenses'!F109*16,0)</f>
        <v>110880</v>
      </c>
      <c r="L101" s="540">
        <f>K101*'Revenues &amp; Expenses'!N109</f>
        <v>59962.268722787623</v>
      </c>
      <c r="M101" s="391"/>
      <c r="N101" s="391"/>
      <c r="AC101" s="637">
        <f t="shared" si="16"/>
        <v>39630</v>
      </c>
      <c r="AD101" s="465">
        <f t="shared" si="21"/>
        <v>92</v>
      </c>
      <c r="AE101" s="465">
        <f t="shared" si="17"/>
        <v>6143134.2476592697</v>
      </c>
      <c r="AF101" s="465">
        <f t="shared" si="18"/>
        <v>59962.268722787623</v>
      </c>
      <c r="AG101" s="640">
        <f t="shared" si="19"/>
        <v>102.44999694824219</v>
      </c>
      <c r="AJ101" s="465">
        <f t="shared" si="20"/>
        <v>2722467.9433166655</v>
      </c>
      <c r="AK101" s="646">
        <f t="shared" si="13"/>
        <v>45.403017619345654</v>
      </c>
    </row>
    <row r="102" spans="1:38">
      <c r="A102" s="250">
        <v>109.78554951151672</v>
      </c>
      <c r="B102" s="248">
        <f>'Revenues &amp; Expenses'!AX110</f>
        <v>39661</v>
      </c>
      <c r="C102" s="250">
        <f>'PJM Curve Simulation'!J110</f>
        <v>89.449996948242188</v>
      </c>
      <c r="D102" s="250">
        <f t="shared" si="14"/>
        <v>46.27566967258425</v>
      </c>
      <c r="F102" s="250">
        <f>('Fuel Curve Simulation'!J110*'Revenues &amp; Expenses'!$S$2/1000)</f>
        <v>43.756211379310358</v>
      </c>
      <c r="G102" s="250">
        <f>'Revenues &amp; Expenses'!$AM$5*1000*'Revenues &amp; Expenses'!O110</f>
        <v>2.5194582932738956</v>
      </c>
      <c r="H102" s="247">
        <f t="shared" si="22"/>
        <v>93</v>
      </c>
      <c r="I102" s="247">
        <f t="shared" si="15"/>
        <v>1</v>
      </c>
      <c r="J102" s="247">
        <v>315</v>
      </c>
      <c r="K102" s="391">
        <f>IF(I102&gt;0,J102*'Revenues &amp; Expenses'!F110*16,0)</f>
        <v>110880</v>
      </c>
      <c r="L102" s="540">
        <f>K102*'Revenues &amp; Expenses'!N110</f>
        <v>59585.66588202025</v>
      </c>
      <c r="M102" s="391"/>
      <c r="N102" s="391"/>
      <c r="AC102" s="637">
        <f t="shared" si="16"/>
        <v>39661</v>
      </c>
      <c r="AD102" s="465">
        <f t="shared" si="21"/>
        <v>93</v>
      </c>
      <c r="AE102" s="465">
        <f t="shared" si="17"/>
        <v>5329937.6313056899</v>
      </c>
      <c r="AF102" s="465">
        <f t="shared" si="18"/>
        <v>59585.66588202025</v>
      </c>
      <c r="AG102" s="640">
        <f t="shared" si="19"/>
        <v>89.449996948242188</v>
      </c>
      <c r="AJ102" s="465">
        <f t="shared" si="20"/>
        <v>2757366.5915773427</v>
      </c>
      <c r="AK102" s="646">
        <f t="shared" si="13"/>
        <v>46.27566967258425</v>
      </c>
    </row>
    <row r="103" spans="1:38">
      <c r="A103" s="250">
        <v>40.918458128000815</v>
      </c>
      <c r="B103" s="248">
        <f>'Revenues &amp; Expenses'!AX111</f>
        <v>39692</v>
      </c>
      <c r="C103" s="250">
        <f>'PJM Curve Simulation'!J111</f>
        <v>35.424998474121097</v>
      </c>
      <c r="D103" s="250">
        <f t="shared" si="14"/>
        <v>47.189622937629736</v>
      </c>
      <c r="F103" s="250">
        <f>('Fuel Curve Simulation'!J111*'Revenues &amp; Expenses'!$S$2/1000)</f>
        <v>44.664564827586219</v>
      </c>
      <c r="G103" s="250">
        <f>'Revenues &amp; Expenses'!$AM$5*1000*'Revenues &amp; Expenses'!O111</f>
        <v>2.5250581100435205</v>
      </c>
      <c r="H103" s="247">
        <f t="shared" si="22"/>
        <v>94</v>
      </c>
      <c r="I103" s="247">
        <f t="shared" si="15"/>
        <v>0</v>
      </c>
      <c r="J103" s="247">
        <v>315</v>
      </c>
      <c r="K103" s="391">
        <f>IF(I103&gt;0,J103*'Revenues &amp; Expenses'!F111*16,0)</f>
        <v>0</v>
      </c>
      <c r="L103" s="540">
        <f>K103*'Revenues &amp; Expenses'!N111</f>
        <v>0</v>
      </c>
      <c r="M103" s="391"/>
      <c r="N103" s="391"/>
      <c r="AC103" s="637">
        <f t="shared" si="16"/>
        <v>39692</v>
      </c>
      <c r="AD103" s="465">
        <f t="shared" si="21"/>
        <v>94</v>
      </c>
      <c r="AE103" s="465">
        <f t="shared" si="17"/>
        <v>0</v>
      </c>
      <c r="AF103" s="465">
        <f t="shared" si="18"/>
        <v>0</v>
      </c>
      <c r="AG103" s="640">
        <f t="shared" si="19"/>
        <v>0</v>
      </c>
      <c r="AJ103" s="465">
        <f t="shared" si="20"/>
        <v>0</v>
      </c>
      <c r="AK103" s="646">
        <f t="shared" si="13"/>
        <v>0</v>
      </c>
    </row>
    <row r="104" spans="1:38">
      <c r="A104" s="250">
        <v>34.155129823122024</v>
      </c>
      <c r="B104" s="248">
        <f>'Revenues &amp; Expenses'!AX112</f>
        <v>39722</v>
      </c>
      <c r="C104" s="250">
        <f>'PJM Curve Simulation'!J112</f>
        <v>29.075000381469728</v>
      </c>
      <c r="D104" s="250">
        <f t="shared" si="14"/>
        <v>48.082118476567011</v>
      </c>
      <c r="F104" s="250">
        <f>('Fuel Curve Simulation'!J112*'Revenues &amp; Expenses'!$S$2/1000)</f>
        <v>45.551448103448273</v>
      </c>
      <c r="G104" s="250">
        <f>'Revenues &amp; Expenses'!$AM$5*1000*'Revenues &amp; Expenses'!O112</f>
        <v>2.530670373118741</v>
      </c>
      <c r="H104" s="247">
        <f t="shared" si="22"/>
        <v>95</v>
      </c>
      <c r="I104" s="247">
        <f t="shared" si="15"/>
        <v>0</v>
      </c>
      <c r="J104" s="247">
        <v>315</v>
      </c>
      <c r="K104" s="391">
        <f>IF(I104&gt;0,J104*'Revenues &amp; Expenses'!F112*16,0)</f>
        <v>0</v>
      </c>
      <c r="L104" s="540">
        <f>K104*'Revenues &amp; Expenses'!N112</f>
        <v>0</v>
      </c>
      <c r="M104" s="391"/>
      <c r="N104" s="391"/>
      <c r="AC104" s="637">
        <f t="shared" si="16"/>
        <v>39722</v>
      </c>
      <c r="AD104" s="465">
        <f t="shared" si="21"/>
        <v>95</v>
      </c>
      <c r="AE104" s="465">
        <f t="shared" si="17"/>
        <v>0</v>
      </c>
      <c r="AF104" s="465">
        <f t="shared" si="18"/>
        <v>0</v>
      </c>
      <c r="AG104" s="640">
        <f t="shared" si="19"/>
        <v>0</v>
      </c>
      <c r="AJ104" s="465">
        <f t="shared" si="20"/>
        <v>0</v>
      </c>
      <c r="AK104" s="646">
        <f t="shared" si="13"/>
        <v>0</v>
      </c>
    </row>
    <row r="105" spans="1:38">
      <c r="A105" s="250">
        <v>34.233240597267155</v>
      </c>
      <c r="B105" s="248">
        <f>'Revenues &amp; Expenses'!AX113</f>
        <v>39753</v>
      </c>
      <c r="C105" s="250">
        <f>'PJM Curve Simulation'!J113</f>
        <v>28.747499084472658</v>
      </c>
      <c r="D105" s="250">
        <f t="shared" si="14"/>
        <v>48.560087006714781</v>
      </c>
      <c r="F105" s="250">
        <f>('Fuel Curve Simulation'!J113*'Revenues &amp; Expenses'!$S$2/1000)</f>
        <v>46.023791896551728</v>
      </c>
      <c r="G105" s="250">
        <f>'Revenues &amp; Expenses'!$AM$5*1000*'Revenues &amp; Expenses'!O113</f>
        <v>2.5362951101630555</v>
      </c>
      <c r="H105" s="247">
        <f t="shared" si="22"/>
        <v>96</v>
      </c>
      <c r="I105" s="247">
        <f t="shared" si="15"/>
        <v>0</v>
      </c>
      <c r="J105" s="247">
        <v>315</v>
      </c>
      <c r="K105" s="391">
        <f>IF(I105&gt;0,J105*'Revenues &amp; Expenses'!F113*16,0)</f>
        <v>0</v>
      </c>
      <c r="L105" s="540">
        <f>K105*'Revenues &amp; Expenses'!N113</f>
        <v>0</v>
      </c>
      <c r="M105" s="391"/>
      <c r="N105" s="391"/>
      <c r="AC105" s="637">
        <f t="shared" si="16"/>
        <v>39753</v>
      </c>
      <c r="AD105" s="465">
        <f t="shared" si="21"/>
        <v>96</v>
      </c>
      <c r="AE105" s="465">
        <f t="shared" si="17"/>
        <v>0</v>
      </c>
      <c r="AF105" s="465">
        <f t="shared" si="18"/>
        <v>0</v>
      </c>
      <c r="AG105" s="640">
        <f t="shared" si="19"/>
        <v>0</v>
      </c>
      <c r="AJ105" s="465">
        <f t="shared" si="20"/>
        <v>0</v>
      </c>
      <c r="AK105" s="646">
        <f t="shared" si="13"/>
        <v>0</v>
      </c>
    </row>
    <row r="106" spans="1:38">
      <c r="A106" s="250">
        <v>36.781898193941402</v>
      </c>
      <c r="B106" s="248">
        <f>'Revenues &amp; Expenses'!AX114</f>
        <v>39783</v>
      </c>
      <c r="C106" s="250">
        <f>'PJM Curve Simulation'!J114</f>
        <v>30.499999618530275</v>
      </c>
      <c r="D106" s="250">
        <f t="shared" si="14"/>
        <v>48.975309073039384</v>
      </c>
      <c r="F106" s="250">
        <f>('Fuel Curve Simulation'!J114*'Revenues &amp; Expenses'!$S$2/1000)</f>
        <v>46.433376724137936</v>
      </c>
      <c r="G106" s="250">
        <f>'Revenues &amp; Expenses'!$AM$5*1000*'Revenues &amp; Expenses'!O114</f>
        <v>2.5419323489014483</v>
      </c>
      <c r="H106" s="247">
        <f t="shared" si="22"/>
        <v>97</v>
      </c>
      <c r="I106" s="247">
        <f t="shared" si="15"/>
        <v>0</v>
      </c>
      <c r="J106" s="247">
        <v>315</v>
      </c>
      <c r="K106" s="391">
        <f>IF(I106&gt;0,J106*'Revenues &amp; Expenses'!F114*16,0)</f>
        <v>0</v>
      </c>
      <c r="L106" s="540">
        <f>K106*'Revenues &amp; Expenses'!N114</f>
        <v>0</v>
      </c>
      <c r="M106" s="391">
        <f>SUM(L95:L106)</f>
        <v>179876.78305030492</v>
      </c>
      <c r="N106" s="391">
        <f>SUM(K95:K106)</f>
        <v>332640</v>
      </c>
      <c r="AC106" s="637">
        <f t="shared" si="16"/>
        <v>39783</v>
      </c>
      <c r="AD106" s="465">
        <f t="shared" si="21"/>
        <v>97</v>
      </c>
      <c r="AE106" s="465">
        <f t="shared" si="17"/>
        <v>0</v>
      </c>
      <c r="AF106" s="465">
        <f t="shared" si="18"/>
        <v>0</v>
      </c>
      <c r="AG106" s="640">
        <f t="shared" si="19"/>
        <v>0</v>
      </c>
      <c r="AH106" s="640">
        <f>IF(SUM(AF95:AF106)=0,0,SUM(AE95:AE106)/SUM(AF95:AF106))</f>
        <v>83.856032505068043</v>
      </c>
      <c r="AJ106" s="465">
        <f t="shared" si="20"/>
        <v>0</v>
      </c>
      <c r="AK106" s="646">
        <f t="shared" si="13"/>
        <v>0</v>
      </c>
      <c r="AL106" s="646">
        <f>IF(SUM(AF95:AF106)=0,0,SUM(AJ95:AJ106)/SUM(AF95:AF106))</f>
        <v>45.50632165156668</v>
      </c>
    </row>
    <row r="107" spans="1:38">
      <c r="A107" s="250">
        <v>48.221011119424034</v>
      </c>
      <c r="B107" s="248">
        <f>'Revenues &amp; Expenses'!AX115</f>
        <v>39814</v>
      </c>
      <c r="C107" s="250">
        <f>'PJM Curve Simulation'!J115</f>
        <v>39.324998474121088</v>
      </c>
      <c r="D107" s="250">
        <f t="shared" si="14"/>
        <v>48.432643668844683</v>
      </c>
      <c r="F107" s="250">
        <f>('Fuel Curve Simulation'!J115*'Revenues &amp; Expenses'!$S$2/1000)</f>
        <v>45.885061551724156</v>
      </c>
      <c r="G107" s="250">
        <f>'Revenues &amp; Expenses'!$AM$5*1000*'Revenues &amp; Expenses'!O115</f>
        <v>2.5475821171205264</v>
      </c>
      <c r="H107" s="247">
        <f t="shared" si="22"/>
        <v>98</v>
      </c>
      <c r="I107" s="247">
        <f t="shared" si="15"/>
        <v>0</v>
      </c>
      <c r="J107" s="247">
        <v>315</v>
      </c>
      <c r="K107" s="391">
        <f>IF(I107&gt;0,J107*'Revenues &amp; Expenses'!F115*16,0)</f>
        <v>0</v>
      </c>
      <c r="L107" s="540">
        <f>K107*'Revenues &amp; Expenses'!N115</f>
        <v>0</v>
      </c>
      <c r="M107" s="391"/>
      <c r="N107" s="391"/>
      <c r="AC107" s="637">
        <f t="shared" si="16"/>
        <v>39814</v>
      </c>
      <c r="AD107" s="465">
        <f t="shared" si="21"/>
        <v>98</v>
      </c>
      <c r="AE107" s="465">
        <f t="shared" si="17"/>
        <v>0</v>
      </c>
      <c r="AF107" s="465">
        <f t="shared" si="18"/>
        <v>0</v>
      </c>
      <c r="AG107" s="640">
        <f t="shared" si="19"/>
        <v>0</v>
      </c>
      <c r="AJ107" s="465">
        <f t="shared" si="20"/>
        <v>0</v>
      </c>
      <c r="AK107" s="646">
        <f t="shared" si="13"/>
        <v>0</v>
      </c>
    </row>
    <row r="108" spans="1:38">
      <c r="A108" s="250">
        <v>48.221011119424034</v>
      </c>
      <c r="B108" s="248">
        <f>'Revenues &amp; Expenses'!AX116</f>
        <v>39845</v>
      </c>
      <c r="C108" s="250">
        <f>'PJM Curve Simulation'!J116</f>
        <v>39.324998474121088</v>
      </c>
      <c r="D108" s="250">
        <f t="shared" si="14"/>
        <v>47.488663753013491</v>
      </c>
      <c r="F108" s="250">
        <f>('Fuel Curve Simulation'!J116*'Revenues &amp; Expenses'!$S$2/1000)</f>
        <v>44.935419310344834</v>
      </c>
      <c r="G108" s="250">
        <f>'Revenues &amp; Expenses'!$AM$5*1000*'Revenues &amp; Expenses'!O116</f>
        <v>2.5532444426686545</v>
      </c>
      <c r="H108" s="247">
        <f t="shared" si="22"/>
        <v>99</v>
      </c>
      <c r="I108" s="247">
        <f t="shared" si="15"/>
        <v>0</v>
      </c>
      <c r="J108" s="247">
        <v>315</v>
      </c>
      <c r="K108" s="391">
        <f>IF(I108&gt;0,J108*'Revenues &amp; Expenses'!F116*16,0)</f>
        <v>0</v>
      </c>
      <c r="L108" s="540">
        <f>K108*'Revenues &amp; Expenses'!N116</f>
        <v>0</v>
      </c>
      <c r="M108" s="391"/>
      <c r="N108" s="391"/>
      <c r="AC108" s="637">
        <f t="shared" si="16"/>
        <v>39845</v>
      </c>
      <c r="AD108" s="465">
        <f t="shared" si="21"/>
        <v>99</v>
      </c>
      <c r="AE108" s="465">
        <f t="shared" si="17"/>
        <v>0</v>
      </c>
      <c r="AF108" s="465">
        <f t="shared" si="18"/>
        <v>0</v>
      </c>
      <c r="AG108" s="640">
        <f t="shared" si="19"/>
        <v>0</v>
      </c>
      <c r="AJ108" s="465">
        <f t="shared" si="20"/>
        <v>0</v>
      </c>
      <c r="AK108" s="646">
        <f t="shared" si="13"/>
        <v>0</v>
      </c>
    </row>
    <row r="109" spans="1:38">
      <c r="A109" s="250">
        <v>35.331337177906036</v>
      </c>
      <c r="B109" s="248">
        <f>'Revenues &amp; Expenses'!AX117</f>
        <v>39873</v>
      </c>
      <c r="C109" s="250">
        <f>'PJM Curve Simulation'!J117</f>
        <v>29.050000762939455</v>
      </c>
      <c r="D109" s="250">
        <f t="shared" si="14"/>
        <v>46.564515043111278</v>
      </c>
      <c r="F109" s="250">
        <f>('Fuel Curve Simulation'!J117*'Revenues &amp; Expenses'!$S$2/1000)</f>
        <v>44.005595689655181</v>
      </c>
      <c r="G109" s="250">
        <f>'Revenues &amp; Expenses'!$AM$5*1000*'Revenues &amp; Expenses'!O117</f>
        <v>2.5589193534560954</v>
      </c>
      <c r="H109" s="247">
        <f t="shared" si="22"/>
        <v>100</v>
      </c>
      <c r="I109" s="247">
        <f t="shared" si="15"/>
        <v>0</v>
      </c>
      <c r="J109" s="247">
        <v>315</v>
      </c>
      <c r="K109" s="391">
        <f>IF(I109&gt;0,J109*'Revenues &amp; Expenses'!F117*16,0)</f>
        <v>0</v>
      </c>
      <c r="L109" s="540">
        <f>K109*'Revenues &amp; Expenses'!N117</f>
        <v>0</v>
      </c>
      <c r="M109" s="391"/>
      <c r="N109" s="391"/>
      <c r="AC109" s="637">
        <f t="shared" si="16"/>
        <v>39873</v>
      </c>
      <c r="AD109" s="465">
        <f t="shared" si="21"/>
        <v>100</v>
      </c>
      <c r="AE109" s="465">
        <f t="shared" si="17"/>
        <v>0</v>
      </c>
      <c r="AF109" s="465">
        <f t="shared" si="18"/>
        <v>0</v>
      </c>
      <c r="AG109" s="640">
        <f t="shared" si="19"/>
        <v>0</v>
      </c>
      <c r="AJ109" s="465">
        <f t="shared" si="20"/>
        <v>0</v>
      </c>
      <c r="AK109" s="646">
        <f t="shared" si="13"/>
        <v>0</v>
      </c>
    </row>
    <row r="110" spans="1:38">
      <c r="A110" s="250">
        <v>32.697993886139209</v>
      </c>
      <c r="B110" s="248">
        <f>'Revenues &amp; Expenses'!AX118</f>
        <v>39904</v>
      </c>
      <c r="C110" s="250">
        <f>'PJM Curve Simulation'!J118</f>
        <v>28.825000762939453</v>
      </c>
      <c r="D110" s="250">
        <f t="shared" si="14"/>
        <v>45.612302567110326</v>
      </c>
      <c r="F110" s="250">
        <f>('Fuel Curve Simulation'!J118*'Revenues &amp; Expenses'!$S$2/1000)</f>
        <v>43.047695689655178</v>
      </c>
      <c r="G110" s="250">
        <f>'Revenues &amp; Expenses'!$AM$5*1000*'Revenues &amp; Expenses'!O118</f>
        <v>2.5646068774551458</v>
      </c>
      <c r="H110" s="247">
        <f t="shared" si="22"/>
        <v>101</v>
      </c>
      <c r="I110" s="247">
        <f t="shared" si="15"/>
        <v>0</v>
      </c>
      <c r="J110" s="247">
        <v>315</v>
      </c>
      <c r="K110" s="391">
        <f>IF(I110&gt;0,J110*'Revenues &amp; Expenses'!F118*16,0)</f>
        <v>0</v>
      </c>
      <c r="L110" s="540">
        <f>K110*'Revenues &amp; Expenses'!N118</f>
        <v>0</v>
      </c>
      <c r="M110" s="391"/>
      <c r="N110" s="391"/>
      <c r="AC110" s="637">
        <f t="shared" si="16"/>
        <v>39904</v>
      </c>
      <c r="AD110" s="465">
        <f t="shared" si="21"/>
        <v>101</v>
      </c>
      <c r="AE110" s="465">
        <f t="shared" si="17"/>
        <v>0</v>
      </c>
      <c r="AF110" s="465">
        <f t="shared" si="18"/>
        <v>0</v>
      </c>
      <c r="AG110" s="640">
        <f t="shared" si="19"/>
        <v>0</v>
      </c>
      <c r="AJ110" s="465">
        <f t="shared" si="20"/>
        <v>0</v>
      </c>
      <c r="AK110" s="646">
        <f t="shared" si="13"/>
        <v>0</v>
      </c>
    </row>
    <row r="111" spans="1:38">
      <c r="A111" s="250">
        <v>39.603286048866288</v>
      </c>
      <c r="B111" s="248">
        <f>'Revenues &amp; Expenses'!AX119</f>
        <v>39934</v>
      </c>
      <c r="C111" s="250">
        <f>'PJM Curve Simulation'!J119</f>
        <v>36.075000000000003</v>
      </c>
      <c r="D111" s="250">
        <f t="shared" si="14"/>
        <v>44.973897559941655</v>
      </c>
      <c r="F111" s="250">
        <f>('Fuel Curve Simulation'!J119*'Revenues &amp; Expenses'!$S$2/1000)</f>
        <v>42.403590517241383</v>
      </c>
      <c r="G111" s="250">
        <f>'Revenues &amp; Expenses'!$AM$5*1000*'Revenues &amp; Expenses'!O119</f>
        <v>2.5703070427002737</v>
      </c>
      <c r="H111" s="247">
        <f t="shared" si="22"/>
        <v>102</v>
      </c>
      <c r="I111" s="247">
        <f t="shared" si="15"/>
        <v>0</v>
      </c>
      <c r="J111" s="247">
        <v>315</v>
      </c>
      <c r="K111" s="391">
        <f>IF(I111&gt;0,J111*'Revenues &amp; Expenses'!F119*16,0)</f>
        <v>0</v>
      </c>
      <c r="L111" s="540">
        <f>K111*'Revenues &amp; Expenses'!N119</f>
        <v>0</v>
      </c>
      <c r="M111" s="391"/>
      <c r="N111" s="391"/>
      <c r="AC111" s="637">
        <f t="shared" si="16"/>
        <v>39934</v>
      </c>
      <c r="AD111" s="465">
        <f t="shared" si="21"/>
        <v>102</v>
      </c>
      <c r="AE111" s="465">
        <f t="shared" si="17"/>
        <v>0</v>
      </c>
      <c r="AF111" s="465">
        <f t="shared" si="18"/>
        <v>0</v>
      </c>
      <c r="AG111" s="640">
        <f t="shared" si="19"/>
        <v>0</v>
      </c>
      <c r="AJ111" s="465">
        <f t="shared" si="20"/>
        <v>0</v>
      </c>
      <c r="AK111" s="646">
        <f t="shared" si="13"/>
        <v>0</v>
      </c>
    </row>
    <row r="112" spans="1:38">
      <c r="A112" s="250">
        <v>75.395701677901314</v>
      </c>
      <c r="B112" s="248">
        <f>'Revenues &amp; Expenses'!AX120</f>
        <v>39965</v>
      </c>
      <c r="C112" s="250">
        <f>'PJM Curve Simulation'!J120</f>
        <v>61.099998474121094</v>
      </c>
      <c r="D112" s="250">
        <f t="shared" si="14"/>
        <v>44.916851429012411</v>
      </c>
      <c r="F112" s="250">
        <f>('Fuel Curve Simulation'!J120*'Revenues &amp; Expenses'!$S$2/1000)</f>
        <v>42.34083155172415</v>
      </c>
      <c r="G112" s="250">
        <f>'Revenues &amp; Expenses'!$AM$5*1000*'Revenues &amp; Expenses'!O120</f>
        <v>2.5760198772882577</v>
      </c>
      <c r="H112" s="247">
        <f t="shared" si="22"/>
        <v>103</v>
      </c>
      <c r="I112" s="247">
        <f t="shared" si="15"/>
        <v>1</v>
      </c>
      <c r="J112" s="247">
        <v>315</v>
      </c>
      <c r="K112" s="391">
        <f>IF(I112&gt;0,J112*'Revenues &amp; Expenses'!F120*16,0)</f>
        <v>105840</v>
      </c>
      <c r="L112" s="540">
        <f>K112*'Revenues &amp; Expenses'!N120</f>
        <v>53462.46831955549</v>
      </c>
      <c r="M112" s="391"/>
      <c r="N112" s="391"/>
      <c r="AC112" s="637">
        <f t="shared" si="16"/>
        <v>39965</v>
      </c>
      <c r="AD112" s="465">
        <f t="shared" si="21"/>
        <v>103</v>
      </c>
      <c r="AE112" s="465">
        <f t="shared" si="17"/>
        <v>3266556.7327475878</v>
      </c>
      <c r="AF112" s="465">
        <f t="shared" si="18"/>
        <v>53462.46831955549</v>
      </c>
      <c r="AG112" s="640">
        <f t="shared" si="19"/>
        <v>61.099998474121094</v>
      </c>
      <c r="AJ112" s="465">
        <f t="shared" si="20"/>
        <v>2401365.7465377566</v>
      </c>
      <c r="AK112" s="646">
        <f t="shared" si="13"/>
        <v>44.916851429012411</v>
      </c>
    </row>
    <row r="113" spans="1:38">
      <c r="A113" s="250">
        <v>137.47798143428594</v>
      </c>
      <c r="B113" s="248">
        <f>'Revenues &amp; Expenses'!AX121</f>
        <v>39995</v>
      </c>
      <c r="C113" s="250">
        <f>'PJM Curve Simulation'!J121</f>
        <v>104.69999694824219</v>
      </c>
      <c r="D113" s="250">
        <f t="shared" si="14"/>
        <v>45.470892133516259</v>
      </c>
      <c r="F113" s="250">
        <f>('Fuel Curve Simulation'!J121*'Revenues &amp; Expenses'!$S$2/1000)</f>
        <v>42.889146724137937</v>
      </c>
      <c r="G113" s="250">
        <f>'Revenues &amp; Expenses'!$AM$5*1000*'Revenues &amp; Expenses'!O121</f>
        <v>2.5817454093783248</v>
      </c>
      <c r="H113" s="247">
        <f t="shared" si="22"/>
        <v>104</v>
      </c>
      <c r="I113" s="247">
        <f t="shared" si="15"/>
        <v>1</v>
      </c>
      <c r="J113" s="247">
        <v>315</v>
      </c>
      <c r="K113" s="391">
        <f>IF(I113&gt;0,J113*'Revenues &amp; Expenses'!F121*16,0)</f>
        <v>110880</v>
      </c>
      <c r="L113" s="540">
        <f>K113*'Revenues &amp; Expenses'!N121</f>
        <v>55666.418763103138</v>
      </c>
      <c r="M113" s="391"/>
      <c r="N113" s="391"/>
      <c r="AC113" s="637">
        <f t="shared" si="16"/>
        <v>39995</v>
      </c>
      <c r="AD113" s="465">
        <f t="shared" si="21"/>
        <v>104</v>
      </c>
      <c r="AE113" s="465">
        <f t="shared" si="17"/>
        <v>5828273.8746164702</v>
      </c>
      <c r="AF113" s="465">
        <f t="shared" si="18"/>
        <v>55666.418763103138</v>
      </c>
      <c r="AG113" s="640">
        <f t="shared" si="19"/>
        <v>104.69999694824219</v>
      </c>
      <c r="AJ113" s="465">
        <f t="shared" si="20"/>
        <v>2531201.7230362082</v>
      </c>
      <c r="AK113" s="646">
        <f t="shared" si="13"/>
        <v>45.470892133516259</v>
      </c>
    </row>
    <row r="114" spans="1:38">
      <c r="A114" s="250">
        <v>112.5470642664456</v>
      </c>
      <c r="B114" s="248">
        <f>'Revenues &amp; Expenses'!AX122</f>
        <v>40026</v>
      </c>
      <c r="C114" s="250">
        <f>'PJM Curve Simulation'!J122</f>
        <v>91.699996948242188</v>
      </c>
      <c r="D114" s="250">
        <f t="shared" si="14"/>
        <v>46.343695046502646</v>
      </c>
      <c r="F114" s="250">
        <f>('Fuel Curve Simulation'!J122*'Revenues &amp; Expenses'!$S$2/1000)</f>
        <v>43.756211379310358</v>
      </c>
      <c r="G114" s="250">
        <f>'Revenues &amp; Expenses'!$AM$5*1000*'Revenues &amp; Expenses'!O122</f>
        <v>2.5874836671922905</v>
      </c>
      <c r="H114" s="247">
        <f t="shared" si="22"/>
        <v>105</v>
      </c>
      <c r="I114" s="247">
        <f t="shared" si="15"/>
        <v>1</v>
      </c>
      <c r="J114" s="247">
        <v>315</v>
      </c>
      <c r="K114" s="391">
        <f>IF(I114&gt;0,J114*'Revenues &amp; Expenses'!F122*16,0)</f>
        <v>115920</v>
      </c>
      <c r="L114" s="540">
        <f>K114*'Revenues &amp; Expenses'!N122</f>
        <v>57829.527456737676</v>
      </c>
      <c r="M114" s="391"/>
      <c r="N114" s="391"/>
      <c r="AC114" s="637">
        <f t="shared" si="16"/>
        <v>40026</v>
      </c>
      <c r="AD114" s="465">
        <f t="shared" si="21"/>
        <v>105</v>
      </c>
      <c r="AE114" s="465">
        <f t="shared" si="17"/>
        <v>5302967.4913011324</v>
      </c>
      <c r="AF114" s="465">
        <f t="shared" si="18"/>
        <v>57829.527456737676</v>
      </c>
      <c r="AG114" s="640">
        <f t="shared" si="19"/>
        <v>91.699996948242188</v>
      </c>
      <c r="AJ114" s="465">
        <f t="shared" si="20"/>
        <v>2680033.9851384028</v>
      </c>
      <c r="AK114" s="646">
        <f t="shared" si="13"/>
        <v>46.343695046502646</v>
      </c>
    </row>
    <row r="115" spans="1:38">
      <c r="A115" s="250">
        <v>41.495994611988145</v>
      </c>
      <c r="B115" s="248">
        <f>'Revenues &amp; Expenses'!AX123</f>
        <v>40057</v>
      </c>
      <c r="C115" s="250">
        <f>'PJM Curve Simulation'!J123</f>
        <v>35.924998474121097</v>
      </c>
      <c r="D115" s="250">
        <f t="shared" si="14"/>
        <v>47.257799506600911</v>
      </c>
      <c r="F115" s="250">
        <f>('Fuel Curve Simulation'!J123*'Revenues &amp; Expenses'!$S$2/1000)</f>
        <v>44.664564827586219</v>
      </c>
      <c r="G115" s="250">
        <f>'Revenues &amp; Expenses'!$AM$5*1000*'Revenues &amp; Expenses'!O123</f>
        <v>2.5932346790146954</v>
      </c>
      <c r="H115" s="247">
        <f t="shared" si="22"/>
        <v>106</v>
      </c>
      <c r="I115" s="247">
        <f t="shared" si="15"/>
        <v>0</v>
      </c>
      <c r="J115" s="247">
        <v>315</v>
      </c>
      <c r="K115" s="391">
        <f>IF(I115&gt;0,J115*'Revenues &amp; Expenses'!F123*16,0)</f>
        <v>0</v>
      </c>
      <c r="L115" s="540">
        <f>K115*'Revenues &amp; Expenses'!N123</f>
        <v>0</v>
      </c>
      <c r="M115" s="391"/>
      <c r="N115" s="391"/>
      <c r="AC115" s="637">
        <f t="shared" si="16"/>
        <v>40057</v>
      </c>
      <c r="AD115" s="465">
        <f t="shared" si="21"/>
        <v>106</v>
      </c>
      <c r="AE115" s="465">
        <f t="shared" si="17"/>
        <v>0</v>
      </c>
      <c r="AF115" s="465">
        <f t="shared" si="18"/>
        <v>0</v>
      </c>
      <c r="AG115" s="640">
        <f t="shared" si="19"/>
        <v>0</v>
      </c>
      <c r="AJ115" s="465">
        <f t="shared" si="20"/>
        <v>0</v>
      </c>
      <c r="AK115" s="646">
        <f t="shared" si="13"/>
        <v>0</v>
      </c>
    </row>
    <row r="116" spans="1:38">
      <c r="A116" s="250">
        <v>34.742492323122029</v>
      </c>
      <c r="B116" s="248">
        <f>'Revenues &amp; Expenses'!AX124</f>
        <v>40087</v>
      </c>
      <c r="C116" s="250">
        <f>'PJM Curve Simulation'!J124</f>
        <v>29.575000381469728</v>
      </c>
      <c r="D116" s="250">
        <f t="shared" si="14"/>
        <v>48.150446576641222</v>
      </c>
      <c r="F116" s="250">
        <f>('Fuel Curve Simulation'!J124*'Revenues &amp; Expenses'!$S$2/1000)</f>
        <v>45.551448103448273</v>
      </c>
      <c r="G116" s="250">
        <f>'Revenues &amp; Expenses'!$AM$5*1000*'Revenues &amp; Expenses'!O124</f>
        <v>2.598998473192947</v>
      </c>
      <c r="H116" s="247">
        <f t="shared" si="22"/>
        <v>107</v>
      </c>
      <c r="I116" s="247">
        <f t="shared" si="15"/>
        <v>0</v>
      </c>
      <c r="J116" s="247">
        <v>315</v>
      </c>
      <c r="K116" s="391">
        <f>IF(I116&gt;0,J116*'Revenues &amp; Expenses'!F124*16,0)</f>
        <v>0</v>
      </c>
      <c r="L116" s="540">
        <f>K116*'Revenues &amp; Expenses'!N124</f>
        <v>0</v>
      </c>
      <c r="M116" s="391"/>
      <c r="N116" s="391"/>
      <c r="AC116" s="637">
        <f t="shared" si="16"/>
        <v>40087</v>
      </c>
      <c r="AD116" s="465">
        <f t="shared" si="21"/>
        <v>107</v>
      </c>
      <c r="AE116" s="465">
        <f t="shared" si="17"/>
        <v>0</v>
      </c>
      <c r="AF116" s="465">
        <f t="shared" si="18"/>
        <v>0</v>
      </c>
      <c r="AG116" s="640">
        <f t="shared" si="19"/>
        <v>0</v>
      </c>
      <c r="AJ116" s="465">
        <f t="shared" si="20"/>
        <v>0</v>
      </c>
      <c r="AK116" s="646">
        <f t="shared" si="13"/>
        <v>0</v>
      </c>
    </row>
    <row r="117" spans="1:38">
      <c r="A117" s="250">
        <v>34.828653097267157</v>
      </c>
      <c r="B117" s="248">
        <f>'Revenues &amp; Expenses'!AX125</f>
        <v>40118</v>
      </c>
      <c r="C117" s="250">
        <f>'PJM Curve Simulation'!J125</f>
        <v>29.247499084472658</v>
      </c>
      <c r="D117" s="250">
        <f t="shared" si="14"/>
        <v>48.628566974689186</v>
      </c>
      <c r="F117" s="250">
        <f>('Fuel Curve Simulation'!J125*'Revenues &amp; Expenses'!$S$2/1000)</f>
        <v>46.023791896551728</v>
      </c>
      <c r="G117" s="250">
        <f>'Revenues &amp; Expenses'!$AM$5*1000*'Revenues &amp; Expenses'!O125</f>
        <v>2.6047750781374579</v>
      </c>
      <c r="H117" s="247">
        <f t="shared" si="22"/>
        <v>108</v>
      </c>
      <c r="I117" s="247">
        <f t="shared" si="15"/>
        <v>0</v>
      </c>
      <c r="J117" s="247">
        <v>315</v>
      </c>
      <c r="K117" s="391">
        <f>IF(I117&gt;0,J117*'Revenues &amp; Expenses'!F125*16,0)</f>
        <v>0</v>
      </c>
      <c r="L117" s="540">
        <f>K117*'Revenues &amp; Expenses'!N125</f>
        <v>0</v>
      </c>
      <c r="M117" s="391"/>
      <c r="N117" s="391"/>
      <c r="AC117" s="637">
        <f t="shared" si="16"/>
        <v>40118</v>
      </c>
      <c r="AD117" s="465">
        <f t="shared" si="21"/>
        <v>108</v>
      </c>
      <c r="AE117" s="465">
        <f t="shared" si="17"/>
        <v>0</v>
      </c>
      <c r="AF117" s="465">
        <f t="shared" si="18"/>
        <v>0</v>
      </c>
      <c r="AG117" s="640">
        <f t="shared" si="19"/>
        <v>0</v>
      </c>
      <c r="AJ117" s="465">
        <f t="shared" si="20"/>
        <v>0</v>
      </c>
      <c r="AK117" s="646">
        <f t="shared" si="13"/>
        <v>0</v>
      </c>
    </row>
    <row r="118" spans="1:38">
      <c r="A118" s="250">
        <v>37.384880139088608</v>
      </c>
      <c r="B118" s="248">
        <f>'Revenues &amp; Expenses'!AX126</f>
        <v>40148</v>
      </c>
      <c r="C118" s="250">
        <f>'PJM Curve Simulation'!J126</f>
        <v>30.999999618530275</v>
      </c>
      <c r="D118" s="250">
        <f t="shared" si="14"/>
        <v>49.043941246459724</v>
      </c>
      <c r="F118" s="250">
        <f>('Fuel Curve Simulation'!J126*'Revenues &amp; Expenses'!$S$2/1000)</f>
        <v>46.433376724137936</v>
      </c>
      <c r="G118" s="250">
        <f>'Revenues &amp; Expenses'!$AM$5*1000*'Revenues &amp; Expenses'!O126</f>
        <v>2.6105645223217873</v>
      </c>
      <c r="H118" s="247">
        <f t="shared" si="22"/>
        <v>109</v>
      </c>
      <c r="I118" s="247">
        <f t="shared" si="15"/>
        <v>0</v>
      </c>
      <c r="J118" s="247">
        <v>315</v>
      </c>
      <c r="K118" s="391">
        <f>IF(I118&gt;0,J118*'Revenues &amp; Expenses'!F126*16,0)</f>
        <v>0</v>
      </c>
      <c r="L118" s="540">
        <f>K118*'Revenues &amp; Expenses'!N126</f>
        <v>0</v>
      </c>
      <c r="M118" s="391">
        <f>SUM(L107:L118)</f>
        <v>166958.4145393963</v>
      </c>
      <c r="N118" s="391">
        <f>SUM(K107:K118)</f>
        <v>332640</v>
      </c>
      <c r="AC118" s="637">
        <f t="shared" si="16"/>
        <v>40148</v>
      </c>
      <c r="AD118" s="465">
        <f t="shared" si="21"/>
        <v>109</v>
      </c>
      <c r="AE118" s="465">
        <f t="shared" si="17"/>
        <v>0</v>
      </c>
      <c r="AF118" s="465">
        <f t="shared" si="18"/>
        <v>0</v>
      </c>
      <c r="AG118" s="640">
        <f t="shared" si="19"/>
        <v>0</v>
      </c>
      <c r="AH118" s="640">
        <f>IF(SUM(AF107:AF118)=0,0,SUM(AE107:AE118)/SUM(AF107:AF118))</f>
        <v>86.235833865491202</v>
      </c>
      <c r="AJ118" s="465">
        <f t="shared" si="20"/>
        <v>0</v>
      </c>
      <c r="AK118" s="646">
        <f t="shared" si="13"/>
        <v>0</v>
      </c>
      <c r="AL118" s="646">
        <f>IF(SUM(AF107:AF118)=0,0,SUM(AJ107:AJ118)/SUM(AF107:AF118))</f>
        <v>45.595793873066896</v>
      </c>
    </row>
    <row r="119" spans="1:38">
      <c r="A119" s="250">
        <v>48.834119994064636</v>
      </c>
      <c r="B119" s="248">
        <f>'Revenues &amp; Expenses'!AX127</f>
        <v>40179</v>
      </c>
      <c r="C119" s="250">
        <f>'PJM Curve Simulation'!J127</f>
        <v>39.824998474121088</v>
      </c>
      <c r="D119" s="250">
        <f t="shared" si="14"/>
        <v>48.501428386006936</v>
      </c>
      <c r="F119" s="250">
        <f>('Fuel Curve Simulation'!J127*'Revenues &amp; Expenses'!$S$2/1000)</f>
        <v>45.885061551724156</v>
      </c>
      <c r="G119" s="250">
        <f>'Revenues &amp; Expenses'!$AM$5*1000*'Revenues &amp; Expenses'!O127</f>
        <v>2.6163668342827804</v>
      </c>
      <c r="H119" s="247">
        <f t="shared" si="22"/>
        <v>110</v>
      </c>
      <c r="I119" s="247">
        <f t="shared" si="15"/>
        <v>0</v>
      </c>
      <c r="J119" s="247">
        <v>315</v>
      </c>
      <c r="K119" s="391">
        <f>IF(I119&gt;0,J119*'Revenues &amp; Expenses'!F127*16,0)</f>
        <v>0</v>
      </c>
      <c r="L119" s="540">
        <f>K119*'Revenues &amp; Expenses'!N127</f>
        <v>0</v>
      </c>
      <c r="M119" s="391"/>
      <c r="N119" s="391"/>
      <c r="AC119" s="637">
        <f t="shared" si="16"/>
        <v>40179</v>
      </c>
      <c r="AD119" s="465">
        <f t="shared" si="21"/>
        <v>110</v>
      </c>
      <c r="AE119" s="465">
        <f t="shared" si="17"/>
        <v>0</v>
      </c>
      <c r="AF119" s="465">
        <f t="shared" si="18"/>
        <v>0</v>
      </c>
      <c r="AG119" s="640">
        <f t="shared" si="19"/>
        <v>0</v>
      </c>
      <c r="AJ119" s="465">
        <f t="shared" si="20"/>
        <v>0</v>
      </c>
      <c r="AK119" s="646">
        <f t="shared" si="13"/>
        <v>0</v>
      </c>
    </row>
    <row r="120" spans="1:38">
      <c r="A120" s="250">
        <v>48.834119994064636</v>
      </c>
      <c r="B120" s="248">
        <f>'Revenues &amp; Expenses'!AX128</f>
        <v>40210</v>
      </c>
      <c r="C120" s="250">
        <f>'PJM Curve Simulation'!J128</f>
        <v>39.824998474121088</v>
      </c>
      <c r="D120" s="250">
        <f t="shared" si="14"/>
        <v>47.557601352965541</v>
      </c>
      <c r="F120" s="250">
        <f>('Fuel Curve Simulation'!J128*'Revenues &amp; Expenses'!$S$2/1000)</f>
        <v>44.935419310344834</v>
      </c>
      <c r="G120" s="250">
        <f>'Revenues &amp; Expenses'!$AM$5*1000*'Revenues &amp; Expenses'!O128</f>
        <v>2.6221820426207079</v>
      </c>
      <c r="H120" s="247">
        <f t="shared" si="22"/>
        <v>111</v>
      </c>
      <c r="I120" s="247">
        <f t="shared" si="15"/>
        <v>0</v>
      </c>
      <c r="J120" s="247">
        <v>315</v>
      </c>
      <c r="K120" s="391">
        <f>IF(I120&gt;0,J120*'Revenues &amp; Expenses'!F128*16,0)</f>
        <v>0</v>
      </c>
      <c r="L120" s="540">
        <f>K120*'Revenues &amp; Expenses'!N128</f>
        <v>0</v>
      </c>
      <c r="M120" s="391"/>
      <c r="N120" s="391"/>
      <c r="AC120" s="637">
        <f t="shared" si="16"/>
        <v>40210</v>
      </c>
      <c r="AD120" s="465">
        <f t="shared" si="21"/>
        <v>111</v>
      </c>
      <c r="AE120" s="465">
        <f t="shared" si="17"/>
        <v>0</v>
      </c>
      <c r="AF120" s="465">
        <f t="shared" si="18"/>
        <v>0</v>
      </c>
      <c r="AG120" s="640">
        <f t="shared" si="19"/>
        <v>0</v>
      </c>
      <c r="AJ120" s="465">
        <f t="shared" si="20"/>
        <v>0</v>
      </c>
      <c r="AK120" s="646">
        <f t="shared" si="13"/>
        <v>0</v>
      </c>
    </row>
    <row r="121" spans="1:38">
      <c r="A121" s="250">
        <v>35.93944967790604</v>
      </c>
      <c r="B121" s="248">
        <f>'Revenues &amp; Expenses'!AX129</f>
        <v>40238</v>
      </c>
      <c r="C121" s="250">
        <f>'PJM Curve Simulation'!J129</f>
        <v>29.550000762939455</v>
      </c>
      <c r="D121" s="250">
        <f t="shared" si="14"/>
        <v>46.633605865654587</v>
      </c>
      <c r="F121" s="250">
        <f>('Fuel Curve Simulation'!J129*'Revenues &amp; Expenses'!$S$2/1000)</f>
        <v>44.005595689655181</v>
      </c>
      <c r="G121" s="250">
        <f>'Revenues &amp; Expenses'!$AM$5*1000*'Revenues &amp; Expenses'!O129</f>
        <v>2.6280101759994099</v>
      </c>
      <c r="H121" s="247">
        <f t="shared" si="22"/>
        <v>112</v>
      </c>
      <c r="I121" s="247">
        <f t="shared" si="15"/>
        <v>0</v>
      </c>
      <c r="J121" s="247">
        <v>315</v>
      </c>
      <c r="K121" s="391">
        <f>IF(I121&gt;0,J121*'Revenues &amp; Expenses'!F129*16,0)</f>
        <v>0</v>
      </c>
      <c r="L121" s="540">
        <f>K121*'Revenues &amp; Expenses'!N129</f>
        <v>0</v>
      </c>
      <c r="M121" s="391"/>
      <c r="N121" s="391"/>
      <c r="AC121" s="637">
        <f t="shared" si="16"/>
        <v>40238</v>
      </c>
      <c r="AD121" s="465">
        <f t="shared" si="21"/>
        <v>112</v>
      </c>
      <c r="AE121" s="465">
        <f t="shared" si="17"/>
        <v>0</v>
      </c>
      <c r="AF121" s="465">
        <f t="shared" si="18"/>
        <v>0</v>
      </c>
      <c r="AG121" s="640">
        <f t="shared" si="19"/>
        <v>0</v>
      </c>
      <c r="AJ121" s="465">
        <f t="shared" si="20"/>
        <v>0</v>
      </c>
      <c r="AK121" s="646">
        <f t="shared" si="13"/>
        <v>0</v>
      </c>
    </row>
    <row r="122" spans="1:38">
      <c r="A122" s="250">
        <v>33.265175031337634</v>
      </c>
      <c r="B122" s="248">
        <f>'Revenues &amp; Expenses'!AX130</f>
        <v>40269</v>
      </c>
      <c r="C122" s="250">
        <f>'PJM Curve Simulation'!J130</f>
        <v>29.325000762939453</v>
      </c>
      <c r="D122" s="250">
        <f t="shared" si="14"/>
        <v>45.681546952801611</v>
      </c>
      <c r="F122" s="250">
        <f>('Fuel Curve Simulation'!J130*'Revenues &amp; Expenses'!$S$2/1000)</f>
        <v>43.047695689655178</v>
      </c>
      <c r="G122" s="250">
        <f>'Revenues &amp; Expenses'!$AM$5*1000*'Revenues &amp; Expenses'!O130</f>
        <v>2.6338512631464344</v>
      </c>
      <c r="H122" s="247">
        <f t="shared" si="22"/>
        <v>113</v>
      </c>
      <c r="I122" s="247">
        <f t="shared" si="15"/>
        <v>0</v>
      </c>
      <c r="J122" s="247">
        <v>315</v>
      </c>
      <c r="K122" s="391">
        <f>IF(I122&gt;0,J122*'Revenues &amp; Expenses'!F130*16,0)</f>
        <v>0</v>
      </c>
      <c r="L122" s="540">
        <f>K122*'Revenues &amp; Expenses'!N130</f>
        <v>0</v>
      </c>
      <c r="M122" s="391"/>
      <c r="N122" s="391"/>
      <c r="AC122" s="637">
        <f t="shared" si="16"/>
        <v>40269</v>
      </c>
      <c r="AD122" s="465">
        <f t="shared" si="21"/>
        <v>113</v>
      </c>
      <c r="AE122" s="465">
        <f t="shared" si="17"/>
        <v>0</v>
      </c>
      <c r="AF122" s="465">
        <f t="shared" si="18"/>
        <v>0</v>
      </c>
      <c r="AG122" s="640">
        <f t="shared" si="19"/>
        <v>0</v>
      </c>
      <c r="AJ122" s="465">
        <f t="shared" si="20"/>
        <v>0</v>
      </c>
      <c r="AK122" s="646">
        <f t="shared" si="13"/>
        <v>0</v>
      </c>
    </row>
    <row r="123" spans="1:38">
      <c r="A123" s="250">
        <v>40.975541282714737</v>
      </c>
      <c r="B123" s="248">
        <f>'Revenues &amp; Expenses'!AX131</f>
        <v>40299</v>
      </c>
      <c r="C123" s="250">
        <f>'PJM Curve Simulation'!J131</f>
        <v>37.325000000000003</v>
      </c>
      <c r="D123" s="250">
        <f t="shared" si="14"/>
        <v>45.043295850094566</v>
      </c>
      <c r="F123" s="250">
        <f>('Fuel Curve Simulation'!J131*'Revenues &amp; Expenses'!$S$2/1000)</f>
        <v>42.403590517241383</v>
      </c>
      <c r="G123" s="250">
        <f>'Revenues &amp; Expenses'!$AM$5*1000*'Revenues &amp; Expenses'!O131</f>
        <v>2.6397053328531808</v>
      </c>
      <c r="H123" s="247">
        <f t="shared" si="22"/>
        <v>114</v>
      </c>
      <c r="I123" s="247">
        <f t="shared" si="15"/>
        <v>0</v>
      </c>
      <c r="J123" s="247">
        <v>315</v>
      </c>
      <c r="K123" s="391">
        <f>IF(I123&gt;0,J123*'Revenues &amp; Expenses'!F131*16,0)</f>
        <v>0</v>
      </c>
      <c r="L123" s="540">
        <f>K123*'Revenues &amp; Expenses'!N131</f>
        <v>0</v>
      </c>
      <c r="M123" s="391"/>
      <c r="N123" s="391"/>
      <c r="AC123" s="637">
        <f t="shared" si="16"/>
        <v>40299</v>
      </c>
      <c r="AD123" s="465">
        <f t="shared" si="21"/>
        <v>114</v>
      </c>
      <c r="AE123" s="465">
        <f t="shared" si="17"/>
        <v>0</v>
      </c>
      <c r="AF123" s="465">
        <f t="shared" si="18"/>
        <v>0</v>
      </c>
      <c r="AG123" s="640">
        <f t="shared" si="19"/>
        <v>0</v>
      </c>
      <c r="AJ123" s="465">
        <f t="shared" si="20"/>
        <v>0</v>
      </c>
      <c r="AK123" s="646">
        <f t="shared" si="13"/>
        <v>0</v>
      </c>
    </row>
    <row r="124" spans="1:38">
      <c r="A124" s="250">
        <v>76.938166971698237</v>
      </c>
      <c r="B124" s="248">
        <f>'Revenues &amp; Expenses'!AX132</f>
        <v>40330</v>
      </c>
      <c r="C124" s="250">
        <f>'PJM Curve Simulation'!J132</f>
        <v>62.349998474121094</v>
      </c>
      <c r="D124" s="250">
        <f t="shared" si="14"/>
        <v>44.986403965699189</v>
      </c>
      <c r="F124" s="250">
        <f>('Fuel Curve Simulation'!J132*'Revenues &amp; Expenses'!$S$2/1000)</f>
        <v>42.34083155172415</v>
      </c>
      <c r="G124" s="250">
        <f>'Revenues &amp; Expenses'!$AM$5*1000*'Revenues &amp; Expenses'!O132</f>
        <v>2.6455724139750405</v>
      </c>
      <c r="H124" s="247">
        <f t="shared" si="22"/>
        <v>115</v>
      </c>
      <c r="I124" s="247">
        <f t="shared" si="15"/>
        <v>1</v>
      </c>
      <c r="J124" s="247">
        <v>315</v>
      </c>
      <c r="K124" s="391">
        <f>IF(I124&gt;0,J124*'Revenues &amp; Expenses'!F132*16,0)</f>
        <v>100800</v>
      </c>
      <c r="L124" s="540">
        <f>K124*'Revenues &amp; Expenses'!N132</f>
        <v>47280.197989336979</v>
      </c>
      <c r="M124" s="391"/>
      <c r="N124" s="391"/>
      <c r="AC124" s="637">
        <f t="shared" si="16"/>
        <v>40330</v>
      </c>
      <c r="AD124" s="465">
        <f t="shared" si="21"/>
        <v>115</v>
      </c>
      <c r="AE124" s="465">
        <f t="shared" si="17"/>
        <v>2947920.2724913037</v>
      </c>
      <c r="AF124" s="465">
        <f t="shared" si="18"/>
        <v>47280.197989336979</v>
      </c>
      <c r="AG124" s="640">
        <f t="shared" si="19"/>
        <v>62.349998474121094</v>
      </c>
      <c r="AJ124" s="465">
        <f t="shared" si="20"/>
        <v>2126966.0863265521</v>
      </c>
      <c r="AK124" s="646">
        <f t="shared" si="13"/>
        <v>44.986403965699196</v>
      </c>
    </row>
    <row r="125" spans="1:38">
      <c r="A125" s="250">
        <v>140.43237940222531</v>
      </c>
      <c r="B125" s="248">
        <f>'Revenues &amp; Expenses'!AX133</f>
        <v>40360</v>
      </c>
      <c r="C125" s="250">
        <f>'PJM Curve Simulation'!J133</f>
        <v>106.94999694824219</v>
      </c>
      <c r="D125" s="250">
        <f t="shared" si="14"/>
        <v>45.540599259569476</v>
      </c>
      <c r="F125" s="250">
        <f>('Fuel Curve Simulation'!J133*'Revenues &amp; Expenses'!$S$2/1000)</f>
        <v>42.889146724137937</v>
      </c>
      <c r="G125" s="250">
        <f>'Revenues &amp; Expenses'!$AM$5*1000*'Revenues &amp; Expenses'!O133</f>
        <v>2.6514525354315395</v>
      </c>
      <c r="H125" s="247">
        <f t="shared" si="22"/>
        <v>116</v>
      </c>
      <c r="I125" s="247">
        <f t="shared" si="15"/>
        <v>1</v>
      </c>
      <c r="J125" s="247">
        <v>315</v>
      </c>
      <c r="K125" s="391">
        <f>IF(I125&gt;0,J125*'Revenues &amp; Expenses'!F133*16,0)</f>
        <v>115920</v>
      </c>
      <c r="L125" s="540">
        <f>K125*'Revenues &amp; Expenses'!N133</f>
        <v>54049.676000117404</v>
      </c>
      <c r="M125" s="391"/>
      <c r="N125" s="391"/>
      <c r="AC125" s="637">
        <f t="shared" si="16"/>
        <v>40360</v>
      </c>
      <c r="AD125" s="465">
        <f t="shared" si="21"/>
        <v>116</v>
      </c>
      <c r="AE125" s="465">
        <f t="shared" si="17"/>
        <v>5780612.6832660353</v>
      </c>
      <c r="AF125" s="465">
        <f t="shared" si="18"/>
        <v>54049.676000117404</v>
      </c>
      <c r="AG125" s="640">
        <f t="shared" si="19"/>
        <v>106.94999694824219</v>
      </c>
      <c r="AJ125" s="465">
        <f t="shared" si="20"/>
        <v>2461454.6348309168</v>
      </c>
      <c r="AK125" s="646">
        <f t="shared" si="13"/>
        <v>45.540599259569476</v>
      </c>
    </row>
    <row r="126" spans="1:38">
      <c r="A126" s="250">
        <v>115.30857902137446</v>
      </c>
      <c r="B126" s="248">
        <f>'Revenues &amp; Expenses'!AX134</f>
        <v>40391</v>
      </c>
      <c r="C126" s="250">
        <f>'PJM Curve Simulation'!J134</f>
        <v>93.949996948242188</v>
      </c>
      <c r="D126" s="250">
        <f t="shared" si="14"/>
        <v>46.413557105516837</v>
      </c>
      <c r="F126" s="250">
        <f>('Fuel Curve Simulation'!J134*'Revenues &amp; Expenses'!$S$2/1000)</f>
        <v>43.756211379310358</v>
      </c>
      <c r="G126" s="250">
        <f>'Revenues &amp; Expenses'!$AM$5*1000*'Revenues &amp; Expenses'!O134</f>
        <v>2.6573457262064819</v>
      </c>
      <c r="H126" s="247">
        <f t="shared" si="22"/>
        <v>117</v>
      </c>
      <c r="I126" s="247">
        <f t="shared" si="15"/>
        <v>1</v>
      </c>
      <c r="J126" s="247">
        <v>315</v>
      </c>
      <c r="K126" s="391">
        <f>IF(I126&gt;0,J126*'Revenues &amp; Expenses'!F134*16,0)</f>
        <v>110880</v>
      </c>
      <c r="L126" s="540">
        <f>K126*'Revenues &amp; Expenses'!N134</f>
        <v>51382.843617501021</v>
      </c>
      <c r="M126" s="391"/>
      <c r="N126" s="391"/>
      <c r="AC126" s="637">
        <f t="shared" si="16"/>
        <v>40391</v>
      </c>
      <c r="AD126" s="465">
        <f t="shared" si="21"/>
        <v>117</v>
      </c>
      <c r="AE126" s="465">
        <f t="shared" si="17"/>
        <v>4827418.0010562269</v>
      </c>
      <c r="AF126" s="465">
        <f t="shared" si="18"/>
        <v>51382.843617501021</v>
      </c>
      <c r="AG126" s="640">
        <f t="shared" si="19"/>
        <v>93.949996948242202</v>
      </c>
      <c r="AJ126" s="465">
        <f t="shared" si="20"/>
        <v>2384860.5464847251</v>
      </c>
      <c r="AK126" s="646">
        <f t="shared" si="13"/>
        <v>46.413557105516837</v>
      </c>
    </row>
    <row r="127" spans="1:38">
      <c r="A127" s="250">
        <v>42.073531095975476</v>
      </c>
      <c r="B127" s="248">
        <f>'Revenues &amp; Expenses'!AX135</f>
        <v>40422</v>
      </c>
      <c r="C127" s="250">
        <f>'PJM Curve Simulation'!J135</f>
        <v>36.424998474121097</v>
      </c>
      <c r="D127" s="250">
        <f t="shared" si="14"/>
        <v>47.327816842934311</v>
      </c>
      <c r="F127" s="250">
        <f>('Fuel Curve Simulation'!J135*'Revenues &amp; Expenses'!$S$2/1000)</f>
        <v>44.664564827586219</v>
      </c>
      <c r="G127" s="250">
        <f>'Revenues &amp; Expenses'!$AM$5*1000*'Revenues &amp; Expenses'!O135</f>
        <v>2.6632520153480916</v>
      </c>
      <c r="H127" s="247">
        <f t="shared" si="22"/>
        <v>118</v>
      </c>
      <c r="I127" s="247">
        <f t="shared" si="15"/>
        <v>0</v>
      </c>
      <c r="J127" s="247">
        <v>315</v>
      </c>
      <c r="K127" s="391">
        <f>IF(I127&gt;0,J127*'Revenues &amp; Expenses'!F135*16,0)</f>
        <v>0</v>
      </c>
      <c r="L127" s="540">
        <f>K127*'Revenues &amp; Expenses'!N135</f>
        <v>0</v>
      </c>
      <c r="M127" s="391"/>
      <c r="N127" s="391"/>
      <c r="AC127" s="637">
        <f t="shared" si="16"/>
        <v>40422</v>
      </c>
      <c r="AD127" s="465">
        <f t="shared" si="21"/>
        <v>118</v>
      </c>
      <c r="AE127" s="465">
        <f t="shared" si="17"/>
        <v>0</v>
      </c>
      <c r="AF127" s="465">
        <f t="shared" si="18"/>
        <v>0</v>
      </c>
      <c r="AG127" s="640">
        <f t="shared" si="19"/>
        <v>0</v>
      </c>
      <c r="AJ127" s="465">
        <f t="shared" si="20"/>
        <v>0</v>
      </c>
      <c r="AK127" s="646">
        <f t="shared" si="13"/>
        <v>0</v>
      </c>
    </row>
    <row r="128" spans="1:38">
      <c r="A128" s="250">
        <v>35.329854823122027</v>
      </c>
      <c r="B128" s="248">
        <f>'Revenues &amp; Expenses'!AX136</f>
        <v>40452</v>
      </c>
      <c r="C128" s="250">
        <f>'PJM Curve Simulation'!J136</f>
        <v>30.075000381469728</v>
      </c>
      <c r="D128" s="250">
        <f t="shared" si="14"/>
        <v>48.220619535417427</v>
      </c>
      <c r="F128" s="250">
        <f>('Fuel Curve Simulation'!J136*'Revenues &amp; Expenses'!$S$2/1000)</f>
        <v>45.551448103448273</v>
      </c>
      <c r="G128" s="250">
        <f>'Revenues &amp; Expenses'!$AM$5*1000*'Revenues &amp; Expenses'!O136</f>
        <v>2.669171431969156</v>
      </c>
      <c r="H128" s="247">
        <f t="shared" si="22"/>
        <v>119</v>
      </c>
      <c r="I128" s="247">
        <f t="shared" si="15"/>
        <v>0</v>
      </c>
      <c r="J128" s="247">
        <v>315</v>
      </c>
      <c r="K128" s="391">
        <f>IF(I128&gt;0,J128*'Revenues &amp; Expenses'!F136*16,0)</f>
        <v>0</v>
      </c>
      <c r="L128" s="540">
        <f>K128*'Revenues &amp; Expenses'!N136</f>
        <v>0</v>
      </c>
      <c r="M128" s="391"/>
      <c r="N128" s="391"/>
      <c r="AC128" s="637">
        <f t="shared" si="16"/>
        <v>40452</v>
      </c>
      <c r="AD128" s="465">
        <f t="shared" si="21"/>
        <v>119</v>
      </c>
      <c r="AE128" s="465">
        <f t="shared" si="17"/>
        <v>0</v>
      </c>
      <c r="AF128" s="465">
        <f t="shared" si="18"/>
        <v>0</v>
      </c>
      <c r="AG128" s="640">
        <f t="shared" si="19"/>
        <v>0</v>
      </c>
      <c r="AJ128" s="465">
        <f t="shared" si="20"/>
        <v>0</v>
      </c>
      <c r="AK128" s="646">
        <f t="shared" si="13"/>
        <v>0</v>
      </c>
    </row>
    <row r="129" spans="1:38">
      <c r="A129" s="250">
        <v>35.424065597267152</v>
      </c>
      <c r="B129" s="248">
        <f>'Revenues &amp; Expenses'!AX137</f>
        <v>40483</v>
      </c>
      <c r="C129" s="250">
        <f>'PJM Curve Simulation'!J137</f>
        <v>29.747499084472658</v>
      </c>
      <c r="D129" s="250">
        <f t="shared" si="14"/>
        <v>48.698895901798899</v>
      </c>
      <c r="F129" s="250">
        <f>('Fuel Curve Simulation'!J137*'Revenues &amp; Expenses'!$S$2/1000)</f>
        <v>46.023791896551728</v>
      </c>
      <c r="G129" s="250">
        <f>'Revenues &amp; Expenses'!$AM$5*1000*'Revenues &amp; Expenses'!O137</f>
        <v>2.6751040052471691</v>
      </c>
      <c r="H129" s="247">
        <f t="shared" si="22"/>
        <v>120</v>
      </c>
      <c r="I129" s="247">
        <f t="shared" si="15"/>
        <v>0</v>
      </c>
      <c r="J129" s="247">
        <v>315</v>
      </c>
      <c r="K129" s="391">
        <f>IF(I129&gt;0,J129*'Revenues &amp; Expenses'!F137*16,0)</f>
        <v>0</v>
      </c>
      <c r="L129" s="540">
        <f>K129*'Revenues &amp; Expenses'!N137</f>
        <v>0</v>
      </c>
      <c r="M129" s="391"/>
      <c r="N129" s="391"/>
      <c r="AC129" s="637">
        <f t="shared" si="16"/>
        <v>40483</v>
      </c>
      <c r="AD129" s="465">
        <f t="shared" si="21"/>
        <v>120</v>
      </c>
      <c r="AE129" s="465">
        <f t="shared" si="17"/>
        <v>0</v>
      </c>
      <c r="AF129" s="465">
        <f t="shared" si="18"/>
        <v>0</v>
      </c>
      <c r="AG129" s="640">
        <f t="shared" si="19"/>
        <v>0</v>
      </c>
      <c r="AJ129" s="465">
        <f t="shared" si="20"/>
        <v>0</v>
      </c>
      <c r="AK129" s="646">
        <f t="shared" si="13"/>
        <v>0</v>
      </c>
    </row>
    <row r="130" spans="1:38">
      <c r="A130" s="250">
        <v>37.987862084235829</v>
      </c>
      <c r="B130" s="248">
        <f>'Revenues &amp; Expenses'!AX138</f>
        <v>40513</v>
      </c>
      <c r="C130" s="250">
        <f>'PJM Curve Simulation'!J138</f>
        <v>31.499999618530275</v>
      </c>
      <c r="D130" s="250">
        <f t="shared" si="14"/>
        <v>49.114426488562415</v>
      </c>
      <c r="F130" s="250">
        <f>('Fuel Curve Simulation'!J138*'Revenues &amp; Expenses'!$S$2/1000)</f>
        <v>46.433376724137936</v>
      </c>
      <c r="G130" s="250">
        <f>'Revenues &amp; Expenses'!$AM$5*1000*'Revenues &amp; Expenses'!O138</f>
        <v>2.6810497644244755</v>
      </c>
      <c r="H130" s="247">
        <f t="shared" si="22"/>
        <v>121</v>
      </c>
      <c r="I130" s="247">
        <f t="shared" si="15"/>
        <v>0</v>
      </c>
      <c r="J130" s="247">
        <v>315</v>
      </c>
      <c r="K130" s="391">
        <f>IF(I130&gt;0,J130*'Revenues &amp; Expenses'!F138*16,0)</f>
        <v>0</v>
      </c>
      <c r="L130" s="540">
        <f>K130*'Revenues &amp; Expenses'!N138</f>
        <v>0</v>
      </c>
      <c r="M130" s="391">
        <f>SUM(L119:L130)</f>
        <v>152712.71760695541</v>
      </c>
      <c r="N130" s="391">
        <f>SUM(K119:K130)</f>
        <v>327600</v>
      </c>
      <c r="AC130" s="637">
        <f t="shared" si="16"/>
        <v>40513</v>
      </c>
      <c r="AD130" s="465">
        <f t="shared" si="21"/>
        <v>121</v>
      </c>
      <c r="AE130" s="465">
        <f t="shared" si="17"/>
        <v>0</v>
      </c>
      <c r="AF130" s="465">
        <f t="shared" si="18"/>
        <v>0</v>
      </c>
      <c r="AG130" s="640">
        <f t="shared" si="19"/>
        <v>0</v>
      </c>
      <c r="AH130" s="640">
        <f>IF(SUM(AF119:AF130)=0,0,SUM(AE119:AE130)/SUM(AF119:AF130))</f>
        <v>88.767662374414783</v>
      </c>
      <c r="AJ130" s="465">
        <f t="shared" si="20"/>
        <v>0</v>
      </c>
      <c r="AK130" s="646">
        <f t="shared" si="13"/>
        <v>0</v>
      </c>
      <c r="AL130" s="646">
        <f>IF(SUM(AF119:AF130)=0,0,SUM(AJ119:AJ130)/SUM(AF119:AF130))</f>
        <v>45.662740974786971</v>
      </c>
    </row>
    <row r="131" spans="1:38">
      <c r="A131" s="250">
        <v>49.140674431384944</v>
      </c>
      <c r="B131" s="248">
        <f>'Revenues &amp; Expenses'!AX139</f>
        <v>40544</v>
      </c>
      <c r="C131" s="250">
        <f>'PJM Curve Simulation'!J139</f>
        <v>40.074998474121088</v>
      </c>
      <c r="D131" s="250">
        <f t="shared" si="14"/>
        <v>48.572070290532572</v>
      </c>
      <c r="F131" s="250">
        <f>('Fuel Curve Simulation'!J139*'Revenues &amp; Expenses'!$S$2/1000)</f>
        <v>45.885061551724156</v>
      </c>
      <c r="G131" s="250">
        <f>'Revenues &amp; Expenses'!$AM$5*1000*'Revenues &amp; Expenses'!O139</f>
        <v>2.687008738808415</v>
      </c>
      <c r="H131" s="247">
        <f t="shared" si="22"/>
        <v>122</v>
      </c>
      <c r="I131" s="247">
        <f t="shared" si="15"/>
        <v>0</v>
      </c>
      <c r="J131" s="247">
        <v>315</v>
      </c>
      <c r="K131" s="391">
        <f>IF(I131&gt;0,J131*'Revenues &amp; Expenses'!F139*16,0)</f>
        <v>0</v>
      </c>
      <c r="L131" s="540">
        <f>K131*'Revenues &amp; Expenses'!N139</f>
        <v>0</v>
      </c>
      <c r="M131" s="391"/>
      <c r="N131" s="391"/>
      <c r="AC131" s="637">
        <f t="shared" si="16"/>
        <v>40544</v>
      </c>
      <c r="AD131" s="465">
        <f t="shared" si="21"/>
        <v>122</v>
      </c>
      <c r="AE131" s="465">
        <f t="shared" si="17"/>
        <v>0</v>
      </c>
      <c r="AF131" s="465">
        <f t="shared" si="18"/>
        <v>0</v>
      </c>
      <c r="AG131" s="640">
        <f t="shared" si="19"/>
        <v>0</v>
      </c>
      <c r="AJ131" s="465">
        <f t="shared" si="20"/>
        <v>0</v>
      </c>
      <c r="AK131" s="646">
        <f t="shared" si="13"/>
        <v>0</v>
      </c>
    </row>
    <row r="132" spans="1:38">
      <c r="A132" s="250">
        <v>49.140674431384944</v>
      </c>
      <c r="B132" s="248">
        <f>'Revenues &amp; Expenses'!AX140</f>
        <v>40575</v>
      </c>
      <c r="C132" s="250">
        <f>'PJM Curve Simulation'!J140</f>
        <v>40.074998474121088</v>
      </c>
      <c r="D132" s="250">
        <f t="shared" si="14"/>
        <v>47.628400268116302</v>
      </c>
      <c r="F132" s="250">
        <f>('Fuel Curve Simulation'!J140*'Revenues &amp; Expenses'!$S$2/1000)</f>
        <v>44.935419310344834</v>
      </c>
      <c r="G132" s="250">
        <f>'Revenues &amp; Expenses'!$AM$5*1000*'Revenues &amp; Expenses'!O140</f>
        <v>2.6929809577714665</v>
      </c>
      <c r="H132" s="247">
        <f t="shared" si="22"/>
        <v>123</v>
      </c>
      <c r="I132" s="247">
        <f t="shared" si="15"/>
        <v>0</v>
      </c>
      <c r="J132" s="247">
        <v>315</v>
      </c>
      <c r="K132" s="391">
        <f>IF(I132&gt;0,J132*'Revenues &amp; Expenses'!F140*16,0)</f>
        <v>0</v>
      </c>
      <c r="L132" s="540">
        <f>K132*'Revenues &amp; Expenses'!N140</f>
        <v>0</v>
      </c>
      <c r="M132" s="391"/>
      <c r="N132" s="391"/>
      <c r="AC132" s="637">
        <f t="shared" si="16"/>
        <v>40575</v>
      </c>
      <c r="AD132" s="465">
        <f t="shared" si="21"/>
        <v>123</v>
      </c>
      <c r="AE132" s="465">
        <f t="shared" si="17"/>
        <v>0</v>
      </c>
      <c r="AF132" s="465">
        <f t="shared" si="18"/>
        <v>0</v>
      </c>
      <c r="AG132" s="640">
        <f t="shared" si="19"/>
        <v>0</v>
      </c>
      <c r="AJ132" s="465">
        <f t="shared" si="20"/>
        <v>0</v>
      </c>
      <c r="AK132" s="646">
        <f t="shared" ref="AK132:AK195" si="23">IF(AF132&gt;0,AJ132/AF132,0)</f>
        <v>0</v>
      </c>
    </row>
    <row r="133" spans="1:38">
      <c r="A133" s="250">
        <v>36.243505927906035</v>
      </c>
      <c r="B133" s="248">
        <f>'Revenues &amp; Expenses'!AX141</f>
        <v>40603</v>
      </c>
      <c r="C133" s="250">
        <f>'PJM Curve Simulation'!J141</f>
        <v>29.800000762939455</v>
      </c>
      <c r="D133" s="250">
        <f t="shared" ref="D133:D196" si="24">F133+G133</f>
        <v>46.704562140406573</v>
      </c>
      <c r="F133" s="250">
        <f>('Fuel Curve Simulation'!J141*'Revenues &amp; Expenses'!$S$2/1000)</f>
        <v>44.005595689655181</v>
      </c>
      <c r="G133" s="250">
        <f>'Revenues &amp; Expenses'!$AM$5*1000*'Revenues &amp; Expenses'!O141</f>
        <v>2.6989664507513935</v>
      </c>
      <c r="H133" s="247">
        <f t="shared" si="22"/>
        <v>124</v>
      </c>
      <c r="I133" s="247">
        <f t="shared" ref="I133:I196" si="25">IF(C133&gt;D133,1,0)</f>
        <v>0</v>
      </c>
      <c r="J133" s="247">
        <v>315</v>
      </c>
      <c r="K133" s="391">
        <f>IF(I133&gt;0,J133*'Revenues &amp; Expenses'!F141*16,0)</f>
        <v>0</v>
      </c>
      <c r="L133" s="540">
        <f>K133*'Revenues &amp; Expenses'!N141</f>
        <v>0</v>
      </c>
      <c r="M133" s="391"/>
      <c r="N133" s="391"/>
      <c r="AC133" s="637">
        <f t="shared" ref="AC133:AC196" si="26">B133</f>
        <v>40603</v>
      </c>
      <c r="AD133" s="465">
        <f t="shared" si="21"/>
        <v>124</v>
      </c>
      <c r="AE133" s="465">
        <f t="shared" ref="AE133:AE196" si="27">C133*L133</f>
        <v>0</v>
      </c>
      <c r="AF133" s="465">
        <f t="shared" ref="AF133:AF196" si="28">L133</f>
        <v>0</v>
      </c>
      <c r="AG133" s="640">
        <f t="shared" ref="AG133:AG196" si="29">IF(AF133&gt;0,AE133/AF133,0)</f>
        <v>0</v>
      </c>
      <c r="AJ133" s="465">
        <f t="shared" ref="AJ133:AJ196" si="30">D133*L133</f>
        <v>0</v>
      </c>
      <c r="AK133" s="646">
        <f t="shared" si="23"/>
        <v>0</v>
      </c>
    </row>
    <row r="134" spans="1:38">
      <c r="A134" s="250">
        <v>33.54876560393685</v>
      </c>
      <c r="B134" s="248">
        <f>'Revenues &amp; Expenses'!AX142</f>
        <v>40634</v>
      </c>
      <c r="C134" s="250">
        <f>'PJM Curve Simulation'!J142</f>
        <v>29.575000762939453</v>
      </c>
      <c r="D134" s="250">
        <f t="shared" si="24"/>
        <v>45.752660936906565</v>
      </c>
      <c r="F134" s="250">
        <f>('Fuel Curve Simulation'!J142*'Revenues &amp; Expenses'!$S$2/1000)</f>
        <v>43.047695689655178</v>
      </c>
      <c r="G134" s="250">
        <f>'Revenues &amp; Expenses'!$AM$5*1000*'Revenues &amp; Expenses'!O142</f>
        <v>2.7049652472513879</v>
      </c>
      <c r="H134" s="247">
        <f t="shared" si="22"/>
        <v>125</v>
      </c>
      <c r="I134" s="247">
        <f t="shared" si="25"/>
        <v>0</v>
      </c>
      <c r="J134" s="247">
        <v>315</v>
      </c>
      <c r="K134" s="391">
        <f>IF(I134&gt;0,J134*'Revenues &amp; Expenses'!F142*16,0)</f>
        <v>0</v>
      </c>
      <c r="L134" s="540">
        <f>K134*'Revenues &amp; Expenses'!N142</f>
        <v>0</v>
      </c>
      <c r="M134" s="391"/>
      <c r="N134" s="391"/>
      <c r="AC134" s="637">
        <f t="shared" si="26"/>
        <v>40634</v>
      </c>
      <c r="AD134" s="465">
        <f t="shared" ref="AD134:AD197" si="31">AD133+1</f>
        <v>125</v>
      </c>
      <c r="AE134" s="465">
        <f t="shared" si="27"/>
        <v>0</v>
      </c>
      <c r="AF134" s="465">
        <f t="shared" si="28"/>
        <v>0</v>
      </c>
      <c r="AG134" s="640">
        <f t="shared" si="29"/>
        <v>0</v>
      </c>
      <c r="AJ134" s="465">
        <f t="shared" si="30"/>
        <v>0</v>
      </c>
      <c r="AK134" s="646">
        <f t="shared" si="23"/>
        <v>0</v>
      </c>
    </row>
    <row r="135" spans="1:38">
      <c r="A135" s="250">
        <v>41.249992329484428</v>
      </c>
      <c r="B135" s="248">
        <f>'Revenues &amp; Expenses'!AX143</f>
        <v>40664</v>
      </c>
      <c r="C135" s="250">
        <f>'PJM Curve Simulation'!J143</f>
        <v>37.575000000000003</v>
      </c>
      <c r="D135" s="250">
        <f t="shared" si="24"/>
        <v>45.114567894081603</v>
      </c>
      <c r="F135" s="250">
        <f>('Fuel Curve Simulation'!J143*'Revenues &amp; Expenses'!$S$2/1000)</f>
        <v>42.403590517241383</v>
      </c>
      <c r="G135" s="250">
        <f>'Revenues &amp; Expenses'!$AM$5*1000*'Revenues &amp; Expenses'!O143</f>
        <v>2.7109773768402161</v>
      </c>
      <c r="H135" s="247">
        <f t="shared" si="22"/>
        <v>126</v>
      </c>
      <c r="I135" s="247">
        <f t="shared" si="25"/>
        <v>0</v>
      </c>
      <c r="J135" s="247">
        <v>315</v>
      </c>
      <c r="K135" s="391">
        <f>IF(I135&gt;0,J135*'Revenues &amp; Expenses'!F143*16,0)</f>
        <v>0</v>
      </c>
      <c r="L135" s="540">
        <f>K135*'Revenues &amp; Expenses'!N143</f>
        <v>0</v>
      </c>
      <c r="M135" s="391"/>
      <c r="N135" s="391"/>
      <c r="AC135" s="637">
        <f t="shared" si="26"/>
        <v>40664</v>
      </c>
      <c r="AD135" s="465">
        <f t="shared" si="31"/>
        <v>126</v>
      </c>
      <c r="AE135" s="465">
        <f t="shared" si="27"/>
        <v>0</v>
      </c>
      <c r="AF135" s="465">
        <f t="shared" si="28"/>
        <v>0</v>
      </c>
      <c r="AG135" s="640">
        <f t="shared" si="29"/>
        <v>0</v>
      </c>
      <c r="AJ135" s="465">
        <f t="shared" si="30"/>
        <v>0</v>
      </c>
      <c r="AK135" s="646">
        <f t="shared" si="23"/>
        <v>0</v>
      </c>
    </row>
    <row r="136" spans="1:38">
      <c r="A136" s="250">
        <v>77.863646147976382</v>
      </c>
      <c r="B136" s="248">
        <f>'Revenues &amp; Expenses'!AX144</f>
        <v>40695</v>
      </c>
      <c r="C136" s="250">
        <f>'PJM Curve Simulation'!J144</f>
        <v>63.099998474121094</v>
      </c>
      <c r="D136" s="250">
        <f t="shared" si="24"/>
        <v>45.057834420876517</v>
      </c>
      <c r="F136" s="250">
        <f>('Fuel Curve Simulation'!J144*'Revenues &amp; Expenses'!$S$2/1000)</f>
        <v>42.34083155172415</v>
      </c>
      <c r="G136" s="250">
        <f>'Revenues &amp; Expenses'!$AM$5*1000*'Revenues &amp; Expenses'!O144</f>
        <v>2.717002869152366</v>
      </c>
      <c r="H136" s="247">
        <f t="shared" si="22"/>
        <v>127</v>
      </c>
      <c r="I136" s="247">
        <f t="shared" si="25"/>
        <v>1</v>
      </c>
      <c r="J136" s="247">
        <v>315</v>
      </c>
      <c r="K136" s="391">
        <f>IF(I136&gt;0,J136*'Revenues &amp; Expenses'!F144*16,0)</f>
        <v>105840</v>
      </c>
      <c r="L136" s="540">
        <f>K136*'Revenues &amp; Expenses'!N144</f>
        <v>46179.893522774189</v>
      </c>
      <c r="M136" s="391"/>
      <c r="N136" s="391"/>
      <c r="AC136" s="637">
        <f t="shared" si="26"/>
        <v>40695</v>
      </c>
      <c r="AD136" s="465">
        <f t="shared" si="31"/>
        <v>127</v>
      </c>
      <c r="AE136" s="465">
        <f t="shared" si="27"/>
        <v>2913951.2108221259</v>
      </c>
      <c r="AF136" s="465">
        <f t="shared" si="28"/>
        <v>46179.893522774189</v>
      </c>
      <c r="AG136" s="640">
        <f t="shared" si="29"/>
        <v>63.099998474121094</v>
      </c>
      <c r="AJ136" s="465">
        <f t="shared" si="30"/>
        <v>2080765.9959228674</v>
      </c>
      <c r="AK136" s="646">
        <f t="shared" si="23"/>
        <v>45.057834420876517</v>
      </c>
    </row>
    <row r="137" spans="1:38">
      <c r="A137" s="250">
        <v>143.38677737016465</v>
      </c>
      <c r="B137" s="248">
        <f>'Revenues &amp; Expenses'!AX145</f>
        <v>40725</v>
      </c>
      <c r="C137" s="250">
        <f>'PJM Curve Simulation'!J145</f>
        <v>109.19999694824219</v>
      </c>
      <c r="D137" s="250">
        <f t="shared" si="24"/>
        <v>45.612188478026127</v>
      </c>
      <c r="F137" s="250">
        <f>('Fuel Curve Simulation'!J145*'Revenues &amp; Expenses'!$S$2/1000)</f>
        <v>42.889146724137937</v>
      </c>
      <c r="G137" s="250">
        <f>'Revenues &amp; Expenses'!$AM$5*1000*'Revenues &amp; Expenses'!O145</f>
        <v>2.7230417538881908</v>
      </c>
      <c r="H137" s="247">
        <f t="shared" si="22"/>
        <v>128</v>
      </c>
      <c r="I137" s="247">
        <f t="shared" si="25"/>
        <v>1</v>
      </c>
      <c r="J137" s="247">
        <v>315</v>
      </c>
      <c r="K137" s="391">
        <f>IF(I137&gt;0,J137*'Revenues &amp; Expenses'!F145*16,0)</f>
        <v>115920</v>
      </c>
      <c r="L137" s="540">
        <f>K137*'Revenues &amp; Expenses'!N145</f>
        <v>50278.420646302569</v>
      </c>
      <c r="M137" s="391"/>
      <c r="N137" s="391"/>
      <c r="AC137" s="637">
        <f t="shared" si="26"/>
        <v>40725</v>
      </c>
      <c r="AD137" s="465">
        <f t="shared" si="31"/>
        <v>128</v>
      </c>
      <c r="AE137" s="465">
        <f t="shared" si="27"/>
        <v>5490403.3811386777</v>
      </c>
      <c r="AF137" s="465">
        <f t="shared" si="28"/>
        <v>50278.420646302569</v>
      </c>
      <c r="AG137" s="640">
        <f t="shared" si="29"/>
        <v>109.19999694824219</v>
      </c>
      <c r="AJ137" s="465">
        <f t="shared" si="30"/>
        <v>2293308.7988966331</v>
      </c>
      <c r="AK137" s="646">
        <f t="shared" si="23"/>
        <v>45.612188478026127</v>
      </c>
    </row>
    <row r="138" spans="1:38">
      <c r="A138" s="250">
        <v>118.07009377630331</v>
      </c>
      <c r="B138" s="248">
        <f>'Revenues &amp; Expenses'!AX146</f>
        <v>40756</v>
      </c>
      <c r="C138" s="250">
        <f>'PJM Curve Simulation'!J146</f>
        <v>96.199996948242188</v>
      </c>
      <c r="D138" s="250">
        <f t="shared" si="24"/>
        <v>46.485305440124414</v>
      </c>
      <c r="F138" s="250">
        <f>('Fuel Curve Simulation'!J146*'Revenues &amp; Expenses'!$S$2/1000)</f>
        <v>43.756211379310358</v>
      </c>
      <c r="G138" s="250">
        <f>'Revenues &amp; Expenses'!$AM$5*1000*'Revenues &amp; Expenses'!O146</f>
        <v>2.7290940608140568</v>
      </c>
      <c r="H138" s="247">
        <f t="shared" si="22"/>
        <v>129</v>
      </c>
      <c r="I138" s="247">
        <f t="shared" si="25"/>
        <v>1</v>
      </c>
      <c r="J138" s="247">
        <v>315</v>
      </c>
      <c r="K138" s="391">
        <f>IF(I138&gt;0,J138*'Revenues &amp; Expenses'!F146*16,0)</f>
        <v>105840</v>
      </c>
      <c r="L138" s="540">
        <f>K138*'Revenues &amp; Expenses'!N146</f>
        <v>45625.497343452604</v>
      </c>
      <c r="M138" s="391"/>
      <c r="N138" s="391"/>
      <c r="AC138" s="637">
        <f t="shared" si="26"/>
        <v>40756</v>
      </c>
      <c r="AD138" s="465">
        <f t="shared" si="31"/>
        <v>129</v>
      </c>
      <c r="AE138" s="465">
        <f t="shared" si="27"/>
        <v>4389172.7052021725</v>
      </c>
      <c r="AF138" s="465">
        <f t="shared" si="28"/>
        <v>45625.497343452604</v>
      </c>
      <c r="AG138" s="640">
        <f t="shared" si="29"/>
        <v>96.199996948242188</v>
      </c>
      <c r="AJ138" s="465">
        <f t="shared" si="30"/>
        <v>2120915.1798679791</v>
      </c>
      <c r="AK138" s="646">
        <f t="shared" si="23"/>
        <v>46.485305440124407</v>
      </c>
    </row>
    <row r="139" spans="1:38">
      <c r="A139" s="250">
        <v>42.651067579962799</v>
      </c>
      <c r="B139" s="248">
        <f>'Revenues &amp; Expenses'!AX147</f>
        <v>40787</v>
      </c>
      <c r="C139" s="250">
        <f>'PJM Curve Simulation'!J147</f>
        <v>36.924998474121097</v>
      </c>
      <c r="D139" s="250">
        <f t="shared" si="24"/>
        <v>47.399724647348705</v>
      </c>
      <c r="F139" s="250">
        <f>('Fuel Curve Simulation'!J147*'Revenues &amp; Expenses'!$S$2/1000)</f>
        <v>44.664564827586219</v>
      </c>
      <c r="G139" s="250">
        <f>'Revenues &amp; Expenses'!$AM$5*1000*'Revenues &amp; Expenses'!O147</f>
        <v>2.7351598197624902</v>
      </c>
      <c r="H139" s="247">
        <f t="shared" si="22"/>
        <v>130</v>
      </c>
      <c r="I139" s="247">
        <f t="shared" si="25"/>
        <v>0</v>
      </c>
      <c r="J139" s="247">
        <v>315</v>
      </c>
      <c r="K139" s="391">
        <f>IF(I139&gt;0,J139*'Revenues &amp; Expenses'!F147*16,0)</f>
        <v>0</v>
      </c>
      <c r="L139" s="540">
        <f>K139*'Revenues &amp; Expenses'!N147</f>
        <v>0</v>
      </c>
      <c r="M139" s="391"/>
      <c r="N139" s="391"/>
      <c r="AC139" s="637">
        <f t="shared" si="26"/>
        <v>40787</v>
      </c>
      <c r="AD139" s="465">
        <f t="shared" si="31"/>
        <v>130</v>
      </c>
      <c r="AE139" s="465">
        <f t="shared" si="27"/>
        <v>0</v>
      </c>
      <c r="AF139" s="465">
        <f t="shared" si="28"/>
        <v>0</v>
      </c>
      <c r="AG139" s="640">
        <f t="shared" si="29"/>
        <v>0</v>
      </c>
      <c r="AJ139" s="465">
        <f t="shared" si="30"/>
        <v>0</v>
      </c>
      <c r="AK139" s="646">
        <f t="shared" si="23"/>
        <v>0</v>
      </c>
    </row>
    <row r="140" spans="1:38">
      <c r="A140" s="250">
        <v>35.623536073122025</v>
      </c>
      <c r="B140" s="248">
        <f>'Revenues &amp; Expenses'!AX148</f>
        <v>40817</v>
      </c>
      <c r="C140" s="250">
        <f>'PJM Curve Simulation'!J148</f>
        <v>30.325000381469728</v>
      </c>
      <c r="D140" s="250">
        <f t="shared" si="24"/>
        <v>48.292687164080597</v>
      </c>
      <c r="F140" s="250">
        <f>('Fuel Curve Simulation'!J148*'Revenues &amp; Expenses'!$S$2/1000)</f>
        <v>45.551448103448273</v>
      </c>
      <c r="G140" s="250">
        <f>'Revenues &amp; Expenses'!$AM$5*1000*'Revenues &amp; Expenses'!O148</f>
        <v>2.7412390606323229</v>
      </c>
      <c r="H140" s="247">
        <f t="shared" ref="H140:H203" si="32">H139+1</f>
        <v>131</v>
      </c>
      <c r="I140" s="247">
        <f t="shared" si="25"/>
        <v>0</v>
      </c>
      <c r="J140" s="247">
        <v>315</v>
      </c>
      <c r="K140" s="391">
        <f>IF(I140&gt;0,J140*'Revenues &amp; Expenses'!F148*16,0)</f>
        <v>0</v>
      </c>
      <c r="L140" s="540">
        <f>K140*'Revenues &amp; Expenses'!N148</f>
        <v>0</v>
      </c>
      <c r="M140" s="391"/>
      <c r="N140" s="391"/>
      <c r="AC140" s="637">
        <f t="shared" si="26"/>
        <v>40817</v>
      </c>
      <c r="AD140" s="465">
        <f t="shared" si="31"/>
        <v>131</v>
      </c>
      <c r="AE140" s="465">
        <f t="shared" si="27"/>
        <v>0</v>
      </c>
      <c r="AF140" s="465">
        <f t="shared" si="28"/>
        <v>0</v>
      </c>
      <c r="AG140" s="640">
        <f t="shared" si="29"/>
        <v>0</v>
      </c>
      <c r="AJ140" s="465">
        <f t="shared" si="30"/>
        <v>0</v>
      </c>
      <c r="AK140" s="646">
        <f t="shared" si="23"/>
        <v>0</v>
      </c>
    </row>
    <row r="141" spans="1:38">
      <c r="A141" s="250">
        <v>35.721771847267156</v>
      </c>
      <c r="B141" s="248">
        <f>'Revenues &amp; Expenses'!AX149</f>
        <v>40848</v>
      </c>
      <c r="C141" s="250">
        <f>'PJM Curve Simulation'!J149</f>
        <v>29.997499084472658</v>
      </c>
      <c r="D141" s="250">
        <f t="shared" si="24"/>
        <v>48.771123709940568</v>
      </c>
      <c r="F141" s="250">
        <f>('Fuel Curve Simulation'!J149*'Revenues &amp; Expenses'!$S$2/1000)</f>
        <v>46.023791896551728</v>
      </c>
      <c r="G141" s="250">
        <f>'Revenues &amp; Expenses'!$AM$5*1000*'Revenues &amp; Expenses'!O149</f>
        <v>2.7473318133888425</v>
      </c>
      <c r="H141" s="247">
        <f t="shared" si="32"/>
        <v>132</v>
      </c>
      <c r="I141" s="247">
        <f t="shared" si="25"/>
        <v>0</v>
      </c>
      <c r="J141" s="247">
        <v>315</v>
      </c>
      <c r="K141" s="391">
        <f>IF(I141&gt;0,J141*'Revenues &amp; Expenses'!F149*16,0)</f>
        <v>0</v>
      </c>
      <c r="L141" s="540">
        <f>K141*'Revenues &amp; Expenses'!N149</f>
        <v>0</v>
      </c>
      <c r="M141" s="391"/>
      <c r="N141" s="391"/>
      <c r="AC141" s="637">
        <f t="shared" si="26"/>
        <v>40848</v>
      </c>
      <c r="AD141" s="465">
        <f t="shared" si="31"/>
        <v>132</v>
      </c>
      <c r="AE141" s="465">
        <f t="shared" si="27"/>
        <v>0</v>
      </c>
      <c r="AF141" s="465">
        <f t="shared" si="28"/>
        <v>0</v>
      </c>
      <c r="AG141" s="640">
        <f t="shared" si="29"/>
        <v>0</v>
      </c>
      <c r="AJ141" s="465">
        <f t="shared" si="30"/>
        <v>0</v>
      </c>
      <c r="AK141" s="646">
        <f t="shared" si="23"/>
        <v>0</v>
      </c>
    </row>
    <row r="142" spans="1:38">
      <c r="A142" s="250">
        <v>38.289353056809432</v>
      </c>
      <c r="B142" s="248">
        <f>'Revenues &amp; Expenses'!AX150</f>
        <v>40878</v>
      </c>
      <c r="C142" s="250">
        <f>'PJM Curve Simulation'!J150</f>
        <v>31.749999618530275</v>
      </c>
      <c r="D142" s="250">
        <f t="shared" si="24"/>
        <v>49.186814832201875</v>
      </c>
      <c r="F142" s="250">
        <f>('Fuel Curve Simulation'!J150*'Revenues &amp; Expenses'!$S$2/1000)</f>
        <v>46.433376724137936</v>
      </c>
      <c r="G142" s="250">
        <f>'Revenues &amp; Expenses'!$AM$5*1000*'Revenues &amp; Expenses'!O150</f>
        <v>2.7534381080639361</v>
      </c>
      <c r="H142" s="247">
        <f t="shared" si="32"/>
        <v>133</v>
      </c>
      <c r="I142" s="247">
        <f t="shared" si="25"/>
        <v>0</v>
      </c>
      <c r="J142" s="247">
        <v>315</v>
      </c>
      <c r="K142" s="391">
        <f>IF(I142&gt;0,J142*'Revenues &amp; Expenses'!F150*16,0)</f>
        <v>0</v>
      </c>
      <c r="L142" s="540">
        <f>K142*'Revenues &amp; Expenses'!N150</f>
        <v>0</v>
      </c>
      <c r="M142" s="391">
        <f>SUM(L131:L142)</f>
        <v>142083.81151252938</v>
      </c>
      <c r="N142" s="391">
        <f>SUM(K131:K142)</f>
        <v>327600</v>
      </c>
      <c r="AC142" s="637">
        <f t="shared" si="26"/>
        <v>40878</v>
      </c>
      <c r="AD142" s="465">
        <f t="shared" si="31"/>
        <v>133</v>
      </c>
      <c r="AE142" s="465">
        <f t="shared" si="27"/>
        <v>0</v>
      </c>
      <c r="AF142" s="465">
        <f t="shared" si="28"/>
        <v>0</v>
      </c>
      <c r="AG142" s="640">
        <f t="shared" si="29"/>
        <v>0</v>
      </c>
      <c r="AH142" s="640">
        <f>IF(SUM(AF131:AF142)=0,0,SUM(AE131:AE142)/SUM(AF131:AF142))</f>
        <v>90.042117824484208</v>
      </c>
      <c r="AJ142" s="465">
        <f t="shared" si="30"/>
        <v>0</v>
      </c>
      <c r="AK142" s="646">
        <f t="shared" si="23"/>
        <v>0</v>
      </c>
      <c r="AL142" s="646">
        <f>IF(SUM(AF131:AF142)=0,0,SUM(AJ131:AJ142)/SUM(AF131:AF142))</f>
        <v>45.712385566984395</v>
      </c>
    </row>
    <row r="143" spans="1:38">
      <c r="A143" s="250">
        <v>49.447228868705253</v>
      </c>
      <c r="B143" s="248">
        <f>'Revenues &amp; Expenses'!AX151</f>
        <v>40909</v>
      </c>
      <c r="C143" s="250">
        <f>'PJM Curve Simulation'!J151</f>
        <v>40.324998474121088</v>
      </c>
      <c r="D143" s="250">
        <f t="shared" si="24"/>
        <v>48.644619526480398</v>
      </c>
      <c r="F143" s="250">
        <f>('Fuel Curve Simulation'!J151*'Revenues &amp; Expenses'!$S$2/1000)</f>
        <v>45.885061551724156</v>
      </c>
      <c r="G143" s="250">
        <f>'Revenues &amp; Expenses'!$AM$5*1000*'Revenues &amp; Expenses'!O151</f>
        <v>2.759557974756242</v>
      </c>
      <c r="H143" s="247">
        <f t="shared" si="32"/>
        <v>134</v>
      </c>
      <c r="I143" s="247">
        <f t="shared" si="25"/>
        <v>0</v>
      </c>
      <c r="J143" s="247">
        <v>315</v>
      </c>
      <c r="K143" s="391">
        <f>IF(I143&gt;0,J143*'Revenues &amp; Expenses'!F151*16,0)</f>
        <v>0</v>
      </c>
      <c r="L143" s="540">
        <f>K143*'Revenues &amp; Expenses'!N151</f>
        <v>0</v>
      </c>
      <c r="M143" s="391"/>
      <c r="N143" s="391"/>
      <c r="AC143" s="637">
        <f t="shared" si="26"/>
        <v>40909</v>
      </c>
      <c r="AD143" s="465">
        <f t="shared" si="31"/>
        <v>134</v>
      </c>
      <c r="AE143" s="465">
        <f t="shared" si="27"/>
        <v>0</v>
      </c>
      <c r="AF143" s="465">
        <f t="shared" si="28"/>
        <v>0</v>
      </c>
      <c r="AG143" s="640">
        <f t="shared" si="29"/>
        <v>0</v>
      </c>
      <c r="AJ143" s="465">
        <f t="shared" si="30"/>
        <v>0</v>
      </c>
      <c r="AK143" s="646">
        <f t="shared" si="23"/>
        <v>0</v>
      </c>
    </row>
    <row r="144" spans="1:38">
      <c r="A144" s="250">
        <v>49.447228868705253</v>
      </c>
      <c r="B144" s="248">
        <f>'Revenues &amp; Expenses'!AX152</f>
        <v>40940</v>
      </c>
      <c r="C144" s="250">
        <f>'PJM Curve Simulation'!J152</f>
        <v>40.324998474121088</v>
      </c>
      <c r="D144" s="250">
        <f t="shared" si="24"/>
        <v>47.701110753976131</v>
      </c>
      <c r="F144" s="250">
        <f>('Fuel Curve Simulation'!J152*'Revenues &amp; Expenses'!$S$2/1000)</f>
        <v>44.935419310344834</v>
      </c>
      <c r="G144" s="250">
        <f>'Revenues &amp; Expenses'!$AM$5*1000*'Revenues &amp; Expenses'!O152</f>
        <v>2.765691443631296</v>
      </c>
      <c r="H144" s="247">
        <f t="shared" si="32"/>
        <v>135</v>
      </c>
      <c r="I144" s="247">
        <f t="shared" si="25"/>
        <v>0</v>
      </c>
      <c r="J144" s="247">
        <v>315</v>
      </c>
      <c r="K144" s="391">
        <f>IF(I144&gt;0,J144*'Revenues &amp; Expenses'!F152*16,0)</f>
        <v>0</v>
      </c>
      <c r="L144" s="540">
        <f>K144*'Revenues &amp; Expenses'!N152</f>
        <v>0</v>
      </c>
      <c r="M144" s="391"/>
      <c r="N144" s="391"/>
      <c r="AC144" s="637">
        <f t="shared" si="26"/>
        <v>40940</v>
      </c>
      <c r="AD144" s="465">
        <f t="shared" si="31"/>
        <v>135</v>
      </c>
      <c r="AE144" s="465">
        <f t="shared" si="27"/>
        <v>0</v>
      </c>
      <c r="AF144" s="465">
        <f t="shared" si="28"/>
        <v>0</v>
      </c>
      <c r="AG144" s="640">
        <f t="shared" si="29"/>
        <v>0</v>
      </c>
      <c r="AJ144" s="465">
        <f t="shared" si="30"/>
        <v>0</v>
      </c>
      <c r="AK144" s="646">
        <f t="shared" si="23"/>
        <v>0</v>
      </c>
    </row>
    <row r="145" spans="1:38">
      <c r="A145" s="250">
        <v>36.547562177906038</v>
      </c>
      <c r="B145" s="248">
        <f>'Revenues &amp; Expenses'!AX153</f>
        <v>40969</v>
      </c>
      <c r="C145" s="250">
        <f>'PJM Curve Simulation'!J153</f>
        <v>30.050000762939455</v>
      </c>
      <c r="D145" s="250">
        <f t="shared" si="24"/>
        <v>46.777434234576859</v>
      </c>
      <c r="F145" s="250">
        <f>('Fuel Curve Simulation'!J153*'Revenues &amp; Expenses'!$S$2/1000)</f>
        <v>44.005595689655181</v>
      </c>
      <c r="G145" s="250">
        <f>'Revenues &amp; Expenses'!$AM$5*1000*'Revenues &amp; Expenses'!O153</f>
        <v>2.7718385449216809</v>
      </c>
      <c r="H145" s="247">
        <f t="shared" si="32"/>
        <v>136</v>
      </c>
      <c r="I145" s="247">
        <f t="shared" si="25"/>
        <v>0</v>
      </c>
      <c r="J145" s="247">
        <v>315</v>
      </c>
      <c r="K145" s="391">
        <f>IF(I145&gt;0,J145*'Revenues &amp; Expenses'!F153*16,0)</f>
        <v>0</v>
      </c>
      <c r="L145" s="540">
        <f>K145*'Revenues &amp; Expenses'!N153</f>
        <v>0</v>
      </c>
      <c r="M145" s="391"/>
      <c r="N145" s="391"/>
      <c r="AC145" s="637">
        <f t="shared" si="26"/>
        <v>40969</v>
      </c>
      <c r="AD145" s="465">
        <f t="shared" si="31"/>
        <v>136</v>
      </c>
      <c r="AE145" s="465">
        <f t="shared" si="27"/>
        <v>0</v>
      </c>
      <c r="AF145" s="465">
        <f t="shared" si="28"/>
        <v>0</v>
      </c>
      <c r="AG145" s="640">
        <f t="shared" si="29"/>
        <v>0</v>
      </c>
      <c r="AJ145" s="465">
        <f t="shared" si="30"/>
        <v>0</v>
      </c>
      <c r="AK145" s="646">
        <f t="shared" si="23"/>
        <v>0</v>
      </c>
    </row>
    <row r="146" spans="1:38">
      <c r="A146" s="250">
        <v>33.832356176536067</v>
      </c>
      <c r="B146" s="248">
        <f>'Revenues &amp; Expenses'!AX154</f>
        <v>41000</v>
      </c>
      <c r="C146" s="250">
        <f>'PJM Curve Simulation'!J154</f>
        <v>29.825000762939453</v>
      </c>
      <c r="D146" s="250">
        <f t="shared" si="24"/>
        <v>45.825694998582357</v>
      </c>
      <c r="F146" s="250">
        <f>('Fuel Curve Simulation'!J154*'Revenues &amp; Expenses'!$S$2/1000)</f>
        <v>43.047695689655178</v>
      </c>
      <c r="G146" s="250">
        <f>'Revenues &amp; Expenses'!$AM$5*1000*'Revenues &amp; Expenses'!O154</f>
        <v>2.7779993089271753</v>
      </c>
      <c r="H146" s="247">
        <f t="shared" si="32"/>
        <v>137</v>
      </c>
      <c r="I146" s="247">
        <f t="shared" si="25"/>
        <v>0</v>
      </c>
      <c r="J146" s="247">
        <v>315</v>
      </c>
      <c r="K146" s="391">
        <f>IF(I146&gt;0,J146*'Revenues &amp; Expenses'!F154*16,0)</f>
        <v>0</v>
      </c>
      <c r="L146" s="540">
        <f>K146*'Revenues &amp; Expenses'!N154</f>
        <v>0</v>
      </c>
      <c r="M146" s="391"/>
      <c r="N146" s="391"/>
      <c r="AC146" s="637">
        <f t="shared" si="26"/>
        <v>41000</v>
      </c>
      <c r="AD146" s="465">
        <f t="shared" si="31"/>
        <v>137</v>
      </c>
      <c r="AE146" s="465">
        <f t="shared" si="27"/>
        <v>0</v>
      </c>
      <c r="AF146" s="465">
        <f t="shared" si="28"/>
        <v>0</v>
      </c>
      <c r="AG146" s="640">
        <f t="shared" si="29"/>
        <v>0</v>
      </c>
      <c r="AJ146" s="465">
        <f t="shared" si="30"/>
        <v>0</v>
      </c>
      <c r="AK146" s="646">
        <f t="shared" si="23"/>
        <v>0</v>
      </c>
    </row>
    <row r="147" spans="1:38">
      <c r="A147" s="250">
        <v>41.524443376254119</v>
      </c>
      <c r="B147" s="248">
        <f>'Revenues &amp; Expenses'!AX155</f>
        <v>41030</v>
      </c>
      <c r="C147" s="250">
        <f>'PJM Curve Simulation'!J155</f>
        <v>37.825000000000003</v>
      </c>
      <c r="D147" s="250">
        <f t="shared" si="24"/>
        <v>45.187764283256286</v>
      </c>
      <c r="F147" s="250">
        <f>('Fuel Curve Simulation'!J155*'Revenues &amp; Expenses'!$S$2/1000)</f>
        <v>42.403590517241383</v>
      </c>
      <c r="G147" s="250">
        <f>'Revenues &amp; Expenses'!$AM$5*1000*'Revenues &amp; Expenses'!O155</f>
        <v>2.7841737660149017</v>
      </c>
      <c r="H147" s="247">
        <f t="shared" si="32"/>
        <v>138</v>
      </c>
      <c r="I147" s="247">
        <f t="shared" si="25"/>
        <v>0</v>
      </c>
      <c r="J147" s="247">
        <v>315</v>
      </c>
      <c r="K147" s="391">
        <f>IF(I147&gt;0,J147*'Revenues &amp; Expenses'!F155*16,0)</f>
        <v>0</v>
      </c>
      <c r="L147" s="540">
        <f>K147*'Revenues &amp; Expenses'!N155</f>
        <v>0</v>
      </c>
      <c r="M147" s="391"/>
      <c r="N147" s="391"/>
      <c r="AC147" s="637">
        <f t="shared" si="26"/>
        <v>41030</v>
      </c>
      <c r="AD147" s="465">
        <f t="shared" si="31"/>
        <v>138</v>
      </c>
      <c r="AE147" s="465">
        <f t="shared" si="27"/>
        <v>0</v>
      </c>
      <c r="AF147" s="465">
        <f t="shared" si="28"/>
        <v>0</v>
      </c>
      <c r="AG147" s="640">
        <f t="shared" si="29"/>
        <v>0</v>
      </c>
      <c r="AJ147" s="465">
        <f t="shared" si="30"/>
        <v>0</v>
      </c>
      <c r="AK147" s="646">
        <f t="shared" si="23"/>
        <v>0</v>
      </c>
    </row>
    <row r="148" spans="1:38">
      <c r="A148" s="250">
        <v>78.789125324254542</v>
      </c>
      <c r="B148" s="248">
        <f>'Revenues &amp; Expenses'!AX156</f>
        <v>41061</v>
      </c>
      <c r="C148" s="250">
        <f>'PJM Curve Simulation'!J156</f>
        <v>63.849998474121094</v>
      </c>
      <c r="D148" s="250">
        <f t="shared" si="24"/>
        <v>45.131193498343627</v>
      </c>
      <c r="F148" s="250">
        <f>('Fuel Curve Simulation'!J156*'Revenues &amp; Expenses'!$S$2/1000)</f>
        <v>42.34083155172415</v>
      </c>
      <c r="G148" s="250">
        <f>'Revenues &amp; Expenses'!$AM$5*1000*'Revenues &amp; Expenses'!O156</f>
        <v>2.79036194661948</v>
      </c>
      <c r="H148" s="247">
        <f t="shared" si="32"/>
        <v>139</v>
      </c>
      <c r="I148" s="247">
        <f t="shared" si="25"/>
        <v>1</v>
      </c>
      <c r="J148" s="247">
        <v>315</v>
      </c>
      <c r="K148" s="391">
        <f>IF(I148&gt;0,J148*'Revenues &amp; Expenses'!F156*16,0)</f>
        <v>110880</v>
      </c>
      <c r="L148" s="540">
        <f>K148*'Revenues &amp; Expenses'!N156</f>
        <v>44999.302303116463</v>
      </c>
      <c r="M148" s="391"/>
      <c r="N148" s="391"/>
      <c r="AC148" s="637">
        <f t="shared" si="26"/>
        <v>41061</v>
      </c>
      <c r="AD148" s="465">
        <f t="shared" si="31"/>
        <v>139</v>
      </c>
      <c r="AE148" s="465">
        <f t="shared" si="27"/>
        <v>2873205.3833905002</v>
      </c>
      <c r="AF148" s="465">
        <f t="shared" si="28"/>
        <v>44999.302303116463</v>
      </c>
      <c r="AG148" s="640">
        <f t="shared" si="29"/>
        <v>63.849998474121101</v>
      </c>
      <c r="AJ148" s="465">
        <f t="shared" si="30"/>
        <v>2030872.2195324092</v>
      </c>
      <c r="AK148" s="646">
        <f t="shared" si="23"/>
        <v>45.131193498343627</v>
      </c>
    </row>
    <row r="149" spans="1:38">
      <c r="A149" s="250">
        <v>146.34117533810399</v>
      </c>
      <c r="B149" s="248">
        <f>'Revenues &amp; Expenses'!AX157</f>
        <v>41091</v>
      </c>
      <c r="C149" s="250">
        <f>'PJM Curve Simulation'!J157</f>
        <v>111.44999694824219</v>
      </c>
      <c r="D149" s="250">
        <f t="shared" si="24"/>
        <v>45.685710605381111</v>
      </c>
      <c r="F149" s="250">
        <f>('Fuel Curve Simulation'!J157*'Revenues &amp; Expenses'!$S$2/1000)</f>
        <v>42.889146724137937</v>
      </c>
      <c r="G149" s="250">
        <f>'Revenues &amp; Expenses'!$AM$5*1000*'Revenues &amp; Expenses'!O157</f>
        <v>2.7965638812431717</v>
      </c>
      <c r="H149" s="247">
        <f t="shared" si="32"/>
        <v>140</v>
      </c>
      <c r="I149" s="247">
        <f t="shared" si="25"/>
        <v>1</v>
      </c>
      <c r="J149" s="247">
        <v>315</v>
      </c>
      <c r="K149" s="391">
        <f>IF(I149&gt;0,J149*'Revenues &amp; Expenses'!F157*16,0)</f>
        <v>110880</v>
      </c>
      <c r="L149" s="540">
        <f>K149*'Revenues &amp; Expenses'!N157</f>
        <v>44733.217964411553</v>
      </c>
      <c r="M149" s="391"/>
      <c r="N149" s="391"/>
      <c r="AC149" s="637">
        <f t="shared" si="26"/>
        <v>41091</v>
      </c>
      <c r="AD149" s="465">
        <f t="shared" si="31"/>
        <v>140</v>
      </c>
      <c r="AE149" s="465">
        <f t="shared" si="27"/>
        <v>4985517.0056187203</v>
      </c>
      <c r="AF149" s="465">
        <f t="shared" si="28"/>
        <v>44733.217964411553</v>
      </c>
      <c r="AG149" s="640">
        <f t="shared" si="29"/>
        <v>111.44999694824219</v>
      </c>
      <c r="AJ149" s="465">
        <f t="shared" si="30"/>
        <v>2043668.8503695417</v>
      </c>
      <c r="AK149" s="646">
        <f t="shared" si="23"/>
        <v>45.685710605381111</v>
      </c>
    </row>
    <row r="150" spans="1:38">
      <c r="A150" s="250">
        <v>120.83160853123218</v>
      </c>
      <c r="B150" s="248">
        <f>'Revenues &amp; Expenses'!AX158</f>
        <v>41122</v>
      </c>
      <c r="C150" s="250">
        <f>'PJM Curve Simulation'!J158</f>
        <v>98.449996948242188</v>
      </c>
      <c r="D150" s="250">
        <f t="shared" si="24"/>
        <v>46.558990979766392</v>
      </c>
      <c r="F150" s="250">
        <f>('Fuel Curve Simulation'!J158*'Revenues &amp; Expenses'!$S$2/1000)</f>
        <v>43.756211379310358</v>
      </c>
      <c r="G150" s="250">
        <f>'Revenues &amp; Expenses'!$AM$5*1000*'Revenues &amp; Expenses'!O158</f>
        <v>2.8027796004560361</v>
      </c>
      <c r="H150" s="247">
        <f t="shared" si="32"/>
        <v>141</v>
      </c>
      <c r="I150" s="247">
        <f t="shared" si="25"/>
        <v>1</v>
      </c>
      <c r="J150" s="247">
        <v>315</v>
      </c>
      <c r="K150" s="391">
        <f>IF(I150&gt;0,J150*'Revenues &amp; Expenses'!F158*16,0)</f>
        <v>110880</v>
      </c>
      <c r="L150" s="540">
        <f>K150*'Revenues &amp; Expenses'!N158</f>
        <v>44459.954004248117</v>
      </c>
      <c r="M150" s="391"/>
      <c r="N150" s="391"/>
      <c r="AC150" s="637">
        <f t="shared" si="26"/>
        <v>41122</v>
      </c>
      <c r="AD150" s="465">
        <f t="shared" si="31"/>
        <v>141</v>
      </c>
      <c r="AE150" s="465">
        <f t="shared" si="27"/>
        <v>4377082.3360372148</v>
      </c>
      <c r="AF150" s="465">
        <f t="shared" si="28"/>
        <v>44459.954004248117</v>
      </c>
      <c r="AG150" s="640">
        <f t="shared" si="29"/>
        <v>98.449996948242188</v>
      </c>
      <c r="AJ150" s="465">
        <f t="shared" si="30"/>
        <v>2070010.5974446167</v>
      </c>
      <c r="AK150" s="646">
        <f t="shared" si="23"/>
        <v>46.558990979766392</v>
      </c>
    </row>
    <row r="151" spans="1:38">
      <c r="A151" s="250">
        <v>43.228604063950129</v>
      </c>
      <c r="B151" s="248">
        <f>'Revenues &amp; Expenses'!AX159</f>
        <v>41153</v>
      </c>
      <c r="C151" s="250">
        <f>'PJM Curve Simulation'!J159</f>
        <v>37.424998474121097</v>
      </c>
      <c r="D151" s="250">
        <f t="shared" si="24"/>
        <v>47.473573962482298</v>
      </c>
      <c r="F151" s="250">
        <f>('Fuel Curve Simulation'!J159*'Revenues &amp; Expenses'!$S$2/1000)</f>
        <v>44.664564827586219</v>
      </c>
      <c r="G151" s="250">
        <f>'Revenues &amp; Expenses'!$AM$5*1000*'Revenues &amp; Expenses'!O159</f>
        <v>2.8090091348960771</v>
      </c>
      <c r="H151" s="247">
        <f t="shared" si="32"/>
        <v>142</v>
      </c>
      <c r="I151" s="247">
        <f t="shared" si="25"/>
        <v>0</v>
      </c>
      <c r="J151" s="247">
        <v>315</v>
      </c>
      <c r="K151" s="391">
        <f>IF(I151&gt;0,J151*'Revenues &amp; Expenses'!F159*16,0)</f>
        <v>0</v>
      </c>
      <c r="L151" s="540">
        <f>K151*'Revenues &amp; Expenses'!N159</f>
        <v>0</v>
      </c>
      <c r="M151" s="391"/>
      <c r="N151" s="391"/>
      <c r="AC151" s="637">
        <f t="shared" si="26"/>
        <v>41153</v>
      </c>
      <c r="AD151" s="465">
        <f t="shared" si="31"/>
        <v>142</v>
      </c>
      <c r="AE151" s="465">
        <f t="shared" si="27"/>
        <v>0</v>
      </c>
      <c r="AF151" s="465">
        <f t="shared" si="28"/>
        <v>0</v>
      </c>
      <c r="AG151" s="640">
        <f t="shared" si="29"/>
        <v>0</v>
      </c>
      <c r="AJ151" s="465">
        <f t="shared" si="30"/>
        <v>0</v>
      </c>
      <c r="AK151" s="646">
        <f t="shared" si="23"/>
        <v>0</v>
      </c>
    </row>
    <row r="152" spans="1:38">
      <c r="A152" s="250">
        <v>35.917217323122024</v>
      </c>
      <c r="B152" s="248">
        <f>'Revenues &amp; Expenses'!AX160</f>
        <v>41183</v>
      </c>
      <c r="C152" s="250">
        <f>'PJM Curve Simulation'!J160</f>
        <v>30.575000381469728</v>
      </c>
      <c r="D152" s="250">
        <f t="shared" si="24"/>
        <v>48.366700618717665</v>
      </c>
      <c r="F152" s="250">
        <f>('Fuel Curve Simulation'!J160*'Revenues &amp; Expenses'!$S$2/1000)</f>
        <v>45.551448103448273</v>
      </c>
      <c r="G152" s="250">
        <f>'Revenues &amp; Expenses'!$AM$5*1000*'Revenues &amp; Expenses'!O160</f>
        <v>2.8152525152693957</v>
      </c>
      <c r="H152" s="247">
        <f t="shared" si="32"/>
        <v>143</v>
      </c>
      <c r="I152" s="247">
        <f t="shared" si="25"/>
        <v>0</v>
      </c>
      <c r="J152" s="247">
        <v>315</v>
      </c>
      <c r="K152" s="391">
        <f>IF(I152&gt;0,J152*'Revenues &amp; Expenses'!F160*16,0)</f>
        <v>0</v>
      </c>
      <c r="L152" s="540">
        <f>K152*'Revenues &amp; Expenses'!N160</f>
        <v>0</v>
      </c>
      <c r="M152" s="391"/>
      <c r="N152" s="391"/>
      <c r="AC152" s="637">
        <f t="shared" si="26"/>
        <v>41183</v>
      </c>
      <c r="AD152" s="465">
        <f t="shared" si="31"/>
        <v>143</v>
      </c>
      <c r="AE152" s="465">
        <f t="shared" si="27"/>
        <v>0</v>
      </c>
      <c r="AF152" s="465">
        <f t="shared" si="28"/>
        <v>0</v>
      </c>
      <c r="AG152" s="640">
        <f t="shared" si="29"/>
        <v>0</v>
      </c>
      <c r="AJ152" s="465">
        <f t="shared" si="30"/>
        <v>0</v>
      </c>
      <c r="AK152" s="646">
        <f t="shared" si="23"/>
        <v>0</v>
      </c>
    </row>
    <row r="153" spans="1:38">
      <c r="A153" s="250">
        <v>36.019478097267154</v>
      </c>
      <c r="B153" s="248">
        <f>'Revenues &amp; Expenses'!AX161</f>
        <v>41214</v>
      </c>
      <c r="C153" s="250">
        <f>'PJM Curve Simulation'!J161</f>
        <v>30.247499084472658</v>
      </c>
      <c r="D153" s="250">
        <f t="shared" si="24"/>
        <v>48.845301668902067</v>
      </c>
      <c r="F153" s="250">
        <f>('Fuel Curve Simulation'!J161*'Revenues &amp; Expenses'!$S$2/1000)</f>
        <v>46.023791896551728</v>
      </c>
      <c r="G153" s="250">
        <f>'Revenues &amp; Expenses'!$AM$5*1000*'Revenues &amp; Expenses'!O161</f>
        <v>2.8215097723503408</v>
      </c>
      <c r="H153" s="247">
        <f t="shared" si="32"/>
        <v>144</v>
      </c>
      <c r="I153" s="247">
        <f t="shared" si="25"/>
        <v>0</v>
      </c>
      <c r="J153" s="247">
        <v>315</v>
      </c>
      <c r="K153" s="391">
        <f>IF(I153&gt;0,J153*'Revenues &amp; Expenses'!F161*16,0)</f>
        <v>0</v>
      </c>
      <c r="L153" s="540">
        <f>K153*'Revenues &amp; Expenses'!N161</f>
        <v>0</v>
      </c>
      <c r="M153" s="391"/>
      <c r="N153" s="391"/>
      <c r="AC153" s="637">
        <f t="shared" si="26"/>
        <v>41214</v>
      </c>
      <c r="AD153" s="465">
        <f t="shared" si="31"/>
        <v>144</v>
      </c>
      <c r="AE153" s="465">
        <f t="shared" si="27"/>
        <v>0</v>
      </c>
      <c r="AF153" s="465">
        <f t="shared" si="28"/>
        <v>0</v>
      </c>
      <c r="AG153" s="640">
        <f t="shared" si="29"/>
        <v>0</v>
      </c>
      <c r="AJ153" s="465">
        <f t="shared" si="30"/>
        <v>0</v>
      </c>
      <c r="AK153" s="646">
        <f t="shared" si="23"/>
        <v>0</v>
      </c>
    </row>
    <row r="154" spans="1:38">
      <c r="A154" s="250">
        <v>38.590844029383035</v>
      </c>
      <c r="B154" s="248">
        <f>'Revenues &amp; Expenses'!AX162</f>
        <v>41244</v>
      </c>
      <c r="C154" s="250">
        <f>'PJM Curve Simulation'!J162</f>
        <v>31.999999618530275</v>
      </c>
      <c r="D154" s="250">
        <f t="shared" si="24"/>
        <v>49.261157661119597</v>
      </c>
      <c r="F154" s="250">
        <f>('Fuel Curve Simulation'!J162*'Revenues &amp; Expenses'!$S$2/1000)</f>
        <v>46.433376724137936</v>
      </c>
      <c r="G154" s="250">
        <f>'Revenues &amp; Expenses'!$AM$5*1000*'Revenues &amp; Expenses'!O162</f>
        <v>2.8277809369816618</v>
      </c>
      <c r="H154" s="247">
        <f t="shared" si="32"/>
        <v>145</v>
      </c>
      <c r="I154" s="247">
        <f t="shared" si="25"/>
        <v>0</v>
      </c>
      <c r="J154" s="247">
        <v>315</v>
      </c>
      <c r="K154" s="391">
        <f>IF(I154&gt;0,J154*'Revenues &amp; Expenses'!F162*16,0)</f>
        <v>0</v>
      </c>
      <c r="L154" s="540">
        <f>K154*'Revenues &amp; Expenses'!N162</f>
        <v>0</v>
      </c>
      <c r="M154" s="391">
        <f>SUM(L143:L154)</f>
        <v>134192.47427177613</v>
      </c>
      <c r="N154" s="391">
        <f>SUM(K143:K154)</f>
        <v>332640</v>
      </c>
      <c r="AC154" s="637">
        <f t="shared" si="26"/>
        <v>41244</v>
      </c>
      <c r="AD154" s="465">
        <f t="shared" si="31"/>
        <v>145</v>
      </c>
      <c r="AE154" s="465">
        <f t="shared" si="27"/>
        <v>0</v>
      </c>
      <c r="AF154" s="465">
        <f t="shared" si="28"/>
        <v>0</v>
      </c>
      <c r="AG154" s="640">
        <f t="shared" si="29"/>
        <v>0</v>
      </c>
      <c r="AH154" s="640">
        <f>IF(SUM(AF143:AF154)=0,0,SUM(AE143:AE154)/SUM(AF143:AF154))</f>
        <v>91.181005428557896</v>
      </c>
      <c r="AJ154" s="465">
        <f t="shared" si="30"/>
        <v>0</v>
      </c>
      <c r="AK154" s="646">
        <f t="shared" si="23"/>
        <v>0</v>
      </c>
      <c r="AL154" s="646">
        <f>IF(SUM(AF143:AF154)=0,0,SUM(AJ143:AJ154)/SUM(AF143:AF154))</f>
        <v>45.789092873436289</v>
      </c>
    </row>
    <row r="155" spans="1:38">
      <c r="A155" s="250">
        <v>49.753783306025554</v>
      </c>
      <c r="B155" s="248">
        <f>'Revenues &amp; Expenses'!AX163</f>
        <v>41275</v>
      </c>
      <c r="C155" s="250">
        <f>'PJM Curve Simulation'!J163</f>
        <v>40.574998474121088</v>
      </c>
      <c r="D155" s="250">
        <f t="shared" si="24"/>
        <v>48.719127591798816</v>
      </c>
      <c r="F155" s="250">
        <f>('Fuel Curve Simulation'!J163*'Revenues &amp; Expenses'!$S$2/1000)</f>
        <v>45.885061551724156</v>
      </c>
      <c r="G155" s="250">
        <f>'Revenues &amp; Expenses'!$AM$5*1000*'Revenues &amp; Expenses'!O163</f>
        <v>2.8340660400746605</v>
      </c>
      <c r="H155" s="247">
        <f t="shared" si="32"/>
        <v>146</v>
      </c>
      <c r="I155" s="247">
        <f t="shared" si="25"/>
        <v>0</v>
      </c>
      <c r="J155" s="247">
        <v>315</v>
      </c>
      <c r="K155" s="391">
        <f>IF(I155&gt;0,J155*'Revenues &amp; Expenses'!F163*16,0)</f>
        <v>0</v>
      </c>
      <c r="L155" s="540">
        <f>K155*'Revenues &amp; Expenses'!N163</f>
        <v>0</v>
      </c>
      <c r="M155" s="391"/>
      <c r="N155" s="391"/>
      <c r="AC155" s="637">
        <f t="shared" si="26"/>
        <v>41275</v>
      </c>
      <c r="AD155" s="465">
        <f t="shared" si="31"/>
        <v>146</v>
      </c>
      <c r="AE155" s="465">
        <f t="shared" si="27"/>
        <v>0</v>
      </c>
      <c r="AF155" s="465">
        <f t="shared" si="28"/>
        <v>0</v>
      </c>
      <c r="AG155" s="640">
        <f t="shared" si="29"/>
        <v>0</v>
      </c>
      <c r="AJ155" s="465">
        <f t="shared" si="30"/>
        <v>0</v>
      </c>
      <c r="AK155" s="646">
        <f t="shared" si="23"/>
        <v>0</v>
      </c>
    </row>
    <row r="156" spans="1:38">
      <c r="A156" s="250">
        <v>49.753783306025554</v>
      </c>
      <c r="B156" s="248">
        <f>'Revenues &amp; Expenses'!AX164</f>
        <v>41306</v>
      </c>
      <c r="C156" s="250">
        <f>'PJM Curve Simulation'!J164</f>
        <v>40.574998474121088</v>
      </c>
      <c r="D156" s="250">
        <f t="shared" si="24"/>
        <v>47.775784422954175</v>
      </c>
      <c r="F156" s="250">
        <f>('Fuel Curve Simulation'!J164*'Revenues &amp; Expenses'!$S$2/1000)</f>
        <v>44.935419310344834</v>
      </c>
      <c r="G156" s="250">
        <f>'Revenues &amp; Expenses'!$AM$5*1000*'Revenues &amp; Expenses'!O164</f>
        <v>2.8403651126093408</v>
      </c>
      <c r="H156" s="247">
        <f t="shared" si="32"/>
        <v>147</v>
      </c>
      <c r="I156" s="247">
        <f t="shared" si="25"/>
        <v>0</v>
      </c>
      <c r="J156" s="247">
        <v>315</v>
      </c>
      <c r="K156" s="391">
        <f>IF(I156&gt;0,J156*'Revenues &amp; Expenses'!F164*16,0)</f>
        <v>0</v>
      </c>
      <c r="L156" s="540">
        <f>K156*'Revenues &amp; Expenses'!N164</f>
        <v>0</v>
      </c>
      <c r="M156" s="391"/>
      <c r="N156" s="391"/>
      <c r="AC156" s="637">
        <f t="shared" si="26"/>
        <v>41306</v>
      </c>
      <c r="AD156" s="465">
        <f t="shared" si="31"/>
        <v>147</v>
      </c>
      <c r="AE156" s="465">
        <f t="shared" si="27"/>
        <v>0</v>
      </c>
      <c r="AF156" s="465">
        <f t="shared" si="28"/>
        <v>0</v>
      </c>
      <c r="AG156" s="640">
        <f t="shared" si="29"/>
        <v>0</v>
      </c>
      <c r="AJ156" s="465">
        <f t="shared" si="30"/>
        <v>0</v>
      </c>
      <c r="AK156" s="646">
        <f t="shared" si="23"/>
        <v>0</v>
      </c>
    </row>
    <row r="157" spans="1:38">
      <c r="A157" s="250">
        <v>36.85161842790604</v>
      </c>
      <c r="B157" s="248">
        <f>'Revenues &amp; Expenses'!AX165</f>
        <v>41334</v>
      </c>
      <c r="C157" s="250">
        <f>'PJM Curve Simulation'!J165</f>
        <v>30.300000762939455</v>
      </c>
      <c r="D157" s="250">
        <f t="shared" si="24"/>
        <v>46.852273875289747</v>
      </c>
      <c r="F157" s="250">
        <f>('Fuel Curve Simulation'!J165*'Revenues &amp; Expenses'!$S$2/1000)</f>
        <v>44.005595689655181</v>
      </c>
      <c r="G157" s="250">
        <f>'Revenues &amp; Expenses'!$AM$5*1000*'Revenues &amp; Expenses'!O165</f>
        <v>2.8466781856345662</v>
      </c>
      <c r="H157" s="247">
        <f t="shared" si="32"/>
        <v>148</v>
      </c>
      <c r="I157" s="247">
        <f t="shared" si="25"/>
        <v>0</v>
      </c>
      <c r="J157" s="247">
        <v>315</v>
      </c>
      <c r="K157" s="391">
        <f>IF(I157&gt;0,J157*'Revenues &amp; Expenses'!F165*16,0)</f>
        <v>0</v>
      </c>
      <c r="L157" s="540">
        <f>K157*'Revenues &amp; Expenses'!N165</f>
        <v>0</v>
      </c>
      <c r="M157" s="391"/>
      <c r="N157" s="391"/>
      <c r="AC157" s="637">
        <f t="shared" si="26"/>
        <v>41334</v>
      </c>
      <c r="AD157" s="465">
        <f t="shared" si="31"/>
        <v>148</v>
      </c>
      <c r="AE157" s="465">
        <f t="shared" si="27"/>
        <v>0</v>
      </c>
      <c r="AF157" s="465">
        <f t="shared" si="28"/>
        <v>0</v>
      </c>
      <c r="AG157" s="640">
        <f t="shared" si="29"/>
        <v>0</v>
      </c>
      <c r="AJ157" s="465">
        <f t="shared" si="30"/>
        <v>0</v>
      </c>
      <c r="AK157" s="646">
        <f t="shared" si="23"/>
        <v>0</v>
      </c>
    </row>
    <row r="158" spans="1:38">
      <c r="A158" s="250">
        <v>34.115946749135276</v>
      </c>
      <c r="B158" s="248">
        <f>'Revenues &amp; Expenses'!AX166</f>
        <v>41365</v>
      </c>
      <c r="C158" s="250">
        <f>'PJM Curve Simulation'!J166</f>
        <v>30.075000762939453</v>
      </c>
      <c r="D158" s="250">
        <f t="shared" si="24"/>
        <v>45.900700979923386</v>
      </c>
      <c r="F158" s="250">
        <f>('Fuel Curve Simulation'!J166*'Revenues &amp; Expenses'!$S$2/1000)</f>
        <v>43.047695689655178</v>
      </c>
      <c r="G158" s="250">
        <f>'Revenues &amp; Expenses'!$AM$5*1000*'Revenues &amp; Expenses'!O166</f>
        <v>2.8530052902682086</v>
      </c>
      <c r="H158" s="247">
        <f t="shared" si="32"/>
        <v>149</v>
      </c>
      <c r="I158" s="247">
        <f t="shared" si="25"/>
        <v>0</v>
      </c>
      <c r="J158" s="247">
        <v>315</v>
      </c>
      <c r="K158" s="391">
        <f>IF(I158&gt;0,J158*'Revenues &amp; Expenses'!F166*16,0)</f>
        <v>0</v>
      </c>
      <c r="L158" s="540">
        <f>K158*'Revenues &amp; Expenses'!N166</f>
        <v>0</v>
      </c>
      <c r="M158" s="391"/>
      <c r="N158" s="391"/>
      <c r="AC158" s="637">
        <f t="shared" si="26"/>
        <v>41365</v>
      </c>
      <c r="AD158" s="465">
        <f t="shared" si="31"/>
        <v>149</v>
      </c>
      <c r="AE158" s="465">
        <f t="shared" si="27"/>
        <v>0</v>
      </c>
      <c r="AF158" s="465">
        <f t="shared" si="28"/>
        <v>0</v>
      </c>
      <c r="AG158" s="640">
        <f t="shared" si="29"/>
        <v>0</v>
      </c>
      <c r="AJ158" s="465">
        <f t="shared" si="30"/>
        <v>0</v>
      </c>
      <c r="AK158" s="646">
        <f t="shared" si="23"/>
        <v>0</v>
      </c>
    </row>
    <row r="159" spans="1:38">
      <c r="A159" s="250">
        <v>41.79889442302381</v>
      </c>
      <c r="B159" s="248">
        <f>'Revenues &amp; Expenses'!AX167</f>
        <v>41395</v>
      </c>
      <c r="C159" s="250">
        <f>'PJM Curve Simulation'!J167</f>
        <v>38.075000000000003</v>
      </c>
      <c r="D159" s="250">
        <f t="shared" si="24"/>
        <v>45.26293697493869</v>
      </c>
      <c r="F159" s="250">
        <f>('Fuel Curve Simulation'!J167*'Revenues &amp; Expenses'!$S$2/1000)</f>
        <v>42.403590517241383</v>
      </c>
      <c r="G159" s="250">
        <f>'Revenues &amp; Expenses'!$AM$5*1000*'Revenues &amp; Expenses'!O167</f>
        <v>2.859346457697304</v>
      </c>
      <c r="H159" s="247">
        <f t="shared" si="32"/>
        <v>150</v>
      </c>
      <c r="I159" s="247">
        <f t="shared" si="25"/>
        <v>0</v>
      </c>
      <c r="J159" s="247">
        <v>315</v>
      </c>
      <c r="K159" s="391">
        <f>IF(I159&gt;0,J159*'Revenues &amp; Expenses'!F167*16,0)</f>
        <v>0</v>
      </c>
      <c r="L159" s="540">
        <f>K159*'Revenues &amp; Expenses'!N167</f>
        <v>0</v>
      </c>
      <c r="M159" s="391"/>
      <c r="N159" s="391"/>
      <c r="AC159" s="637">
        <f t="shared" si="26"/>
        <v>41395</v>
      </c>
      <c r="AD159" s="465">
        <f t="shared" si="31"/>
        <v>150</v>
      </c>
      <c r="AE159" s="465">
        <f t="shared" si="27"/>
        <v>0</v>
      </c>
      <c r="AF159" s="465">
        <f t="shared" si="28"/>
        <v>0</v>
      </c>
      <c r="AG159" s="640">
        <f t="shared" si="29"/>
        <v>0</v>
      </c>
      <c r="AJ159" s="465">
        <f t="shared" si="30"/>
        <v>0</v>
      </c>
      <c r="AK159" s="646">
        <f t="shared" si="23"/>
        <v>0</v>
      </c>
    </row>
    <row r="160" spans="1:38">
      <c r="A160" s="250">
        <v>79.714604500532701</v>
      </c>
      <c r="B160" s="248">
        <f>'Revenues &amp; Expenses'!AX168</f>
        <v>41426</v>
      </c>
      <c r="C160" s="250">
        <f>'PJM Curve Simulation'!J168</f>
        <v>64.599998474121094</v>
      </c>
      <c r="D160" s="250">
        <f t="shared" si="24"/>
        <v>45.206533270902355</v>
      </c>
      <c r="F160" s="250">
        <f>('Fuel Curve Simulation'!J168*'Revenues &amp; Expenses'!$S$2/1000)</f>
        <v>42.34083155172415</v>
      </c>
      <c r="G160" s="250">
        <f>'Revenues &amp; Expenses'!$AM$5*1000*'Revenues &amp; Expenses'!O168</f>
        <v>2.8657017191782055</v>
      </c>
      <c r="H160" s="247">
        <f t="shared" si="32"/>
        <v>151</v>
      </c>
      <c r="I160" s="247">
        <f t="shared" si="25"/>
        <v>1</v>
      </c>
      <c r="J160" s="247">
        <v>315</v>
      </c>
      <c r="K160" s="391">
        <f>IF(I160&gt;0,J160*'Revenues &amp; Expenses'!F168*16,0)</f>
        <v>105840</v>
      </c>
      <c r="L160" s="540">
        <f>K160*'Revenues &amp; Expenses'!N168</f>
        <v>39965.831176778134</v>
      </c>
      <c r="M160" s="391"/>
      <c r="N160" s="391"/>
      <c r="AC160" s="637">
        <f t="shared" si="26"/>
        <v>41426</v>
      </c>
      <c r="AD160" s="465">
        <f t="shared" si="31"/>
        <v>151</v>
      </c>
      <c r="AE160" s="465">
        <f t="shared" si="27"/>
        <v>2581792.6330368486</v>
      </c>
      <c r="AF160" s="465">
        <f t="shared" si="28"/>
        <v>39965.831176778134</v>
      </c>
      <c r="AG160" s="640">
        <f t="shared" si="29"/>
        <v>64.599998474121094</v>
      </c>
      <c r="AJ160" s="465">
        <f t="shared" si="30"/>
        <v>1806716.6767922873</v>
      </c>
      <c r="AK160" s="646">
        <f t="shared" si="23"/>
        <v>45.206533270902355</v>
      </c>
    </row>
    <row r="161" spans="1:38">
      <c r="A161" s="250">
        <v>149.29557330604337</v>
      </c>
      <c r="B161" s="248">
        <f>'Revenues &amp; Expenses'!AX169</f>
        <v>41456</v>
      </c>
      <c r="C161" s="250">
        <f>'PJM Curve Simulation'!J169</f>
        <v>113.69999694824219</v>
      </c>
      <c r="D161" s="250">
        <f t="shared" si="24"/>
        <v>45.761217830174672</v>
      </c>
      <c r="F161" s="250">
        <f>('Fuel Curve Simulation'!J169*'Revenues &amp; Expenses'!$S$2/1000)</f>
        <v>42.889146724137937</v>
      </c>
      <c r="G161" s="250">
        <f>'Revenues &amp; Expenses'!$AM$5*1000*'Revenues &amp; Expenses'!O169</f>
        <v>2.8720711060367372</v>
      </c>
      <c r="H161" s="247">
        <f t="shared" si="32"/>
        <v>152</v>
      </c>
      <c r="I161" s="247">
        <f t="shared" si="25"/>
        <v>1</v>
      </c>
      <c r="J161" s="247">
        <v>315</v>
      </c>
      <c r="K161" s="391">
        <f>IF(I161&gt;0,J161*'Revenues &amp; Expenses'!F169*16,0)</f>
        <v>110880</v>
      </c>
      <c r="L161" s="540">
        <f>K161*'Revenues &amp; Expenses'!N169</f>
        <v>41621.79322040722</v>
      </c>
      <c r="M161" s="391"/>
      <c r="N161" s="391"/>
      <c r="AC161" s="637">
        <f t="shared" si="26"/>
        <v>41456</v>
      </c>
      <c r="AD161" s="465">
        <f t="shared" si="31"/>
        <v>152</v>
      </c>
      <c r="AE161" s="465">
        <f t="shared" si="27"/>
        <v>4732397.762140668</v>
      </c>
      <c r="AF161" s="465">
        <f t="shared" si="28"/>
        <v>41621.79322040722</v>
      </c>
      <c r="AG161" s="640">
        <f t="shared" si="29"/>
        <v>113.69999694824217</v>
      </c>
      <c r="AJ161" s="465">
        <f t="shared" si="30"/>
        <v>1904663.9460415421</v>
      </c>
      <c r="AK161" s="646">
        <f t="shared" si="23"/>
        <v>45.761217830174672</v>
      </c>
    </row>
    <row r="162" spans="1:38">
      <c r="A162" s="250">
        <v>123.59312328616105</v>
      </c>
      <c r="B162" s="248">
        <f>'Revenues &amp; Expenses'!AX170</f>
        <v>41487</v>
      </c>
      <c r="C162" s="250">
        <f>'PJM Curve Simulation'!J170</f>
        <v>100.69999694824219</v>
      </c>
      <c r="D162" s="250">
        <f t="shared" si="24"/>
        <v>46.634666028978707</v>
      </c>
      <c r="F162" s="250">
        <f>('Fuel Curve Simulation'!J170*'Revenues &amp; Expenses'!$S$2/1000)</f>
        <v>43.756211379310358</v>
      </c>
      <c r="G162" s="250">
        <f>'Revenues &amp; Expenses'!$AM$5*1000*'Revenues &amp; Expenses'!O170</f>
        <v>2.878454649668349</v>
      </c>
      <c r="H162" s="247">
        <f t="shared" si="32"/>
        <v>153</v>
      </c>
      <c r="I162" s="247">
        <f t="shared" si="25"/>
        <v>1</v>
      </c>
      <c r="J162" s="247">
        <v>315</v>
      </c>
      <c r="K162" s="391">
        <f>IF(I162&gt;0,J162*'Revenues &amp; Expenses'!F170*16,0)</f>
        <v>115920</v>
      </c>
      <c r="L162" s="540">
        <f>K162*'Revenues &amp; Expenses'!N170</f>
        <v>43248.30997678118</v>
      </c>
      <c r="M162" s="391"/>
      <c r="N162" s="391"/>
      <c r="AC162" s="637">
        <f t="shared" si="26"/>
        <v>41487</v>
      </c>
      <c r="AD162" s="465">
        <f t="shared" si="31"/>
        <v>153</v>
      </c>
      <c r="AE162" s="465">
        <f t="shared" si="27"/>
        <v>4355104.6826784974</v>
      </c>
      <c r="AF162" s="465">
        <f t="shared" si="28"/>
        <v>43248.30997678118</v>
      </c>
      <c r="AG162" s="640">
        <f t="shared" si="29"/>
        <v>100.6999969482422</v>
      </c>
      <c r="AJ162" s="465">
        <f t="shared" si="30"/>
        <v>2016870.4920849381</v>
      </c>
      <c r="AK162" s="646">
        <f t="shared" si="23"/>
        <v>46.634666028978707</v>
      </c>
    </row>
    <row r="163" spans="1:38">
      <c r="A163" s="250">
        <v>43.80614054793746</v>
      </c>
      <c r="B163" s="248">
        <f>'Revenues &amp; Expenses'!AX171</f>
        <v>41518</v>
      </c>
      <c r="C163" s="250">
        <f>'PJM Curve Simulation'!J171</f>
        <v>37.924998474121097</v>
      </c>
      <c r="D163" s="250">
        <f t="shared" si="24"/>
        <v>47.549417209124492</v>
      </c>
      <c r="F163" s="250">
        <f>('Fuel Curve Simulation'!J171*'Revenues &amp; Expenses'!$S$2/1000)</f>
        <v>44.664564827586219</v>
      </c>
      <c r="G163" s="250">
        <f>'Revenues &amp; Expenses'!$AM$5*1000*'Revenues &amp; Expenses'!O171</f>
        <v>2.8848523815382707</v>
      </c>
      <c r="H163" s="247">
        <f t="shared" si="32"/>
        <v>154</v>
      </c>
      <c r="I163" s="247">
        <f t="shared" si="25"/>
        <v>0</v>
      </c>
      <c r="J163" s="247">
        <v>315</v>
      </c>
      <c r="K163" s="391">
        <f>IF(I163&gt;0,J163*'Revenues &amp; Expenses'!F171*16,0)</f>
        <v>0</v>
      </c>
      <c r="L163" s="540">
        <f>K163*'Revenues &amp; Expenses'!N171</f>
        <v>0</v>
      </c>
      <c r="M163" s="391"/>
      <c r="N163" s="391"/>
      <c r="AC163" s="637">
        <f t="shared" si="26"/>
        <v>41518</v>
      </c>
      <c r="AD163" s="465">
        <f t="shared" si="31"/>
        <v>154</v>
      </c>
      <c r="AE163" s="465">
        <f t="shared" si="27"/>
        <v>0</v>
      </c>
      <c r="AF163" s="465">
        <f t="shared" si="28"/>
        <v>0</v>
      </c>
      <c r="AG163" s="640">
        <f t="shared" si="29"/>
        <v>0</v>
      </c>
      <c r="AJ163" s="465">
        <f t="shared" si="30"/>
        <v>0</v>
      </c>
      <c r="AK163" s="646">
        <f t="shared" si="23"/>
        <v>0</v>
      </c>
    </row>
    <row r="164" spans="1:38">
      <c r="A164" s="250">
        <v>36.210898573122023</v>
      </c>
      <c r="B164" s="248">
        <f>'Revenues &amp; Expenses'!AX172</f>
        <v>41548</v>
      </c>
      <c r="C164" s="250">
        <f>'PJM Curve Simulation'!J172</f>
        <v>30.825000381469728</v>
      </c>
      <c r="D164" s="250">
        <f t="shared" si="24"/>
        <v>48.44271243662994</v>
      </c>
      <c r="F164" s="250">
        <f>('Fuel Curve Simulation'!J172*'Revenues &amp; Expenses'!$S$2/1000)</f>
        <v>45.551448103448273</v>
      </c>
      <c r="G164" s="250">
        <f>'Revenues &amp; Expenses'!$AM$5*1000*'Revenues &amp; Expenses'!O172</f>
        <v>2.891264333181669</v>
      </c>
      <c r="H164" s="247">
        <f t="shared" si="32"/>
        <v>155</v>
      </c>
      <c r="I164" s="247">
        <f t="shared" si="25"/>
        <v>0</v>
      </c>
      <c r="J164" s="247">
        <v>315</v>
      </c>
      <c r="K164" s="391">
        <f>IF(I164&gt;0,J164*'Revenues &amp; Expenses'!F172*16,0)</f>
        <v>0</v>
      </c>
      <c r="L164" s="540">
        <f>K164*'Revenues &amp; Expenses'!N172</f>
        <v>0</v>
      </c>
      <c r="M164" s="391"/>
      <c r="N164" s="391"/>
      <c r="AC164" s="637">
        <f t="shared" si="26"/>
        <v>41548</v>
      </c>
      <c r="AD164" s="465">
        <f t="shared" si="31"/>
        <v>155</v>
      </c>
      <c r="AE164" s="465">
        <f t="shared" si="27"/>
        <v>0</v>
      </c>
      <c r="AF164" s="465">
        <f t="shared" si="28"/>
        <v>0</v>
      </c>
      <c r="AG164" s="640">
        <f t="shared" si="29"/>
        <v>0</v>
      </c>
      <c r="AJ164" s="465">
        <f t="shared" si="30"/>
        <v>0</v>
      </c>
      <c r="AK164" s="646">
        <f t="shared" si="23"/>
        <v>0</v>
      </c>
    </row>
    <row r="165" spans="1:38">
      <c r="A165" s="250">
        <v>36.317184347267158</v>
      </c>
      <c r="B165" s="248">
        <f>'Revenues &amp; Expenses'!AX173</f>
        <v>41579</v>
      </c>
      <c r="C165" s="250">
        <f>'PJM Curve Simulation'!J173</f>
        <v>30.497499084472658</v>
      </c>
      <c r="D165" s="250">
        <f t="shared" si="24"/>
        <v>48.921482432755525</v>
      </c>
      <c r="F165" s="250">
        <f>('Fuel Curve Simulation'!J173*'Revenues &amp; Expenses'!$S$2/1000)</f>
        <v>46.023791896551728</v>
      </c>
      <c r="G165" s="250">
        <f>'Revenues &amp; Expenses'!$AM$5*1000*'Revenues &amp; Expenses'!O173</f>
        <v>2.8976905362037999</v>
      </c>
      <c r="H165" s="247">
        <f t="shared" si="32"/>
        <v>156</v>
      </c>
      <c r="I165" s="247">
        <f t="shared" si="25"/>
        <v>0</v>
      </c>
      <c r="J165" s="247">
        <v>315</v>
      </c>
      <c r="K165" s="391">
        <f>IF(I165&gt;0,J165*'Revenues &amp; Expenses'!F173*16,0)</f>
        <v>0</v>
      </c>
      <c r="L165" s="540">
        <f>K165*'Revenues &amp; Expenses'!N173</f>
        <v>0</v>
      </c>
      <c r="M165" s="391"/>
      <c r="N165" s="391"/>
      <c r="AC165" s="637">
        <f t="shared" si="26"/>
        <v>41579</v>
      </c>
      <c r="AD165" s="465">
        <f t="shared" si="31"/>
        <v>156</v>
      </c>
      <c r="AE165" s="465">
        <f t="shared" si="27"/>
        <v>0</v>
      </c>
      <c r="AF165" s="465">
        <f t="shared" si="28"/>
        <v>0</v>
      </c>
      <c r="AG165" s="640">
        <f t="shared" si="29"/>
        <v>0</v>
      </c>
      <c r="AJ165" s="465">
        <f t="shared" si="30"/>
        <v>0</v>
      </c>
      <c r="AK165" s="646">
        <f t="shared" si="23"/>
        <v>0</v>
      </c>
    </row>
    <row r="166" spans="1:38">
      <c r="A166" s="250">
        <v>38.892335001956646</v>
      </c>
      <c r="B166" s="248">
        <f>'Revenues &amp; Expenses'!AX174</f>
        <v>41609</v>
      </c>
      <c r="C166" s="250">
        <f>'PJM Curve Simulation'!J174</f>
        <v>32.249999618530275</v>
      </c>
      <c r="D166" s="250">
        <f t="shared" si="24"/>
        <v>49.337507746418105</v>
      </c>
      <c r="F166" s="250">
        <f>('Fuel Curve Simulation'!J174*'Revenues &amp; Expenses'!$S$2/1000)</f>
        <v>46.433376724137936</v>
      </c>
      <c r="G166" s="250">
        <f>'Revenues &amp; Expenses'!$AM$5*1000*'Revenues &amp; Expenses'!O174</f>
        <v>2.9041310222801666</v>
      </c>
      <c r="H166" s="247">
        <f t="shared" si="32"/>
        <v>157</v>
      </c>
      <c r="I166" s="247">
        <f t="shared" si="25"/>
        <v>0</v>
      </c>
      <c r="J166" s="247">
        <v>315</v>
      </c>
      <c r="K166" s="391">
        <f>IF(I166&gt;0,J166*'Revenues &amp; Expenses'!F174*16,0)</f>
        <v>0</v>
      </c>
      <c r="L166" s="540">
        <f>K166*'Revenues &amp; Expenses'!N174</f>
        <v>0</v>
      </c>
      <c r="M166" s="391">
        <f>SUM(L155:L166)</f>
        <v>124835.93437396653</v>
      </c>
      <c r="N166" s="391">
        <f>SUM(K155:K166)</f>
        <v>332640</v>
      </c>
      <c r="AC166" s="637">
        <f t="shared" si="26"/>
        <v>41609</v>
      </c>
      <c r="AD166" s="465">
        <f t="shared" si="31"/>
        <v>157</v>
      </c>
      <c r="AE166" s="465">
        <f t="shared" si="27"/>
        <v>0</v>
      </c>
      <c r="AF166" s="465">
        <f t="shared" si="28"/>
        <v>0</v>
      </c>
      <c r="AG166" s="640">
        <f t="shared" si="29"/>
        <v>0</v>
      </c>
      <c r="AH166" s="640">
        <f>IF(SUM(AF155:AF166)=0,0,SUM(AE155:AE166)/SUM(AF155:AF166))</f>
        <v>93.477051590760126</v>
      </c>
      <c r="AJ166" s="465">
        <f t="shared" si="30"/>
        <v>0</v>
      </c>
      <c r="AK166" s="646">
        <f t="shared" si="23"/>
        <v>0</v>
      </c>
      <c r="AL166" s="646">
        <f>IF(SUM(AF155:AF166)=0,0,SUM(AJ155:AJ166)/SUM(AF155:AF166))</f>
        <v>45.886235751309002</v>
      </c>
    </row>
    <row r="167" spans="1:38">
      <c r="A167" s="250">
        <v>50.060337743345862</v>
      </c>
      <c r="B167" s="248">
        <f>'Revenues &amp; Expenses'!AX175</f>
        <v>41640</v>
      </c>
      <c r="C167" s="250">
        <f>'PJM Curve Simulation'!J175</f>
        <v>40.824998474121088</v>
      </c>
      <c r="D167" s="250">
        <f t="shared" si="24"/>
        <v>48.795647374880829</v>
      </c>
      <c r="F167" s="250">
        <f>('Fuel Curve Simulation'!J175*'Revenues &amp; Expenses'!$S$2/1000)</f>
        <v>45.885061551724156</v>
      </c>
      <c r="G167" s="250">
        <f>'Revenues &amp; Expenses'!$AM$5*1000*'Revenues &amp; Expenses'!O175</f>
        <v>2.9105858231566759</v>
      </c>
      <c r="H167" s="247">
        <f t="shared" si="32"/>
        <v>158</v>
      </c>
      <c r="I167" s="247">
        <f t="shared" si="25"/>
        <v>0</v>
      </c>
      <c r="J167" s="247">
        <v>315</v>
      </c>
      <c r="K167" s="391">
        <f>IF(I167&gt;0,J167*'Revenues &amp; Expenses'!F175*16,0)</f>
        <v>0</v>
      </c>
      <c r="L167" s="540">
        <f>K167*'Revenues &amp; Expenses'!N175</f>
        <v>0</v>
      </c>
      <c r="M167" s="391"/>
      <c r="N167" s="391"/>
      <c r="AC167" s="637">
        <f t="shared" si="26"/>
        <v>41640</v>
      </c>
      <c r="AD167" s="465">
        <f t="shared" si="31"/>
        <v>158</v>
      </c>
      <c r="AE167" s="465">
        <f t="shared" si="27"/>
        <v>0</v>
      </c>
      <c r="AF167" s="465">
        <f t="shared" si="28"/>
        <v>0</v>
      </c>
      <c r="AG167" s="640">
        <f t="shared" si="29"/>
        <v>0</v>
      </c>
      <c r="AJ167" s="465">
        <f t="shared" si="30"/>
        <v>0</v>
      </c>
      <c r="AK167" s="646">
        <f t="shared" si="23"/>
        <v>0</v>
      </c>
    </row>
    <row r="168" spans="1:38">
      <c r="A168" s="250">
        <v>50.060337743345862</v>
      </c>
      <c r="B168" s="248">
        <f>'Revenues &amp; Expenses'!AX176</f>
        <v>41671</v>
      </c>
      <c r="C168" s="250">
        <f>'PJM Curve Simulation'!J176</f>
        <v>40.824998474121088</v>
      </c>
      <c r="D168" s="250">
        <f t="shared" si="24"/>
        <v>47.852474280994628</v>
      </c>
      <c r="F168" s="250">
        <f>('Fuel Curve Simulation'!J176*'Revenues &amp; Expenses'!$S$2/1000)</f>
        <v>44.935419310344834</v>
      </c>
      <c r="G168" s="250">
        <f>'Revenues &amp; Expenses'!$AM$5*1000*'Revenues &amp; Expenses'!O176</f>
        <v>2.9170549706497928</v>
      </c>
      <c r="H168" s="247">
        <f t="shared" si="32"/>
        <v>159</v>
      </c>
      <c r="I168" s="247">
        <f t="shared" si="25"/>
        <v>0</v>
      </c>
      <c r="J168" s="247">
        <v>315</v>
      </c>
      <c r="K168" s="391">
        <f>IF(I168&gt;0,J168*'Revenues &amp; Expenses'!F176*16,0)</f>
        <v>0</v>
      </c>
      <c r="L168" s="540">
        <f>K168*'Revenues &amp; Expenses'!N176</f>
        <v>0</v>
      </c>
      <c r="M168" s="391"/>
      <c r="N168" s="391"/>
      <c r="AC168" s="637">
        <f t="shared" si="26"/>
        <v>41671</v>
      </c>
      <c r="AD168" s="465">
        <f t="shared" si="31"/>
        <v>159</v>
      </c>
      <c r="AE168" s="465">
        <f t="shared" si="27"/>
        <v>0</v>
      </c>
      <c r="AF168" s="465">
        <f t="shared" si="28"/>
        <v>0</v>
      </c>
      <c r="AG168" s="640">
        <f t="shared" si="29"/>
        <v>0</v>
      </c>
      <c r="AJ168" s="465">
        <f t="shared" si="30"/>
        <v>0</v>
      </c>
      <c r="AK168" s="646">
        <f t="shared" si="23"/>
        <v>0</v>
      </c>
    </row>
    <row r="169" spans="1:38">
      <c r="A169" s="250">
        <v>37.155674677906035</v>
      </c>
      <c r="B169" s="248">
        <f>'Revenues &amp; Expenses'!AX177</f>
        <v>41699</v>
      </c>
      <c r="C169" s="250">
        <f>'PJM Curve Simulation'!J177</f>
        <v>30.550000762939455</v>
      </c>
      <c r="D169" s="250">
        <f t="shared" si="24"/>
        <v>46.92913418630188</v>
      </c>
      <c r="F169" s="250">
        <f>('Fuel Curve Simulation'!J177*'Revenues &amp; Expenses'!$S$2/1000)</f>
        <v>44.005595689655181</v>
      </c>
      <c r="G169" s="250">
        <f>'Revenues &amp; Expenses'!$AM$5*1000*'Revenues &amp; Expenses'!O177</f>
        <v>2.9235384966466991</v>
      </c>
      <c r="H169" s="247">
        <f t="shared" si="32"/>
        <v>160</v>
      </c>
      <c r="I169" s="247">
        <f t="shared" si="25"/>
        <v>0</v>
      </c>
      <c r="J169" s="247">
        <v>315</v>
      </c>
      <c r="K169" s="391">
        <f>IF(I169&gt;0,J169*'Revenues &amp; Expenses'!F177*16,0)</f>
        <v>0</v>
      </c>
      <c r="L169" s="540">
        <f>K169*'Revenues &amp; Expenses'!N177</f>
        <v>0</v>
      </c>
      <c r="M169" s="391"/>
      <c r="N169" s="391"/>
      <c r="AC169" s="637">
        <f t="shared" si="26"/>
        <v>41699</v>
      </c>
      <c r="AD169" s="465">
        <f t="shared" si="31"/>
        <v>160</v>
      </c>
      <c r="AE169" s="465">
        <f t="shared" si="27"/>
        <v>0</v>
      </c>
      <c r="AF169" s="465">
        <f t="shared" si="28"/>
        <v>0</v>
      </c>
      <c r="AG169" s="640">
        <f t="shared" si="29"/>
        <v>0</v>
      </c>
      <c r="AJ169" s="465">
        <f t="shared" si="30"/>
        <v>0</v>
      </c>
      <c r="AK169" s="646">
        <f t="shared" si="23"/>
        <v>0</v>
      </c>
    </row>
    <row r="170" spans="1:38">
      <c r="A170" s="250">
        <v>34.399537321734492</v>
      </c>
      <c r="B170" s="248">
        <f>'Revenues &amp; Expenses'!AX178</f>
        <v>41730</v>
      </c>
      <c r="C170" s="250">
        <f>'PJM Curve Simulation'!J178</f>
        <v>30.325000762939453</v>
      </c>
      <c r="D170" s="250">
        <f t="shared" si="24"/>
        <v>45.977732122760628</v>
      </c>
      <c r="F170" s="250">
        <f>('Fuel Curve Simulation'!J178*'Revenues &amp; Expenses'!$S$2/1000)</f>
        <v>43.047695689655178</v>
      </c>
      <c r="G170" s="250">
        <f>'Revenues &amp; Expenses'!$AM$5*1000*'Revenues &amp; Expenses'!O178</f>
        <v>2.93003643310545</v>
      </c>
      <c r="H170" s="247">
        <f t="shared" si="32"/>
        <v>161</v>
      </c>
      <c r="I170" s="247">
        <f t="shared" si="25"/>
        <v>0</v>
      </c>
      <c r="J170" s="247">
        <v>315</v>
      </c>
      <c r="K170" s="391">
        <f>IF(I170&gt;0,J170*'Revenues &amp; Expenses'!F178*16,0)</f>
        <v>0</v>
      </c>
      <c r="L170" s="540">
        <f>K170*'Revenues &amp; Expenses'!N178</f>
        <v>0</v>
      </c>
      <c r="M170" s="391"/>
      <c r="N170" s="391"/>
      <c r="AC170" s="637">
        <f t="shared" si="26"/>
        <v>41730</v>
      </c>
      <c r="AD170" s="465">
        <f t="shared" si="31"/>
        <v>161</v>
      </c>
      <c r="AE170" s="465">
        <f t="shared" si="27"/>
        <v>0</v>
      </c>
      <c r="AF170" s="465">
        <f t="shared" si="28"/>
        <v>0</v>
      </c>
      <c r="AG170" s="640">
        <f t="shared" si="29"/>
        <v>0</v>
      </c>
      <c r="AJ170" s="465">
        <f t="shared" si="30"/>
        <v>0</v>
      </c>
      <c r="AK170" s="646">
        <f t="shared" si="23"/>
        <v>0</v>
      </c>
    </row>
    <row r="171" spans="1:38">
      <c r="A171" s="250">
        <v>42.073345469793502</v>
      </c>
      <c r="B171" s="248">
        <f>'Revenues &amp; Expenses'!AX179</f>
        <v>41760</v>
      </c>
      <c r="C171" s="250">
        <f>'PJM Curve Simulation'!J179</f>
        <v>38.325000000000003</v>
      </c>
      <c r="D171" s="250">
        <f t="shared" si="24"/>
        <v>45.340139329296512</v>
      </c>
      <c r="F171" s="250">
        <f>('Fuel Curve Simulation'!J179*'Revenues &amp; Expenses'!$S$2/1000)</f>
        <v>42.403590517241383</v>
      </c>
      <c r="G171" s="250">
        <f>'Revenues &amp; Expenses'!$AM$5*1000*'Revenues &amp; Expenses'!O179</f>
        <v>2.9365488120551309</v>
      </c>
      <c r="H171" s="247">
        <f t="shared" si="32"/>
        <v>162</v>
      </c>
      <c r="I171" s="247">
        <f t="shared" si="25"/>
        <v>0</v>
      </c>
      <c r="J171" s="247">
        <v>315</v>
      </c>
      <c r="K171" s="391">
        <f>IF(I171&gt;0,J171*'Revenues &amp; Expenses'!F179*16,0)</f>
        <v>0</v>
      </c>
      <c r="L171" s="540">
        <f>K171*'Revenues &amp; Expenses'!N179</f>
        <v>0</v>
      </c>
      <c r="M171" s="391"/>
      <c r="N171" s="391"/>
      <c r="AC171" s="637">
        <f t="shared" si="26"/>
        <v>41760</v>
      </c>
      <c r="AD171" s="465">
        <f t="shared" si="31"/>
        <v>162</v>
      </c>
      <c r="AE171" s="465">
        <f t="shared" si="27"/>
        <v>0</v>
      </c>
      <c r="AF171" s="465">
        <f t="shared" si="28"/>
        <v>0</v>
      </c>
      <c r="AG171" s="640">
        <f t="shared" si="29"/>
        <v>0</v>
      </c>
      <c r="AJ171" s="465">
        <f t="shared" si="30"/>
        <v>0</v>
      </c>
      <c r="AK171" s="646">
        <f t="shared" si="23"/>
        <v>0</v>
      </c>
    </row>
    <row r="172" spans="1:38">
      <c r="A172" s="250">
        <v>80.64008367681086</v>
      </c>
      <c r="B172" s="248">
        <f>'Revenues &amp; Expenses'!AX180</f>
        <v>41791</v>
      </c>
      <c r="C172" s="250">
        <f>'PJM Curve Simulation'!J180</f>
        <v>65.349998474121094</v>
      </c>
      <c r="D172" s="250">
        <f t="shared" si="24"/>
        <v>45.28390721732017</v>
      </c>
      <c r="F172" s="250">
        <f>('Fuel Curve Simulation'!J180*'Revenues &amp; Expenses'!$S$2/1000)</f>
        <v>42.34083155172415</v>
      </c>
      <c r="G172" s="250">
        <f>'Revenues &amp; Expenses'!$AM$5*1000*'Revenues &amp; Expenses'!O180</f>
        <v>2.9430756655960169</v>
      </c>
      <c r="H172" s="247">
        <f t="shared" si="32"/>
        <v>163</v>
      </c>
      <c r="I172" s="247">
        <f t="shared" si="25"/>
        <v>1</v>
      </c>
      <c r="J172" s="247">
        <v>315</v>
      </c>
      <c r="K172" s="391">
        <f>IF(I172&gt;0,J172*'Revenues &amp; Expenses'!F180*16,0)</f>
        <v>100800</v>
      </c>
      <c r="L172" s="540">
        <f>K172*'Revenues &amp; Expenses'!N180</f>
        <v>35419.057148509528</v>
      </c>
      <c r="M172" s="391"/>
      <c r="N172" s="391"/>
      <c r="AC172" s="637">
        <f t="shared" si="26"/>
        <v>41791</v>
      </c>
      <c r="AD172" s="465">
        <f t="shared" si="31"/>
        <v>163</v>
      </c>
      <c r="AE172" s="465">
        <f t="shared" si="27"/>
        <v>2314635.3306099055</v>
      </c>
      <c r="AF172" s="465">
        <f t="shared" si="28"/>
        <v>35419.057148509528</v>
      </c>
      <c r="AG172" s="640">
        <f t="shared" si="29"/>
        <v>65.349998474121094</v>
      </c>
      <c r="AJ172" s="465">
        <f t="shared" si="30"/>
        <v>1603913.2976380661</v>
      </c>
      <c r="AK172" s="646">
        <f t="shared" si="23"/>
        <v>45.28390721732017</v>
      </c>
    </row>
    <row r="173" spans="1:38">
      <c r="A173" s="250">
        <v>152.24997127398271</v>
      </c>
      <c r="B173" s="248">
        <f>'Revenues &amp; Expenses'!AX181</f>
        <v>41821</v>
      </c>
      <c r="C173" s="250">
        <f>'PJM Curve Simulation'!J181</f>
        <v>115.94999694824219</v>
      </c>
      <c r="D173" s="250">
        <f t="shared" si="24"/>
        <v>45.838763750037664</v>
      </c>
      <c r="F173" s="250">
        <f>('Fuel Curve Simulation'!J181*'Revenues &amp; Expenses'!$S$2/1000)</f>
        <v>42.889146724137937</v>
      </c>
      <c r="G173" s="250">
        <f>'Revenues &amp; Expenses'!$AM$5*1000*'Revenues &amp; Expenses'!O181</f>
        <v>2.949617025899729</v>
      </c>
      <c r="H173" s="247">
        <f t="shared" si="32"/>
        <v>164</v>
      </c>
      <c r="I173" s="247">
        <f t="shared" si="25"/>
        <v>1</v>
      </c>
      <c r="J173" s="247">
        <v>315</v>
      </c>
      <c r="K173" s="391">
        <f>IF(I173&gt;0,J173*'Revenues &amp; Expenses'!F181*16,0)</f>
        <v>115920</v>
      </c>
      <c r="L173" s="540">
        <f>K173*'Revenues &amp; Expenses'!N181</f>
        <v>40491.846262847685</v>
      </c>
      <c r="M173" s="391"/>
      <c r="N173" s="391"/>
      <c r="AC173" s="637">
        <f t="shared" si="26"/>
        <v>41821</v>
      </c>
      <c r="AD173" s="465">
        <f t="shared" si="31"/>
        <v>164</v>
      </c>
      <c r="AE173" s="465">
        <f t="shared" si="27"/>
        <v>4695029.4506058805</v>
      </c>
      <c r="AF173" s="465">
        <f t="shared" si="28"/>
        <v>40491.846262847685</v>
      </c>
      <c r="AG173" s="640">
        <f t="shared" si="29"/>
        <v>115.94999694824217</v>
      </c>
      <c r="AJ173" s="465">
        <f t="shared" si="30"/>
        <v>1856096.1746455205</v>
      </c>
      <c r="AK173" s="646">
        <f t="shared" si="23"/>
        <v>45.838763750037664</v>
      </c>
    </row>
    <row r="174" spans="1:38">
      <c r="A174" s="250">
        <v>126.3546380410899</v>
      </c>
      <c r="B174" s="248">
        <f>'Revenues &amp; Expenses'!AX182</f>
        <v>41852</v>
      </c>
      <c r="C174" s="250">
        <f>'PJM Curve Simulation'!J182</f>
        <v>102.94999694824219</v>
      </c>
      <c r="D174" s="250">
        <f t="shared" si="24"/>
        <v>46.712384304519752</v>
      </c>
      <c r="F174" s="250">
        <f>('Fuel Curve Simulation'!J182*'Revenues &amp; Expenses'!$S$2/1000)</f>
        <v>43.756211379310358</v>
      </c>
      <c r="G174" s="250">
        <f>'Revenues &amp; Expenses'!$AM$5*1000*'Revenues &amp; Expenses'!O182</f>
        <v>2.956172925209394</v>
      </c>
      <c r="H174" s="247">
        <f t="shared" si="32"/>
        <v>165</v>
      </c>
      <c r="I174" s="247">
        <f t="shared" si="25"/>
        <v>1</v>
      </c>
      <c r="J174" s="247">
        <v>315</v>
      </c>
      <c r="K174" s="391">
        <f>IF(I174&gt;0,J174*'Revenues &amp; Expenses'!F182*16,0)</f>
        <v>110880</v>
      </c>
      <c r="L174" s="540">
        <f>K174*'Revenues &amp; Expenses'!N182</f>
        <v>38495.498995939291</v>
      </c>
      <c r="M174" s="391"/>
      <c r="N174" s="391"/>
      <c r="AC174" s="637">
        <f t="shared" si="26"/>
        <v>41852</v>
      </c>
      <c r="AD174" s="465">
        <f t="shared" si="31"/>
        <v>165</v>
      </c>
      <c r="AE174" s="465">
        <f t="shared" si="27"/>
        <v>3963111.5041530104</v>
      </c>
      <c r="AF174" s="465">
        <f t="shared" si="28"/>
        <v>38495.498995939291</v>
      </c>
      <c r="AG174" s="640">
        <f t="shared" si="29"/>
        <v>102.94999694824219</v>
      </c>
      <c r="AJ174" s="465">
        <f t="shared" si="30"/>
        <v>1798216.5430925705</v>
      </c>
      <c r="AK174" s="646">
        <f t="shared" si="23"/>
        <v>46.712384304519752</v>
      </c>
    </row>
    <row r="175" spans="1:38">
      <c r="A175" s="250">
        <v>44.38367703192479</v>
      </c>
      <c r="B175" s="248">
        <f>'Revenues &amp; Expenses'!AX183</f>
        <v>41883</v>
      </c>
      <c r="C175" s="250">
        <f>'PJM Curve Simulation'!J183</f>
        <v>38.424998474121097</v>
      </c>
      <c r="D175" s="250">
        <f t="shared" si="24"/>
        <v>47.62730822342602</v>
      </c>
      <c r="F175" s="250">
        <f>('Fuel Curve Simulation'!J183*'Revenues &amp; Expenses'!$S$2/1000)</f>
        <v>44.664564827586219</v>
      </c>
      <c r="G175" s="250">
        <f>'Revenues &amp; Expenses'!$AM$5*1000*'Revenues &amp; Expenses'!O183</f>
        <v>2.9627433958398037</v>
      </c>
      <c r="H175" s="247">
        <f t="shared" si="32"/>
        <v>166</v>
      </c>
      <c r="I175" s="247">
        <f t="shared" si="25"/>
        <v>0</v>
      </c>
      <c r="J175" s="247">
        <v>315</v>
      </c>
      <c r="K175" s="391">
        <f>IF(I175&gt;0,J175*'Revenues &amp; Expenses'!F183*16,0)</f>
        <v>0</v>
      </c>
      <c r="L175" s="540">
        <f>K175*'Revenues &amp; Expenses'!N183</f>
        <v>0</v>
      </c>
      <c r="M175" s="391"/>
      <c r="N175" s="391"/>
      <c r="AC175" s="637">
        <f t="shared" si="26"/>
        <v>41883</v>
      </c>
      <c r="AD175" s="465">
        <f t="shared" si="31"/>
        <v>166</v>
      </c>
      <c r="AE175" s="465">
        <f t="shared" si="27"/>
        <v>0</v>
      </c>
      <c r="AF175" s="465">
        <f t="shared" si="28"/>
        <v>0</v>
      </c>
      <c r="AG175" s="640">
        <f t="shared" si="29"/>
        <v>0</v>
      </c>
      <c r="AJ175" s="465">
        <f t="shared" si="30"/>
        <v>0</v>
      </c>
      <c r="AK175" s="646">
        <f t="shared" si="23"/>
        <v>0</v>
      </c>
    </row>
    <row r="176" spans="1:38">
      <c r="A176" s="250">
        <v>36.504579823122029</v>
      </c>
      <c r="B176" s="248">
        <f>'Revenues &amp; Expenses'!AX184</f>
        <v>41913</v>
      </c>
      <c r="C176" s="250">
        <f>'PJM Curve Simulation'!J184</f>
        <v>31.075000381469728</v>
      </c>
      <c r="D176" s="250">
        <f t="shared" si="24"/>
        <v>48.520776573625845</v>
      </c>
      <c r="F176" s="250">
        <f>('Fuel Curve Simulation'!J184*'Revenues &amp; Expenses'!$S$2/1000)</f>
        <v>45.551448103448273</v>
      </c>
      <c r="G176" s="250">
        <f>'Revenues &amp; Expenses'!$AM$5*1000*'Revenues &amp; Expenses'!O184</f>
        <v>2.9693284701775737</v>
      </c>
      <c r="H176" s="247">
        <f t="shared" si="32"/>
        <v>167</v>
      </c>
      <c r="I176" s="247">
        <f t="shared" si="25"/>
        <v>0</v>
      </c>
      <c r="J176" s="247">
        <v>315</v>
      </c>
      <c r="K176" s="391">
        <f>IF(I176&gt;0,J176*'Revenues &amp; Expenses'!F184*16,0)</f>
        <v>0</v>
      </c>
      <c r="L176" s="540">
        <f>K176*'Revenues &amp; Expenses'!N184</f>
        <v>0</v>
      </c>
      <c r="M176" s="391"/>
      <c r="N176" s="391"/>
      <c r="AC176" s="637">
        <f t="shared" si="26"/>
        <v>41913</v>
      </c>
      <c r="AD176" s="465">
        <f t="shared" si="31"/>
        <v>167</v>
      </c>
      <c r="AE176" s="465">
        <f t="shared" si="27"/>
        <v>0</v>
      </c>
      <c r="AF176" s="465">
        <f t="shared" si="28"/>
        <v>0</v>
      </c>
      <c r="AG176" s="640">
        <f t="shared" si="29"/>
        <v>0</v>
      </c>
      <c r="AJ176" s="465">
        <f t="shared" si="30"/>
        <v>0</v>
      </c>
      <c r="AK176" s="646">
        <f t="shared" si="23"/>
        <v>0</v>
      </c>
    </row>
    <row r="177" spans="1:38">
      <c r="A177" s="250">
        <v>36.614890597267149</v>
      </c>
      <c r="B177" s="248">
        <f>'Revenues &amp; Expenses'!AX185</f>
        <v>41944</v>
      </c>
      <c r="C177" s="250">
        <f>'PJM Curve Simulation'!J185</f>
        <v>30.747499084472658</v>
      </c>
      <c r="D177" s="250">
        <f t="shared" si="24"/>
        <v>48.999720077233029</v>
      </c>
      <c r="F177" s="250">
        <f>('Fuel Curve Simulation'!J185*'Revenues &amp; Expenses'!$S$2/1000)</f>
        <v>46.023791896551728</v>
      </c>
      <c r="G177" s="250">
        <f>'Revenues &amp; Expenses'!$AM$5*1000*'Revenues &amp; Expenses'!O185</f>
        <v>2.975928180681302</v>
      </c>
      <c r="H177" s="247">
        <f t="shared" si="32"/>
        <v>168</v>
      </c>
      <c r="I177" s="247">
        <f t="shared" si="25"/>
        <v>0</v>
      </c>
      <c r="J177" s="247">
        <v>315</v>
      </c>
      <c r="K177" s="391">
        <f>IF(I177&gt;0,J177*'Revenues &amp; Expenses'!F185*16,0)</f>
        <v>0</v>
      </c>
      <c r="L177" s="540">
        <f>K177*'Revenues &amp; Expenses'!N185</f>
        <v>0</v>
      </c>
      <c r="M177" s="391"/>
      <c r="N177" s="391"/>
      <c r="AC177" s="637">
        <f t="shared" si="26"/>
        <v>41944</v>
      </c>
      <c r="AD177" s="465">
        <f t="shared" si="31"/>
        <v>168</v>
      </c>
      <c r="AE177" s="465">
        <f t="shared" si="27"/>
        <v>0</v>
      </c>
      <c r="AF177" s="465">
        <f t="shared" si="28"/>
        <v>0</v>
      </c>
      <c r="AG177" s="640">
        <f t="shared" si="29"/>
        <v>0</v>
      </c>
      <c r="AJ177" s="465">
        <f t="shared" si="30"/>
        <v>0</v>
      </c>
      <c r="AK177" s="646">
        <f t="shared" si="23"/>
        <v>0</v>
      </c>
    </row>
    <row r="178" spans="1:38">
      <c r="A178" s="250">
        <v>39.193825974530256</v>
      </c>
      <c r="B178" s="248">
        <f>'Revenues &amp; Expenses'!AX186</f>
        <v>41974</v>
      </c>
      <c r="C178" s="250">
        <f>'PJM Curve Simulation'!J186</f>
        <v>32.499999618530275</v>
      </c>
      <c r="D178" s="250">
        <f t="shared" si="24"/>
        <v>49.415919284019665</v>
      </c>
      <c r="F178" s="250">
        <f>('Fuel Curve Simulation'!J186*'Revenues &amp; Expenses'!$S$2/1000)</f>
        <v>46.433376724137936</v>
      </c>
      <c r="G178" s="250">
        <f>'Revenues &amp; Expenses'!$AM$5*1000*'Revenues &amp; Expenses'!O186</f>
        <v>2.9825425598817308</v>
      </c>
      <c r="H178" s="247">
        <f t="shared" si="32"/>
        <v>169</v>
      </c>
      <c r="I178" s="247">
        <f t="shared" si="25"/>
        <v>0</v>
      </c>
      <c r="J178" s="247">
        <v>315</v>
      </c>
      <c r="K178" s="391">
        <f>IF(I178&gt;0,J178*'Revenues &amp; Expenses'!F186*16,0)</f>
        <v>0</v>
      </c>
      <c r="L178" s="540">
        <f>K178*'Revenues &amp; Expenses'!N186</f>
        <v>0</v>
      </c>
      <c r="M178" s="391">
        <f>SUM(L167:L178)</f>
        <v>114406.4024072965</v>
      </c>
      <c r="N178" s="391">
        <f>SUM(K167:K178)</f>
        <v>327600</v>
      </c>
      <c r="AC178" s="637">
        <f t="shared" si="26"/>
        <v>41974</v>
      </c>
      <c r="AD178" s="465">
        <f t="shared" si="31"/>
        <v>169</v>
      </c>
      <c r="AE178" s="465">
        <f t="shared" si="27"/>
        <v>0</v>
      </c>
      <c r="AF178" s="465">
        <f t="shared" si="28"/>
        <v>0</v>
      </c>
      <c r="AG178" s="640">
        <f t="shared" si="29"/>
        <v>0</v>
      </c>
      <c r="AH178" s="640">
        <f>IF(SUM(AF167:AF178)=0,0,SUM(AE167:AE178)/SUM(AF167:AF178))</f>
        <v>95.910508979250849</v>
      </c>
      <c r="AJ178" s="465">
        <f t="shared" si="30"/>
        <v>0</v>
      </c>
      <c r="AK178" s="646">
        <f t="shared" si="23"/>
        <v>0</v>
      </c>
      <c r="AL178" s="646">
        <f>IF(SUM(AF167:AF178)=0,0,SUM(AJ167:AJ178)/SUM(AF167:AF178))</f>
        <v>45.960941911768423</v>
      </c>
    </row>
    <row r="179" spans="1:38">
      <c r="A179" s="250">
        <v>50.366892180666163</v>
      </c>
      <c r="B179" s="248">
        <f>'Revenues &amp; Expenses'!AX187</f>
        <v>42005</v>
      </c>
      <c r="C179" s="250">
        <f>'PJM Curve Simulation'!J187</f>
        <v>41.074998474121088</v>
      </c>
      <c r="D179" s="250">
        <f t="shared" si="24"/>
        <v>48.874233192106061</v>
      </c>
      <c r="F179" s="250">
        <f>('Fuel Curve Simulation'!J187*'Revenues &amp; Expenses'!$S$2/1000)</f>
        <v>45.885061551724156</v>
      </c>
      <c r="G179" s="250">
        <f>'Revenues &amp; Expenses'!$AM$5*1000*'Revenues &amp; Expenses'!O187</f>
        <v>2.989171640381906</v>
      </c>
      <c r="H179" s="247">
        <f t="shared" si="32"/>
        <v>170</v>
      </c>
      <c r="I179" s="247">
        <f t="shared" si="25"/>
        <v>0</v>
      </c>
      <c r="J179" s="247">
        <v>315</v>
      </c>
      <c r="K179" s="391">
        <f>IF(I179&gt;0,J179*'Revenues &amp; Expenses'!F187*16,0)</f>
        <v>0</v>
      </c>
      <c r="L179" s="540">
        <f>K179*'Revenues &amp; Expenses'!N187</f>
        <v>0</v>
      </c>
      <c r="M179" s="391"/>
      <c r="N179" s="391"/>
      <c r="AC179" s="637">
        <f t="shared" si="26"/>
        <v>42005</v>
      </c>
      <c r="AD179" s="465">
        <f t="shared" si="31"/>
        <v>170</v>
      </c>
      <c r="AE179" s="465">
        <f t="shared" si="27"/>
        <v>0</v>
      </c>
      <c r="AF179" s="465">
        <f t="shared" si="28"/>
        <v>0</v>
      </c>
      <c r="AG179" s="640">
        <f t="shared" si="29"/>
        <v>0</v>
      </c>
      <c r="AJ179" s="465">
        <f t="shared" si="30"/>
        <v>0</v>
      </c>
      <c r="AK179" s="646">
        <f t="shared" si="23"/>
        <v>0</v>
      </c>
    </row>
    <row r="180" spans="1:38">
      <c r="A180" s="250">
        <v>50.366892180666163</v>
      </c>
      <c r="B180" s="248">
        <f>'Revenues &amp; Expenses'!AX188</f>
        <v>42036</v>
      </c>
      <c r="C180" s="250">
        <f>'PJM Curve Simulation'!J188</f>
        <v>41.074998474121088</v>
      </c>
      <c r="D180" s="250">
        <f t="shared" si="24"/>
        <v>47.93123476520217</v>
      </c>
      <c r="F180" s="250">
        <f>('Fuel Curve Simulation'!J188*'Revenues &amp; Expenses'!$S$2/1000)</f>
        <v>44.935419310344834</v>
      </c>
      <c r="G180" s="250">
        <f>'Revenues &amp; Expenses'!$AM$5*1000*'Revenues &amp; Expenses'!O188</f>
        <v>2.995815454857337</v>
      </c>
      <c r="H180" s="247">
        <f t="shared" si="32"/>
        <v>171</v>
      </c>
      <c r="I180" s="247">
        <f t="shared" si="25"/>
        <v>0</v>
      </c>
      <c r="J180" s="247">
        <v>315</v>
      </c>
      <c r="K180" s="391">
        <f>IF(I180&gt;0,J180*'Revenues &amp; Expenses'!F188*16,0)</f>
        <v>0</v>
      </c>
      <c r="L180" s="540">
        <f>K180*'Revenues &amp; Expenses'!N188</f>
        <v>0</v>
      </c>
      <c r="M180" s="391"/>
      <c r="N180" s="391"/>
      <c r="AC180" s="637">
        <f t="shared" si="26"/>
        <v>42036</v>
      </c>
      <c r="AD180" s="465">
        <f t="shared" si="31"/>
        <v>171</v>
      </c>
      <c r="AE180" s="465">
        <f t="shared" si="27"/>
        <v>0</v>
      </c>
      <c r="AF180" s="465">
        <f t="shared" si="28"/>
        <v>0</v>
      </c>
      <c r="AG180" s="640">
        <f t="shared" si="29"/>
        <v>0</v>
      </c>
      <c r="AJ180" s="465">
        <f t="shared" si="30"/>
        <v>0</v>
      </c>
      <c r="AK180" s="646">
        <f t="shared" si="23"/>
        <v>0</v>
      </c>
    </row>
    <row r="181" spans="1:38">
      <c r="A181" s="250">
        <v>37.459730927906037</v>
      </c>
      <c r="B181" s="248">
        <f>'Revenues &amp; Expenses'!AX189</f>
        <v>42064</v>
      </c>
      <c r="C181" s="250">
        <f>'PJM Curve Simulation'!J189</f>
        <v>30.800000762939455</v>
      </c>
      <c r="D181" s="250">
        <f t="shared" si="24"/>
        <v>47.008069725711337</v>
      </c>
      <c r="F181" s="250">
        <f>('Fuel Curve Simulation'!J189*'Revenues &amp; Expenses'!$S$2/1000)</f>
        <v>44.005595689655181</v>
      </c>
      <c r="G181" s="250">
        <f>'Revenues &amp; Expenses'!$AM$5*1000*'Revenues &amp; Expenses'!O189</f>
        <v>3.0024740360561597</v>
      </c>
      <c r="H181" s="247">
        <f t="shared" si="32"/>
        <v>172</v>
      </c>
      <c r="I181" s="247">
        <f t="shared" si="25"/>
        <v>0</v>
      </c>
      <c r="J181" s="247">
        <v>315</v>
      </c>
      <c r="K181" s="391">
        <f>IF(I181&gt;0,J181*'Revenues &amp; Expenses'!F189*16,0)</f>
        <v>0</v>
      </c>
      <c r="L181" s="540">
        <f>K181*'Revenues &amp; Expenses'!N189</f>
        <v>0</v>
      </c>
      <c r="M181" s="391"/>
      <c r="N181" s="391"/>
      <c r="AC181" s="637">
        <f t="shared" si="26"/>
        <v>42064</v>
      </c>
      <c r="AD181" s="465">
        <f t="shared" si="31"/>
        <v>172</v>
      </c>
      <c r="AE181" s="465">
        <f t="shared" si="27"/>
        <v>0</v>
      </c>
      <c r="AF181" s="465">
        <f t="shared" si="28"/>
        <v>0</v>
      </c>
      <c r="AG181" s="640">
        <f t="shared" si="29"/>
        <v>0</v>
      </c>
      <c r="AJ181" s="465">
        <f t="shared" si="30"/>
        <v>0</v>
      </c>
      <c r="AK181" s="646">
        <f t="shared" si="23"/>
        <v>0</v>
      </c>
    </row>
    <row r="182" spans="1:38">
      <c r="A182" s="250">
        <v>34.683127894333708</v>
      </c>
      <c r="B182" s="248">
        <f>'Revenues &amp; Expenses'!AX190</f>
        <v>42095</v>
      </c>
      <c r="C182" s="250">
        <f>'PJM Curve Simulation'!J190</f>
        <v>30.575000762939453</v>
      </c>
      <c r="D182" s="250">
        <f t="shared" si="24"/>
        <v>46.056843106454473</v>
      </c>
      <c r="F182" s="250">
        <f>('Fuel Curve Simulation'!J190*'Revenues &amp; Expenses'!$S$2/1000)</f>
        <v>43.047695689655178</v>
      </c>
      <c r="G182" s="250">
        <f>'Revenues &amp; Expenses'!$AM$5*1000*'Revenues &amp; Expenses'!O190</f>
        <v>3.0091474167992969</v>
      </c>
      <c r="H182" s="247">
        <f t="shared" si="32"/>
        <v>173</v>
      </c>
      <c r="I182" s="247">
        <f t="shared" si="25"/>
        <v>0</v>
      </c>
      <c r="J182" s="247">
        <v>315</v>
      </c>
      <c r="K182" s="391">
        <f>IF(I182&gt;0,J182*'Revenues &amp; Expenses'!F190*16,0)</f>
        <v>0</v>
      </c>
      <c r="L182" s="540">
        <f>K182*'Revenues &amp; Expenses'!N190</f>
        <v>0</v>
      </c>
      <c r="M182" s="391"/>
      <c r="N182" s="391"/>
      <c r="AC182" s="637">
        <f t="shared" si="26"/>
        <v>42095</v>
      </c>
      <c r="AD182" s="465">
        <f t="shared" si="31"/>
        <v>173</v>
      </c>
      <c r="AE182" s="465">
        <f t="shared" si="27"/>
        <v>0</v>
      </c>
      <c r="AF182" s="465">
        <f t="shared" si="28"/>
        <v>0</v>
      </c>
      <c r="AG182" s="640">
        <f t="shared" si="29"/>
        <v>0</v>
      </c>
      <c r="AJ182" s="465">
        <f t="shared" si="30"/>
        <v>0</v>
      </c>
      <c r="AK182" s="646">
        <f t="shared" si="23"/>
        <v>0</v>
      </c>
    </row>
    <row r="183" spans="1:38">
      <c r="A183" s="250">
        <v>42.347796516563193</v>
      </c>
      <c r="B183" s="248">
        <f>'Revenues &amp; Expenses'!AX191</f>
        <v>42125</v>
      </c>
      <c r="C183" s="250">
        <f>'PJM Curve Simulation'!J191</f>
        <v>38.575000000000003</v>
      </c>
      <c r="D183" s="250">
        <f t="shared" si="24"/>
        <v>45.419426147222005</v>
      </c>
      <c r="F183" s="250">
        <f>('Fuel Curve Simulation'!J191*'Revenues &amp; Expenses'!$S$2/1000)</f>
        <v>42.403590517241383</v>
      </c>
      <c r="G183" s="250">
        <f>'Revenues &amp; Expenses'!$AM$5*1000*'Revenues &amp; Expenses'!O191</f>
        <v>3.0158356299806193</v>
      </c>
      <c r="H183" s="247">
        <f t="shared" si="32"/>
        <v>174</v>
      </c>
      <c r="I183" s="247">
        <f t="shared" si="25"/>
        <v>0</v>
      </c>
      <c r="J183" s="247">
        <v>315</v>
      </c>
      <c r="K183" s="391">
        <f>IF(I183&gt;0,J183*'Revenues &amp; Expenses'!F191*16,0)</f>
        <v>0</v>
      </c>
      <c r="L183" s="540">
        <f>K183*'Revenues &amp; Expenses'!N191</f>
        <v>0</v>
      </c>
      <c r="M183" s="391"/>
      <c r="N183" s="391"/>
      <c r="AC183" s="637">
        <f t="shared" si="26"/>
        <v>42125</v>
      </c>
      <c r="AD183" s="465">
        <f t="shared" si="31"/>
        <v>174</v>
      </c>
      <c r="AE183" s="465">
        <f t="shared" si="27"/>
        <v>0</v>
      </c>
      <c r="AF183" s="465">
        <f t="shared" si="28"/>
        <v>0</v>
      </c>
      <c r="AG183" s="640">
        <f t="shared" si="29"/>
        <v>0</v>
      </c>
      <c r="AJ183" s="465">
        <f t="shared" si="30"/>
        <v>0</v>
      </c>
      <c r="AK183" s="646">
        <f t="shared" si="23"/>
        <v>0</v>
      </c>
    </row>
    <row r="184" spans="1:38">
      <c r="A184" s="250">
        <v>81.565562853089006</v>
      </c>
      <c r="B184" s="248">
        <f>'Revenues &amp; Expenses'!AX192</f>
        <v>42156</v>
      </c>
      <c r="C184" s="250">
        <f>'PJM Curve Simulation'!J192</f>
        <v>66.099998474121094</v>
      </c>
      <c r="D184" s="250">
        <f t="shared" si="24"/>
        <v>45.363370260291262</v>
      </c>
      <c r="F184" s="250">
        <f>('Fuel Curve Simulation'!J192*'Revenues &amp; Expenses'!$S$2/1000)</f>
        <v>42.34083155172415</v>
      </c>
      <c r="G184" s="250">
        <f>'Revenues &amp; Expenses'!$AM$5*1000*'Revenues &amp; Expenses'!O192</f>
        <v>3.0225387085671089</v>
      </c>
      <c r="H184" s="247">
        <f t="shared" si="32"/>
        <v>175</v>
      </c>
      <c r="I184" s="247">
        <f t="shared" si="25"/>
        <v>1</v>
      </c>
      <c r="J184" s="247">
        <v>315</v>
      </c>
      <c r="K184" s="391">
        <f>IF(I184&gt;0,J184*'Revenues &amp; Expenses'!F192*16,0)</f>
        <v>105840</v>
      </c>
      <c r="L184" s="540">
        <f>K184*'Revenues &amp; Expenses'!N192</f>
        <v>34611.04671506954</v>
      </c>
      <c r="M184" s="391"/>
      <c r="N184" s="391"/>
      <c r="AC184" s="637">
        <f t="shared" si="26"/>
        <v>42156</v>
      </c>
      <c r="AD184" s="465">
        <f t="shared" si="31"/>
        <v>175</v>
      </c>
      <c r="AE184" s="465">
        <f t="shared" si="27"/>
        <v>2287790.1350538307</v>
      </c>
      <c r="AF184" s="465">
        <f t="shared" si="28"/>
        <v>34611.04671506954</v>
      </c>
      <c r="AG184" s="640">
        <f t="shared" si="29"/>
        <v>66.099998474121094</v>
      </c>
      <c r="AJ184" s="465">
        <f t="shared" si="30"/>
        <v>1570073.7272319372</v>
      </c>
      <c r="AK184" s="646">
        <f t="shared" si="23"/>
        <v>45.363370260291262</v>
      </c>
    </row>
    <row r="185" spans="1:38">
      <c r="A185" s="250">
        <v>155.20436924192205</v>
      </c>
      <c r="B185" s="248">
        <f>'Revenues &amp; Expenses'!AX193</f>
        <v>42186</v>
      </c>
      <c r="C185" s="250">
        <f>'PJM Curve Simulation'!J193</f>
        <v>118.19999694824219</v>
      </c>
      <c r="D185" s="250">
        <f t="shared" si="24"/>
        <v>45.91840340973696</v>
      </c>
      <c r="F185" s="250">
        <f>('Fuel Curve Simulation'!J193*'Revenues &amp; Expenses'!$S$2/1000)</f>
        <v>42.889146724137937</v>
      </c>
      <c r="G185" s="250">
        <f>'Revenues &amp; Expenses'!$AM$5*1000*'Revenues &amp; Expenses'!O193</f>
        <v>3.0292566855990213</v>
      </c>
      <c r="H185" s="247">
        <f t="shared" si="32"/>
        <v>176</v>
      </c>
      <c r="I185" s="247">
        <f t="shared" si="25"/>
        <v>1</v>
      </c>
      <c r="J185" s="247">
        <v>315</v>
      </c>
      <c r="K185" s="391">
        <f>IF(I185&gt;0,J185*'Revenues &amp; Expenses'!F193*16,0)</f>
        <v>115920</v>
      </c>
      <c r="L185" s="540">
        <f>K185*'Revenues &amp; Expenses'!N193</f>
        <v>37684.278859692371</v>
      </c>
      <c r="M185" s="391"/>
      <c r="N185" s="391"/>
      <c r="AC185" s="637">
        <f t="shared" si="26"/>
        <v>42186</v>
      </c>
      <c r="AD185" s="465">
        <f t="shared" si="31"/>
        <v>176</v>
      </c>
      <c r="AE185" s="465">
        <f t="shared" si="27"/>
        <v>4454281.6462123459</v>
      </c>
      <c r="AF185" s="465">
        <f t="shared" si="28"/>
        <v>37684.278859692371</v>
      </c>
      <c r="AG185" s="640">
        <f t="shared" si="29"/>
        <v>118.19999694824219</v>
      </c>
      <c r="AJ185" s="465">
        <f t="shared" si="30"/>
        <v>1730401.9188843765</v>
      </c>
      <c r="AK185" s="646">
        <f t="shared" si="23"/>
        <v>45.91840340973696</v>
      </c>
    </row>
    <row r="186" spans="1:38">
      <c r="A186" s="250">
        <v>129.11615279601878</v>
      </c>
      <c r="B186" s="248">
        <f>'Revenues &amp; Expenses'!AX194</f>
        <v>42217</v>
      </c>
      <c r="C186" s="250">
        <f>'PJM Curve Simulation'!J194</f>
        <v>105.19999694824219</v>
      </c>
      <c r="D186" s="250">
        <f t="shared" si="24"/>
        <v>46.792200973500407</v>
      </c>
      <c r="F186" s="250">
        <f>('Fuel Curve Simulation'!J194*'Revenues &amp; Expenses'!$S$2/1000)</f>
        <v>43.756211379310358</v>
      </c>
      <c r="G186" s="250">
        <f>'Revenues &amp; Expenses'!$AM$5*1000*'Revenues &amp; Expenses'!O194</f>
        <v>3.0359895941900472</v>
      </c>
      <c r="H186" s="247">
        <f t="shared" si="32"/>
        <v>177</v>
      </c>
      <c r="I186" s="247">
        <f t="shared" si="25"/>
        <v>1</v>
      </c>
      <c r="J186" s="247">
        <v>315</v>
      </c>
      <c r="K186" s="391">
        <f>IF(I186&gt;0,J186*'Revenues &amp; Expenses'!F194*16,0)</f>
        <v>105840</v>
      </c>
      <c r="L186" s="540">
        <f>K186*'Revenues &amp; Expenses'!N194</f>
        <v>34198.222062119727</v>
      </c>
      <c r="M186" s="391"/>
      <c r="N186" s="391"/>
      <c r="AC186" s="637">
        <f t="shared" si="26"/>
        <v>42217</v>
      </c>
      <c r="AD186" s="465">
        <f t="shared" si="31"/>
        <v>177</v>
      </c>
      <c r="AE186" s="465">
        <f t="shared" si="27"/>
        <v>3597652.8565703039</v>
      </c>
      <c r="AF186" s="465">
        <f t="shared" si="28"/>
        <v>34198.222062119727</v>
      </c>
      <c r="AG186" s="640">
        <f t="shared" si="29"/>
        <v>105.19999694824219</v>
      </c>
      <c r="AJ186" s="465">
        <f t="shared" si="30"/>
        <v>1600210.0796671018</v>
      </c>
      <c r="AK186" s="646">
        <f t="shared" si="23"/>
        <v>46.792200973500407</v>
      </c>
    </row>
    <row r="187" spans="1:38">
      <c r="A187" s="250">
        <v>44.961213515912121</v>
      </c>
      <c r="B187" s="248">
        <f>'Revenues &amp; Expenses'!AX195</f>
        <v>42248</v>
      </c>
      <c r="C187" s="250">
        <f>'PJM Curve Simulation'!J195</f>
        <v>38.924998474121097</v>
      </c>
      <c r="D187" s="250">
        <f t="shared" si="24"/>
        <v>47.707302295113699</v>
      </c>
      <c r="F187" s="250">
        <f>('Fuel Curve Simulation'!J195*'Revenues &amp; Expenses'!$S$2/1000)</f>
        <v>44.664564827586219</v>
      </c>
      <c r="G187" s="250">
        <f>'Revenues &amp; Expenses'!$AM$5*1000*'Revenues &amp; Expenses'!O195</f>
        <v>3.0427374675274783</v>
      </c>
      <c r="H187" s="247">
        <f t="shared" si="32"/>
        <v>178</v>
      </c>
      <c r="I187" s="247">
        <f t="shared" si="25"/>
        <v>0</v>
      </c>
      <c r="J187" s="247">
        <v>315</v>
      </c>
      <c r="K187" s="391">
        <f>IF(I187&gt;0,J187*'Revenues &amp; Expenses'!F195*16,0)</f>
        <v>0</v>
      </c>
      <c r="L187" s="540">
        <f>K187*'Revenues &amp; Expenses'!N195</f>
        <v>0</v>
      </c>
      <c r="M187" s="391"/>
      <c r="N187" s="391"/>
      <c r="AC187" s="637">
        <f t="shared" si="26"/>
        <v>42248</v>
      </c>
      <c r="AD187" s="465">
        <f t="shared" si="31"/>
        <v>178</v>
      </c>
      <c r="AE187" s="465">
        <f t="shared" si="27"/>
        <v>0</v>
      </c>
      <c r="AF187" s="465">
        <f t="shared" si="28"/>
        <v>0</v>
      </c>
      <c r="AG187" s="640">
        <f t="shared" si="29"/>
        <v>0</v>
      </c>
      <c r="AJ187" s="465">
        <f t="shared" si="30"/>
        <v>0</v>
      </c>
      <c r="AK187" s="646">
        <f t="shared" si="23"/>
        <v>0</v>
      </c>
    </row>
    <row r="188" spans="1:38">
      <c r="A188" s="250">
        <v>36.798261073122028</v>
      </c>
      <c r="B188" s="248">
        <f>'Revenues &amp; Expenses'!AX196</f>
        <v>42278</v>
      </c>
      <c r="C188" s="250">
        <f>'PJM Curve Simulation'!J196</f>
        <v>31.325000381469728</v>
      </c>
      <c r="D188" s="250">
        <f t="shared" si="24"/>
        <v>48.600948442320643</v>
      </c>
      <c r="F188" s="250">
        <f>('Fuel Curve Simulation'!J196*'Revenues &amp; Expenses'!$S$2/1000)</f>
        <v>45.551448103448273</v>
      </c>
      <c r="G188" s="250">
        <f>'Revenues &amp; Expenses'!$AM$5*1000*'Revenues &amp; Expenses'!O196</f>
        <v>3.049500338872368</v>
      </c>
      <c r="H188" s="247">
        <f t="shared" si="32"/>
        <v>179</v>
      </c>
      <c r="I188" s="247">
        <f t="shared" si="25"/>
        <v>0</v>
      </c>
      <c r="J188" s="247">
        <v>315</v>
      </c>
      <c r="K188" s="391">
        <f>IF(I188&gt;0,J188*'Revenues &amp; Expenses'!F196*16,0)</f>
        <v>0</v>
      </c>
      <c r="L188" s="540">
        <f>K188*'Revenues &amp; Expenses'!N196</f>
        <v>0</v>
      </c>
      <c r="M188" s="391"/>
      <c r="N188" s="391"/>
      <c r="AC188" s="637">
        <f t="shared" si="26"/>
        <v>42278</v>
      </c>
      <c r="AD188" s="465">
        <f t="shared" si="31"/>
        <v>179</v>
      </c>
      <c r="AE188" s="465">
        <f t="shared" si="27"/>
        <v>0</v>
      </c>
      <c r="AF188" s="465">
        <f t="shared" si="28"/>
        <v>0</v>
      </c>
      <c r="AG188" s="640">
        <f t="shared" si="29"/>
        <v>0</v>
      </c>
      <c r="AJ188" s="465">
        <f t="shared" si="30"/>
        <v>0</v>
      </c>
      <c r="AK188" s="646">
        <f t="shared" si="23"/>
        <v>0</v>
      </c>
    </row>
    <row r="189" spans="1:38">
      <c r="A189" s="250">
        <v>36.912596847267153</v>
      </c>
      <c r="B189" s="248">
        <f>'Revenues &amp; Expenses'!AX197</f>
        <v>42309</v>
      </c>
      <c r="C189" s="250">
        <f>'PJM Curve Simulation'!J197</f>
        <v>30.997499084472658</v>
      </c>
      <c r="D189" s="250">
        <f t="shared" si="24"/>
        <v>49.080070138111424</v>
      </c>
      <c r="F189" s="250">
        <f>('Fuel Curve Simulation'!J197*'Revenues &amp; Expenses'!$S$2/1000)</f>
        <v>46.023791896551728</v>
      </c>
      <c r="G189" s="250">
        <f>'Revenues &amp; Expenses'!$AM$5*1000*'Revenues &amp; Expenses'!O197</f>
        <v>3.056278241559697</v>
      </c>
      <c r="H189" s="247">
        <f t="shared" si="32"/>
        <v>180</v>
      </c>
      <c r="I189" s="247">
        <f t="shared" si="25"/>
        <v>0</v>
      </c>
      <c r="J189" s="247">
        <v>315</v>
      </c>
      <c r="K189" s="391">
        <f>IF(I189&gt;0,J189*'Revenues &amp; Expenses'!F197*16,0)</f>
        <v>0</v>
      </c>
      <c r="L189" s="540">
        <f>K189*'Revenues &amp; Expenses'!N197</f>
        <v>0</v>
      </c>
      <c r="M189" s="391"/>
      <c r="N189" s="391"/>
      <c r="AC189" s="637">
        <f t="shared" si="26"/>
        <v>42309</v>
      </c>
      <c r="AD189" s="465">
        <f t="shared" si="31"/>
        <v>180</v>
      </c>
      <c r="AE189" s="465">
        <f t="shared" si="27"/>
        <v>0</v>
      </c>
      <c r="AF189" s="465">
        <f t="shared" si="28"/>
        <v>0</v>
      </c>
      <c r="AG189" s="640">
        <f t="shared" si="29"/>
        <v>0</v>
      </c>
      <c r="AJ189" s="465">
        <f t="shared" si="30"/>
        <v>0</v>
      </c>
      <c r="AK189" s="646">
        <f t="shared" si="23"/>
        <v>0</v>
      </c>
    </row>
    <row r="190" spans="1:38">
      <c r="A190" s="250">
        <v>39.495316947103859</v>
      </c>
      <c r="B190" s="248">
        <f>'Revenues &amp; Expenses'!AX198</f>
        <v>42339</v>
      </c>
      <c r="C190" s="250">
        <f>'PJM Curve Simulation'!J198</f>
        <v>32.749999618530275</v>
      </c>
      <c r="D190" s="250">
        <f t="shared" si="24"/>
        <v>49.496447933136473</v>
      </c>
      <c r="F190" s="250">
        <f>('Fuel Curve Simulation'!J198*'Revenues &amp; Expenses'!$S$2/1000)</f>
        <v>46.433376724137936</v>
      </c>
      <c r="G190" s="250">
        <f>'Revenues &amp; Expenses'!$AM$5*1000*'Revenues &amp; Expenses'!O198</f>
        <v>3.063071208998537</v>
      </c>
      <c r="H190" s="247">
        <f t="shared" si="32"/>
        <v>181</v>
      </c>
      <c r="I190" s="247">
        <f t="shared" si="25"/>
        <v>0</v>
      </c>
      <c r="J190" s="247">
        <v>315</v>
      </c>
      <c r="K190" s="391">
        <f>IF(I190&gt;0,J190*'Revenues &amp; Expenses'!F198*16,0)</f>
        <v>0</v>
      </c>
      <c r="L190" s="540">
        <f>K190*'Revenues &amp; Expenses'!N198</f>
        <v>0</v>
      </c>
      <c r="M190" s="391">
        <f>SUM(L179:L190)</f>
        <v>106493.54763688165</v>
      </c>
      <c r="N190" s="391">
        <f>SUM(K179:K190)</f>
        <v>327600</v>
      </c>
      <c r="AC190" s="637">
        <f t="shared" si="26"/>
        <v>42339</v>
      </c>
      <c r="AD190" s="465">
        <f t="shared" si="31"/>
        <v>181</v>
      </c>
      <c r="AE190" s="465">
        <f t="shared" si="27"/>
        <v>0</v>
      </c>
      <c r="AF190" s="465">
        <f t="shared" si="28"/>
        <v>0</v>
      </c>
      <c r="AG190" s="640">
        <f t="shared" si="29"/>
        <v>0</v>
      </c>
      <c r="AH190" s="640">
        <f>IF(SUM(AF179:AF190)=0,0,SUM(AE179:AE190)/SUM(AF179:AF190))</f>
        <v>97.092498722012238</v>
      </c>
      <c r="AJ190" s="465">
        <f t="shared" si="30"/>
        <v>0</v>
      </c>
      <c r="AK190" s="646">
        <f t="shared" si="23"/>
        <v>0</v>
      </c>
      <c r="AL190" s="646">
        <f>IF(SUM(AF179:AF190)=0,0,SUM(AJ179:AJ190)/SUM(AF179:AF190))</f>
        <v>46.018616475184203</v>
      </c>
    </row>
    <row r="191" spans="1:38">
      <c r="A191" s="250">
        <v>50.673446617986471</v>
      </c>
      <c r="B191" s="248">
        <f>'Revenues &amp; Expenses'!AX199</f>
        <v>42370</v>
      </c>
      <c r="C191" s="250">
        <f>'PJM Curve Simulation'!J199</f>
        <v>41.324998474121088</v>
      </c>
      <c r="D191" s="250">
        <f t="shared" si="24"/>
        <v>48.954940826396374</v>
      </c>
      <c r="F191" s="250">
        <f>('Fuel Curve Simulation'!J199*'Revenues &amp; Expenses'!$S$2/1000)</f>
        <v>45.885061551724156</v>
      </c>
      <c r="G191" s="250">
        <f>'Revenues &amp; Expenses'!$AM$5*1000*'Revenues &amp; Expenses'!O199</f>
        <v>3.0698792746722172</v>
      </c>
      <c r="H191" s="247">
        <f t="shared" si="32"/>
        <v>182</v>
      </c>
      <c r="I191" s="247">
        <f t="shared" si="25"/>
        <v>0</v>
      </c>
      <c r="J191" s="247">
        <v>315</v>
      </c>
      <c r="K191" s="391">
        <f>IF(I191&gt;0,J191*'Revenues &amp; Expenses'!F199*16,0)</f>
        <v>0</v>
      </c>
      <c r="L191" s="540">
        <f>K191*'Revenues &amp; Expenses'!N199</f>
        <v>0</v>
      </c>
      <c r="M191" s="391"/>
      <c r="N191" s="391"/>
      <c r="AC191" s="637">
        <f t="shared" si="26"/>
        <v>42370</v>
      </c>
      <c r="AD191" s="465">
        <f t="shared" si="31"/>
        <v>182</v>
      </c>
      <c r="AE191" s="465">
        <f t="shared" si="27"/>
        <v>0</v>
      </c>
      <c r="AF191" s="465">
        <f t="shared" si="28"/>
        <v>0</v>
      </c>
      <c r="AG191" s="640">
        <f t="shared" si="29"/>
        <v>0</v>
      </c>
      <c r="AJ191" s="465">
        <f t="shared" si="30"/>
        <v>0</v>
      </c>
      <c r="AK191" s="646">
        <f t="shared" si="23"/>
        <v>0</v>
      </c>
    </row>
    <row r="192" spans="1:38">
      <c r="A192" s="250">
        <v>50.673446617986471</v>
      </c>
      <c r="B192" s="248">
        <f>'Revenues &amp; Expenses'!AX200</f>
        <v>42401</v>
      </c>
      <c r="C192" s="250">
        <f>'PJM Curve Simulation'!J200</f>
        <v>41.324998474121088</v>
      </c>
      <c r="D192" s="250">
        <f t="shared" si="24"/>
        <v>48.01212178248332</v>
      </c>
      <c r="F192" s="250">
        <f>('Fuel Curve Simulation'!J200*'Revenues &amp; Expenses'!$S$2/1000)</f>
        <v>44.935419310344834</v>
      </c>
      <c r="G192" s="250">
        <f>'Revenues &amp; Expenses'!$AM$5*1000*'Revenues &amp; Expenses'!O200</f>
        <v>3.0767024721384852</v>
      </c>
      <c r="H192" s="247">
        <f t="shared" si="32"/>
        <v>183</v>
      </c>
      <c r="I192" s="247">
        <f t="shared" si="25"/>
        <v>0</v>
      </c>
      <c r="J192" s="247">
        <v>315</v>
      </c>
      <c r="K192" s="391">
        <f>IF(I192&gt;0,J192*'Revenues &amp; Expenses'!F200*16,0)</f>
        <v>0</v>
      </c>
      <c r="L192" s="540">
        <f>K192*'Revenues &amp; Expenses'!N200</f>
        <v>0</v>
      </c>
      <c r="M192" s="391"/>
      <c r="N192" s="391"/>
      <c r="AC192" s="637">
        <f t="shared" si="26"/>
        <v>42401</v>
      </c>
      <c r="AD192" s="465">
        <f t="shared" si="31"/>
        <v>183</v>
      </c>
      <c r="AE192" s="465">
        <f t="shared" si="27"/>
        <v>0</v>
      </c>
      <c r="AF192" s="465">
        <f t="shared" si="28"/>
        <v>0</v>
      </c>
      <c r="AG192" s="640">
        <f t="shared" si="29"/>
        <v>0</v>
      </c>
      <c r="AJ192" s="465">
        <f t="shared" si="30"/>
        <v>0</v>
      </c>
      <c r="AK192" s="646">
        <f t="shared" si="23"/>
        <v>0</v>
      </c>
    </row>
    <row r="193" spans="1:38">
      <c r="A193" s="250">
        <v>37.763787177906039</v>
      </c>
      <c r="B193" s="248">
        <f>'Revenues &amp; Expenses'!AX201</f>
        <v>42430</v>
      </c>
      <c r="C193" s="250">
        <f>'PJM Curve Simulation'!J201</f>
        <v>31.050000762939455</v>
      </c>
      <c r="D193" s="250">
        <f t="shared" si="24"/>
        <v>47.089136524684854</v>
      </c>
      <c r="F193" s="250">
        <f>('Fuel Curve Simulation'!J201*'Revenues &amp; Expenses'!$S$2/1000)</f>
        <v>44.005595689655181</v>
      </c>
      <c r="G193" s="250">
        <f>'Revenues &amp; Expenses'!$AM$5*1000*'Revenues &amp; Expenses'!O201</f>
        <v>3.0835408350296758</v>
      </c>
      <c r="H193" s="247">
        <f t="shared" si="32"/>
        <v>184</v>
      </c>
      <c r="I193" s="247">
        <f t="shared" si="25"/>
        <v>0</v>
      </c>
      <c r="J193" s="247">
        <v>315</v>
      </c>
      <c r="K193" s="391">
        <f>IF(I193&gt;0,J193*'Revenues &amp; Expenses'!F201*16,0)</f>
        <v>0</v>
      </c>
      <c r="L193" s="540">
        <f>K193*'Revenues &amp; Expenses'!N201</f>
        <v>0</v>
      </c>
      <c r="M193" s="391"/>
      <c r="N193" s="391"/>
      <c r="AC193" s="637">
        <f t="shared" si="26"/>
        <v>42430</v>
      </c>
      <c r="AD193" s="465">
        <f t="shared" si="31"/>
        <v>184</v>
      </c>
      <c r="AE193" s="465">
        <f t="shared" si="27"/>
        <v>0</v>
      </c>
      <c r="AF193" s="465">
        <f t="shared" si="28"/>
        <v>0</v>
      </c>
      <c r="AG193" s="640">
        <f t="shared" si="29"/>
        <v>0</v>
      </c>
      <c r="AJ193" s="465">
        <f t="shared" si="30"/>
        <v>0</v>
      </c>
      <c r="AK193" s="646">
        <f t="shared" si="23"/>
        <v>0</v>
      </c>
    </row>
    <row r="194" spans="1:38">
      <c r="A194" s="250">
        <v>34.966718466932925</v>
      </c>
      <c r="B194" s="248">
        <f>'Revenues &amp; Expenses'!AX202</f>
        <v>42461</v>
      </c>
      <c r="C194" s="250">
        <f>'PJM Curve Simulation'!J202</f>
        <v>30.825000762939453</v>
      </c>
      <c r="D194" s="250">
        <f t="shared" si="24"/>
        <v>46.138090086708054</v>
      </c>
      <c r="F194" s="250">
        <f>('Fuel Curve Simulation'!J202*'Revenues &amp; Expenses'!$S$2/1000)</f>
        <v>43.047695689655178</v>
      </c>
      <c r="G194" s="250">
        <f>'Revenues &amp; Expenses'!$AM$5*1000*'Revenues &amp; Expenses'!O202</f>
        <v>3.0903943970528776</v>
      </c>
      <c r="H194" s="247">
        <f t="shared" si="32"/>
        <v>185</v>
      </c>
      <c r="I194" s="247">
        <f t="shared" si="25"/>
        <v>0</v>
      </c>
      <c r="J194" s="247">
        <v>315</v>
      </c>
      <c r="K194" s="391">
        <f>IF(I194&gt;0,J194*'Revenues &amp; Expenses'!F202*16,0)</f>
        <v>0</v>
      </c>
      <c r="L194" s="540">
        <f>K194*'Revenues &amp; Expenses'!N202</f>
        <v>0</v>
      </c>
      <c r="M194" s="391"/>
      <c r="N194" s="391"/>
      <c r="AC194" s="637">
        <f t="shared" si="26"/>
        <v>42461</v>
      </c>
      <c r="AD194" s="465">
        <f t="shared" si="31"/>
        <v>185</v>
      </c>
      <c r="AE194" s="465">
        <f t="shared" si="27"/>
        <v>0</v>
      </c>
      <c r="AF194" s="465">
        <f t="shared" si="28"/>
        <v>0</v>
      </c>
      <c r="AG194" s="640">
        <f t="shared" si="29"/>
        <v>0</v>
      </c>
      <c r="AJ194" s="465">
        <f t="shared" si="30"/>
        <v>0</v>
      </c>
      <c r="AK194" s="646">
        <f t="shared" si="23"/>
        <v>0</v>
      </c>
    </row>
    <row r="195" spans="1:38">
      <c r="A195" s="250">
        <v>42.622247563332877</v>
      </c>
      <c r="B195" s="248">
        <f>'Revenues &amp; Expenses'!AX203</f>
        <v>42491</v>
      </c>
      <c r="C195" s="250">
        <f>'PJM Curve Simulation'!J203</f>
        <v>38.825000000000003</v>
      </c>
      <c r="D195" s="250">
        <f t="shared" si="24"/>
        <v>45.500853709231478</v>
      </c>
      <c r="F195" s="250">
        <f>('Fuel Curve Simulation'!J203*'Revenues &amp; Expenses'!$S$2/1000)</f>
        <v>42.403590517241383</v>
      </c>
      <c r="G195" s="250">
        <f>'Revenues &amp; Expenses'!$AM$5*1000*'Revenues &amp; Expenses'!O203</f>
        <v>3.0972631919900957</v>
      </c>
      <c r="H195" s="247">
        <f t="shared" si="32"/>
        <v>186</v>
      </c>
      <c r="I195" s="247">
        <f t="shared" si="25"/>
        <v>0</v>
      </c>
      <c r="J195" s="247">
        <v>315</v>
      </c>
      <c r="K195" s="391">
        <f>IF(I195&gt;0,J195*'Revenues &amp; Expenses'!F203*16,0)</f>
        <v>0</v>
      </c>
      <c r="L195" s="540">
        <f>K195*'Revenues &amp; Expenses'!N203</f>
        <v>0</v>
      </c>
      <c r="M195" s="391"/>
      <c r="N195" s="391"/>
      <c r="AC195" s="637">
        <f t="shared" si="26"/>
        <v>42491</v>
      </c>
      <c r="AD195" s="465">
        <f t="shared" si="31"/>
        <v>186</v>
      </c>
      <c r="AE195" s="465">
        <f t="shared" si="27"/>
        <v>0</v>
      </c>
      <c r="AF195" s="465">
        <f t="shared" si="28"/>
        <v>0</v>
      </c>
      <c r="AG195" s="640">
        <f t="shared" si="29"/>
        <v>0</v>
      </c>
      <c r="AJ195" s="465">
        <f t="shared" si="30"/>
        <v>0</v>
      </c>
      <c r="AK195" s="646">
        <f t="shared" si="23"/>
        <v>0</v>
      </c>
    </row>
    <row r="196" spans="1:38">
      <c r="A196" s="250">
        <v>82.491042029367151</v>
      </c>
      <c r="B196" s="248">
        <f>'Revenues &amp; Expenses'!AX204</f>
        <v>42522</v>
      </c>
      <c r="C196" s="250">
        <f>'PJM Curve Simulation'!J204</f>
        <v>66.849998474121094</v>
      </c>
      <c r="D196" s="250">
        <f t="shared" si="24"/>
        <v>45.444978805422572</v>
      </c>
      <c r="F196" s="250">
        <f>('Fuel Curve Simulation'!J204*'Revenues &amp; Expenses'!$S$2/1000)</f>
        <v>42.34083155172415</v>
      </c>
      <c r="G196" s="250">
        <f>'Revenues &amp; Expenses'!$AM$5*1000*'Revenues &amp; Expenses'!O204</f>
        <v>3.1041472536984207</v>
      </c>
      <c r="H196" s="247">
        <f t="shared" si="32"/>
        <v>187</v>
      </c>
      <c r="I196" s="247">
        <f t="shared" si="25"/>
        <v>1</v>
      </c>
      <c r="J196" s="247">
        <v>315</v>
      </c>
      <c r="K196" s="391">
        <f>IF(I196&gt;0,J196*'Revenues &amp; Expenses'!F204*16,0)</f>
        <v>110880</v>
      </c>
      <c r="L196" s="540">
        <f>K196*'Revenues &amp; Expenses'!N204</f>
        <v>33742.111128642377</v>
      </c>
      <c r="M196" s="391"/>
      <c r="N196" s="391"/>
      <c r="AC196" s="637">
        <f t="shared" si="26"/>
        <v>42522</v>
      </c>
      <c r="AD196" s="465">
        <f t="shared" si="31"/>
        <v>187</v>
      </c>
      <c r="AE196" s="465">
        <f t="shared" si="27"/>
        <v>2255660.077463367</v>
      </c>
      <c r="AF196" s="465">
        <f t="shared" si="28"/>
        <v>33742.111128642377</v>
      </c>
      <c r="AG196" s="640">
        <f t="shared" si="29"/>
        <v>66.849998474121094</v>
      </c>
      <c r="AJ196" s="465">
        <f t="shared" si="30"/>
        <v>1533409.5250913659</v>
      </c>
      <c r="AK196" s="646">
        <f t="shared" ref="AK196:AK250" si="33">IF(AF196&gt;0,AJ196/AF196,0)</f>
        <v>45.444978805422572</v>
      </c>
    </row>
    <row r="197" spans="1:38">
      <c r="A197" s="250">
        <v>158.15876720986142</v>
      </c>
      <c r="B197" s="248">
        <f>'Revenues &amp; Expenses'!AX205</f>
        <v>42552</v>
      </c>
      <c r="C197" s="250">
        <f>'PJM Curve Simulation'!J205</f>
        <v>120.44999694824219</v>
      </c>
      <c r="D197" s="250">
        <f t="shared" ref="D197:D250" si="34">F197+G197</f>
        <v>46.000193340248131</v>
      </c>
      <c r="F197" s="250">
        <f>('Fuel Curve Simulation'!J205*'Revenues &amp; Expenses'!$S$2/1000)</f>
        <v>42.889146724137937</v>
      </c>
      <c r="G197" s="250">
        <f>'Revenues &amp; Expenses'!$AM$5*1000*'Revenues &amp; Expenses'!O205</f>
        <v>3.1110466161101944</v>
      </c>
      <c r="H197" s="247">
        <f t="shared" si="32"/>
        <v>188</v>
      </c>
      <c r="I197" s="247">
        <f t="shared" ref="I197:I238" si="35">IF(C197&gt;D197,1,0)</f>
        <v>1</v>
      </c>
      <c r="J197" s="247">
        <v>315</v>
      </c>
      <c r="K197" s="391">
        <f>IF(I197&gt;0,J197*'Revenues &amp; Expenses'!F205*16,0)</f>
        <v>110880</v>
      </c>
      <c r="L197" s="540">
        <f>K197*'Revenues &amp; Expenses'!N205</f>
        <v>33543.887158024409</v>
      </c>
      <c r="M197" s="391"/>
      <c r="N197" s="391"/>
      <c r="AC197" s="637">
        <f t="shared" ref="AC197:AC250" si="36">B197</f>
        <v>42552</v>
      </c>
      <c r="AD197" s="465">
        <f t="shared" si="31"/>
        <v>188</v>
      </c>
      <c r="AE197" s="465">
        <f t="shared" ref="AE197:AE250" si="37">C197*L197</f>
        <v>4040361.1058162204</v>
      </c>
      <c r="AF197" s="465">
        <f t="shared" ref="AF197:AF250" si="38">L197</f>
        <v>33543.887158024409</v>
      </c>
      <c r="AG197" s="640">
        <f t="shared" ref="AG197:AG250" si="39">IF(AF197&gt;0,AE197/AF197,0)</f>
        <v>120.44999694824219</v>
      </c>
      <c r="AJ197" s="465">
        <f t="shared" ref="AJ197:AJ250" si="40">D197*L197</f>
        <v>1543025.2946525891</v>
      </c>
      <c r="AK197" s="646">
        <f t="shared" si="33"/>
        <v>46.000193340248131</v>
      </c>
    </row>
    <row r="198" spans="1:38">
      <c r="A198" s="250">
        <v>131.87766755094762</v>
      </c>
      <c r="B198" s="248">
        <f>'Revenues &amp; Expenses'!AX206</f>
        <v>42583</v>
      </c>
      <c r="C198" s="250">
        <f>'PJM Curve Simulation'!J206</f>
        <v>107.44999694824219</v>
      </c>
      <c r="D198" s="250">
        <f t="shared" si="34"/>
        <v>46.874172692543539</v>
      </c>
      <c r="F198" s="250">
        <f>('Fuel Curve Simulation'!J206*'Revenues &amp; Expenses'!$S$2/1000)</f>
        <v>43.756211379310358</v>
      </c>
      <c r="G198" s="250">
        <f>'Revenues &amp; Expenses'!$AM$5*1000*'Revenues &amp; Expenses'!O206</f>
        <v>3.1179613132331787</v>
      </c>
      <c r="H198" s="247">
        <f t="shared" si="32"/>
        <v>189</v>
      </c>
      <c r="I198" s="247">
        <f t="shared" si="35"/>
        <v>1</v>
      </c>
      <c r="J198" s="247">
        <v>315</v>
      </c>
      <c r="K198" s="391">
        <f>IF(I198&gt;0,J198*'Revenues &amp; Expenses'!F206*16,0)</f>
        <v>110880</v>
      </c>
      <c r="L198" s="540">
        <f>K198*'Revenues &amp; Expenses'!N206</f>
        <v>33340.306800231476</v>
      </c>
      <c r="M198" s="391"/>
      <c r="N198" s="391"/>
      <c r="AC198" s="637">
        <f t="shared" si="36"/>
        <v>42583</v>
      </c>
      <c r="AD198" s="465">
        <f t="shared" ref="AD198:AD250" si="41">AD197+1</f>
        <v>189</v>
      </c>
      <c r="AE198" s="465">
        <f t="shared" si="37"/>
        <v>3582415.8639383302</v>
      </c>
      <c r="AF198" s="465">
        <f t="shared" si="38"/>
        <v>33340.306800231476</v>
      </c>
      <c r="AG198" s="640">
        <f t="shared" si="39"/>
        <v>107.44999694824219</v>
      </c>
      <c r="AJ198" s="465">
        <f t="shared" si="40"/>
        <v>1562799.2985764339</v>
      </c>
      <c r="AK198" s="646">
        <f t="shared" si="33"/>
        <v>46.874172692543539</v>
      </c>
    </row>
    <row r="199" spans="1:38">
      <c r="A199" s="250">
        <v>45.538749999899451</v>
      </c>
      <c r="B199" s="248">
        <f>'Revenues &amp; Expenses'!AX207</f>
        <v>42614</v>
      </c>
      <c r="C199" s="250">
        <f>'PJM Curve Simulation'!J207</f>
        <v>39.424998474121097</v>
      </c>
      <c r="D199" s="250">
        <f t="shared" si="34"/>
        <v>47.789456206736936</v>
      </c>
      <c r="F199" s="250">
        <f>('Fuel Curve Simulation'!J207*'Revenues &amp; Expenses'!$S$2/1000)</f>
        <v>44.664564827586219</v>
      </c>
      <c r="G199" s="250">
        <f>'Revenues &amp; Expenses'!$AM$5*1000*'Revenues &amp; Expenses'!O207</f>
        <v>3.12489137915072</v>
      </c>
      <c r="H199" s="247">
        <f t="shared" si="32"/>
        <v>190</v>
      </c>
      <c r="I199" s="247">
        <f t="shared" si="35"/>
        <v>0</v>
      </c>
      <c r="J199" s="247">
        <v>315</v>
      </c>
      <c r="K199" s="391">
        <f>IF(I199&gt;0,J199*'Revenues &amp; Expenses'!F207*16,0)</f>
        <v>0</v>
      </c>
      <c r="L199" s="540">
        <f>K199*'Revenues &amp; Expenses'!N207</f>
        <v>0</v>
      </c>
      <c r="M199" s="391"/>
      <c r="N199" s="391"/>
      <c r="AC199" s="637">
        <f t="shared" si="36"/>
        <v>42614</v>
      </c>
      <c r="AD199" s="465">
        <f t="shared" si="41"/>
        <v>190</v>
      </c>
      <c r="AE199" s="465">
        <f t="shared" si="37"/>
        <v>0</v>
      </c>
      <c r="AF199" s="465">
        <f t="shared" si="38"/>
        <v>0</v>
      </c>
      <c r="AG199" s="640">
        <f t="shared" si="39"/>
        <v>0</v>
      </c>
      <c r="AJ199" s="465">
        <f t="shared" si="40"/>
        <v>0</v>
      </c>
      <c r="AK199" s="646">
        <f t="shared" si="33"/>
        <v>0</v>
      </c>
    </row>
    <row r="200" spans="1:38">
      <c r="A200" s="250">
        <v>37.091942323122026</v>
      </c>
      <c r="B200" s="248">
        <f>'Revenues &amp; Expenses'!AX208</f>
        <v>42644</v>
      </c>
      <c r="C200" s="250">
        <f>'PJM Curve Simulation'!J208</f>
        <v>31.575000381469728</v>
      </c>
      <c r="D200" s="250">
        <f t="shared" si="34"/>
        <v>48.683284951470192</v>
      </c>
      <c r="F200" s="250">
        <f>('Fuel Curve Simulation'!J208*'Revenues &amp; Expenses'!$S$2/1000)</f>
        <v>45.551448103448273</v>
      </c>
      <c r="G200" s="250">
        <f>'Revenues &amp; Expenses'!$AM$5*1000*'Revenues &amp; Expenses'!O208</f>
        <v>3.1318368480219214</v>
      </c>
      <c r="H200" s="247">
        <f t="shared" si="32"/>
        <v>191</v>
      </c>
      <c r="I200" s="247">
        <f t="shared" si="35"/>
        <v>0</v>
      </c>
      <c r="J200" s="247">
        <v>315</v>
      </c>
      <c r="K200" s="391">
        <f>IF(I200&gt;0,J200*'Revenues &amp; Expenses'!F208*16,0)</f>
        <v>0</v>
      </c>
      <c r="L200" s="540">
        <f>K200*'Revenues &amp; Expenses'!N208</f>
        <v>0</v>
      </c>
      <c r="M200" s="391"/>
      <c r="N200" s="391"/>
      <c r="AC200" s="637">
        <f t="shared" si="36"/>
        <v>42644</v>
      </c>
      <c r="AD200" s="465">
        <f t="shared" si="41"/>
        <v>191</v>
      </c>
      <c r="AE200" s="465">
        <f t="shared" si="37"/>
        <v>0</v>
      </c>
      <c r="AF200" s="465">
        <f t="shared" si="38"/>
        <v>0</v>
      </c>
      <c r="AG200" s="640">
        <f t="shared" si="39"/>
        <v>0</v>
      </c>
      <c r="AJ200" s="465">
        <f t="shared" si="40"/>
        <v>0</v>
      </c>
      <c r="AK200" s="646">
        <f t="shared" si="33"/>
        <v>0</v>
      </c>
    </row>
    <row r="201" spans="1:38">
      <c r="A201" s="250">
        <v>37.210303097267158</v>
      </c>
      <c r="B201" s="248">
        <f>'Revenues &amp; Expenses'!AX209</f>
        <v>42675</v>
      </c>
      <c r="C201" s="250">
        <f>'PJM Curve Simulation'!J209</f>
        <v>31.247499084472658</v>
      </c>
      <c r="D201" s="250">
        <f t="shared" si="34"/>
        <v>49.162589650633535</v>
      </c>
      <c r="F201" s="250">
        <f>('Fuel Curve Simulation'!J209*'Revenues &amp; Expenses'!$S$2/1000)</f>
        <v>46.023791896551728</v>
      </c>
      <c r="G201" s="250">
        <f>'Revenues &amp; Expenses'!$AM$5*1000*'Revenues &amp; Expenses'!O209</f>
        <v>3.1387977540818088</v>
      </c>
      <c r="H201" s="247">
        <f t="shared" si="32"/>
        <v>192</v>
      </c>
      <c r="I201" s="247">
        <f t="shared" si="35"/>
        <v>0</v>
      </c>
      <c r="J201" s="247">
        <v>315</v>
      </c>
      <c r="K201" s="391">
        <f>IF(I201&gt;0,J201*'Revenues &amp; Expenses'!F209*16,0)</f>
        <v>0</v>
      </c>
      <c r="L201" s="540">
        <f>K201*'Revenues &amp; Expenses'!N209</f>
        <v>0</v>
      </c>
      <c r="M201" s="391"/>
      <c r="N201" s="391"/>
      <c r="AC201" s="637">
        <f t="shared" si="36"/>
        <v>42675</v>
      </c>
      <c r="AD201" s="465">
        <f t="shared" si="41"/>
        <v>192</v>
      </c>
      <c r="AE201" s="465">
        <f t="shared" si="37"/>
        <v>0</v>
      </c>
      <c r="AF201" s="465">
        <f t="shared" si="38"/>
        <v>0</v>
      </c>
      <c r="AG201" s="640">
        <f t="shared" si="39"/>
        <v>0</v>
      </c>
      <c r="AJ201" s="465">
        <f t="shared" si="40"/>
        <v>0</v>
      </c>
      <c r="AK201" s="646">
        <f t="shared" si="33"/>
        <v>0</v>
      </c>
    </row>
    <row r="202" spans="1:38">
      <c r="A202" s="250">
        <v>39.79680791967747</v>
      </c>
      <c r="B202" s="248">
        <f>'Revenues &amp; Expenses'!AX210</f>
        <v>42705</v>
      </c>
      <c r="C202" s="250">
        <f>'PJM Curve Simulation'!J210</f>
        <v>32.999999618530275</v>
      </c>
      <c r="D202" s="250">
        <f t="shared" si="34"/>
        <v>49.579150855779432</v>
      </c>
      <c r="F202" s="250">
        <f>('Fuel Curve Simulation'!J210*'Revenues &amp; Expenses'!$S$2/1000)</f>
        <v>46.433376724137936</v>
      </c>
      <c r="G202" s="250">
        <f>'Revenues &amp; Expenses'!$AM$5*1000*'Revenues &amp; Expenses'!O210</f>
        <v>3.1457741316414971</v>
      </c>
      <c r="H202" s="247">
        <f t="shared" si="32"/>
        <v>193</v>
      </c>
      <c r="I202" s="247">
        <f t="shared" si="35"/>
        <v>0</v>
      </c>
      <c r="J202" s="247">
        <v>315</v>
      </c>
      <c r="K202" s="391">
        <f>IF(I202&gt;0,J202*'Revenues &amp; Expenses'!F210*16,0)</f>
        <v>0</v>
      </c>
      <c r="L202" s="540">
        <f>K202*'Revenues &amp; Expenses'!N210</f>
        <v>0</v>
      </c>
      <c r="M202" s="391">
        <f>SUM(L191:L202)</f>
        <v>100626.30508689827</v>
      </c>
      <c r="N202" s="391">
        <f>SUM(K191:K202)</f>
        <v>332640</v>
      </c>
      <c r="AC202" s="637">
        <f t="shared" si="36"/>
        <v>42705</v>
      </c>
      <c r="AD202" s="465">
        <f t="shared" si="41"/>
        <v>193</v>
      </c>
      <c r="AE202" s="465">
        <f t="shared" si="37"/>
        <v>0</v>
      </c>
      <c r="AF202" s="465">
        <f t="shared" si="38"/>
        <v>0</v>
      </c>
      <c r="AG202" s="640">
        <f t="shared" si="39"/>
        <v>0</v>
      </c>
      <c r="AH202" s="640">
        <f>IF(SUM(AF191:AF202)=0,0,SUM(AE191:AE202)/SUM(AF191:AF202))</f>
        <v>98.169529713797544</v>
      </c>
      <c r="AJ202" s="465">
        <f t="shared" si="40"/>
        <v>0</v>
      </c>
      <c r="AK202" s="646">
        <f t="shared" si="33"/>
        <v>0</v>
      </c>
      <c r="AL202" s="646">
        <f>IF(SUM(AF191:AF202)=0,0,SUM(AJ191:AJ202)/SUM(AF191:AF202))</f>
        <v>46.103592041008227</v>
      </c>
    </row>
    <row r="203" spans="1:38">
      <c r="A203" s="250">
        <v>50.980001055306772</v>
      </c>
      <c r="B203" s="248">
        <f>'Revenues &amp; Expenses'!AX211</f>
        <v>42736</v>
      </c>
      <c r="C203" s="250">
        <f>'PJM Curve Simulation'!J211</f>
        <v>41.574998474121088</v>
      </c>
      <c r="D203" s="250">
        <f t="shared" si="34"/>
        <v>49.037827566812524</v>
      </c>
      <c r="F203" s="250">
        <f>('Fuel Curve Simulation'!J211*'Revenues &amp; Expenses'!$S$2/1000)</f>
        <v>45.885061551724156</v>
      </c>
      <c r="G203" s="250">
        <f>'Revenues &amp; Expenses'!$AM$5*1000*'Revenues &amp; Expenses'!O211</f>
        <v>3.1527660150883667</v>
      </c>
      <c r="H203" s="247">
        <f t="shared" si="32"/>
        <v>194</v>
      </c>
      <c r="I203" s="247">
        <f t="shared" si="35"/>
        <v>0</v>
      </c>
      <c r="J203" s="247">
        <v>315</v>
      </c>
      <c r="K203" s="391">
        <f>IF(I203&gt;0,J203*'Revenues &amp; Expenses'!F211*16,0)</f>
        <v>0</v>
      </c>
      <c r="L203" s="540">
        <f>K203*'Revenues &amp; Expenses'!N211</f>
        <v>0</v>
      </c>
      <c r="M203" s="391"/>
      <c r="N203" s="391"/>
      <c r="AC203" s="637">
        <f t="shared" si="36"/>
        <v>42736</v>
      </c>
      <c r="AD203" s="465">
        <f t="shared" si="41"/>
        <v>194</v>
      </c>
      <c r="AE203" s="465">
        <f t="shared" si="37"/>
        <v>0</v>
      </c>
      <c r="AF203" s="465">
        <f t="shared" si="38"/>
        <v>0</v>
      </c>
      <c r="AG203" s="640">
        <f t="shared" si="39"/>
        <v>0</v>
      </c>
      <c r="AJ203" s="465">
        <f t="shared" si="40"/>
        <v>0</v>
      </c>
      <c r="AK203" s="646">
        <f t="shared" si="33"/>
        <v>0</v>
      </c>
    </row>
    <row r="204" spans="1:38">
      <c r="A204" s="250">
        <v>50.980001055306772</v>
      </c>
      <c r="B204" s="248">
        <f>'Revenues &amp; Expenses'!AX212</f>
        <v>42767</v>
      </c>
      <c r="C204" s="250">
        <f>'PJM Curve Simulation'!J212</f>
        <v>41.574998474121088</v>
      </c>
      <c r="D204" s="250">
        <f t="shared" si="34"/>
        <v>48.09519274923106</v>
      </c>
      <c r="F204" s="250">
        <f>('Fuel Curve Simulation'!J212*'Revenues &amp; Expenses'!$S$2/1000)</f>
        <v>44.935419310344834</v>
      </c>
      <c r="G204" s="250">
        <f>'Revenues &amp; Expenses'!$AM$5*1000*'Revenues &amp; Expenses'!O212</f>
        <v>3.1597734388862238</v>
      </c>
      <c r="H204" s="247">
        <f t="shared" ref="H204:H250" si="42">H203+1</f>
        <v>195</v>
      </c>
      <c r="I204" s="247">
        <f t="shared" si="35"/>
        <v>0</v>
      </c>
      <c r="J204" s="247">
        <v>315</v>
      </c>
      <c r="K204" s="391">
        <f>IF(I204&gt;0,J204*'Revenues &amp; Expenses'!F212*16,0)</f>
        <v>0</v>
      </c>
      <c r="L204" s="540">
        <f>K204*'Revenues &amp; Expenses'!N212</f>
        <v>0</v>
      </c>
      <c r="M204" s="391"/>
      <c r="N204" s="391"/>
      <c r="AC204" s="637">
        <f t="shared" si="36"/>
        <v>42767</v>
      </c>
      <c r="AD204" s="465">
        <f t="shared" si="41"/>
        <v>195</v>
      </c>
      <c r="AE204" s="465">
        <f t="shared" si="37"/>
        <v>0</v>
      </c>
      <c r="AF204" s="465">
        <f t="shared" si="38"/>
        <v>0</v>
      </c>
      <c r="AG204" s="640">
        <f t="shared" si="39"/>
        <v>0</v>
      </c>
      <c r="AJ204" s="465">
        <f t="shared" si="40"/>
        <v>0</v>
      </c>
      <c r="AK204" s="646">
        <f t="shared" si="33"/>
        <v>0</v>
      </c>
    </row>
    <row r="205" spans="1:38">
      <c r="A205" s="250">
        <v>38.067843427906041</v>
      </c>
      <c r="B205" s="248">
        <f>'Revenues &amp; Expenses'!AX213</f>
        <v>42795</v>
      </c>
      <c r="C205" s="250">
        <f>'PJM Curve Simulation'!J213</f>
        <v>31.300000762939455</v>
      </c>
      <c r="D205" s="250">
        <f t="shared" si="34"/>
        <v>47.172392127230658</v>
      </c>
      <c r="F205" s="250">
        <f>('Fuel Curve Simulation'!J213*'Revenues &amp; Expenses'!$S$2/1000)</f>
        <v>44.005595689655181</v>
      </c>
      <c r="G205" s="250">
        <f>'Revenues &amp; Expenses'!$AM$5*1000*'Revenues &amp; Expenses'!O213</f>
        <v>3.1667964375754769</v>
      </c>
      <c r="H205" s="247">
        <f t="shared" si="42"/>
        <v>196</v>
      </c>
      <c r="I205" s="247">
        <f t="shared" si="35"/>
        <v>0</v>
      </c>
      <c r="J205" s="247">
        <v>315</v>
      </c>
      <c r="K205" s="391">
        <f>IF(I205&gt;0,J205*'Revenues &amp; Expenses'!F213*16,0)</f>
        <v>0</v>
      </c>
      <c r="L205" s="540">
        <f>K205*'Revenues &amp; Expenses'!N213</f>
        <v>0</v>
      </c>
      <c r="M205" s="391"/>
      <c r="N205" s="391"/>
      <c r="AC205" s="637">
        <f t="shared" si="36"/>
        <v>42795</v>
      </c>
      <c r="AD205" s="465">
        <f t="shared" si="41"/>
        <v>196</v>
      </c>
      <c r="AE205" s="465">
        <f t="shared" si="37"/>
        <v>0</v>
      </c>
      <c r="AF205" s="465">
        <f t="shared" si="38"/>
        <v>0</v>
      </c>
      <c r="AG205" s="640">
        <f t="shared" si="39"/>
        <v>0</v>
      </c>
      <c r="AJ205" s="465">
        <f t="shared" si="40"/>
        <v>0</v>
      </c>
      <c r="AK205" s="646">
        <f t="shared" si="33"/>
        <v>0</v>
      </c>
    </row>
    <row r="206" spans="1:38">
      <c r="A206" s="250">
        <v>35.250309039532141</v>
      </c>
      <c r="B206" s="248">
        <f>'Revenues &amp; Expenses'!AX214</f>
        <v>42826</v>
      </c>
      <c r="C206" s="250">
        <f>'PJM Curve Simulation'!J214</f>
        <v>31.075000762939453</v>
      </c>
      <c r="D206" s="250">
        <f t="shared" si="34"/>
        <v>46.22153073542848</v>
      </c>
      <c r="F206" s="250">
        <f>('Fuel Curve Simulation'!J214*'Revenues &amp; Expenses'!$S$2/1000)</f>
        <v>43.047695689655178</v>
      </c>
      <c r="G206" s="250">
        <f>'Revenues &amp; Expenses'!$AM$5*1000*'Revenues &amp; Expenses'!O214</f>
        <v>3.1738350457733051</v>
      </c>
      <c r="H206" s="247">
        <f t="shared" si="42"/>
        <v>197</v>
      </c>
      <c r="I206" s="247">
        <f t="shared" si="35"/>
        <v>0</v>
      </c>
      <c r="J206" s="247">
        <v>315</v>
      </c>
      <c r="K206" s="391">
        <f>IF(I206&gt;0,J206*'Revenues &amp; Expenses'!F214*16,0)</f>
        <v>0</v>
      </c>
      <c r="L206" s="540">
        <f>K206*'Revenues &amp; Expenses'!N214</f>
        <v>0</v>
      </c>
      <c r="M206" s="391"/>
      <c r="N206" s="391"/>
      <c r="AC206" s="637">
        <f t="shared" si="36"/>
        <v>42826</v>
      </c>
      <c r="AD206" s="465">
        <f t="shared" si="41"/>
        <v>197</v>
      </c>
      <c r="AE206" s="465">
        <f t="shared" si="37"/>
        <v>0</v>
      </c>
      <c r="AF206" s="465">
        <f t="shared" si="38"/>
        <v>0</v>
      </c>
      <c r="AG206" s="640">
        <f t="shared" si="39"/>
        <v>0</v>
      </c>
      <c r="AJ206" s="465">
        <f t="shared" si="40"/>
        <v>0</v>
      </c>
      <c r="AK206" s="646">
        <f t="shared" si="33"/>
        <v>0</v>
      </c>
    </row>
    <row r="207" spans="1:38">
      <c r="A207" s="250">
        <v>42.896698610102575</v>
      </c>
      <c r="B207" s="248">
        <f>'Revenues &amp; Expenses'!AX215</f>
        <v>42856</v>
      </c>
      <c r="C207" s="250">
        <f>'PJM Curve Simulation'!J215</f>
        <v>39.075000000000003</v>
      </c>
      <c r="D207" s="250">
        <f t="shared" si="34"/>
        <v>45.584479815415214</v>
      </c>
      <c r="F207" s="250">
        <f>('Fuel Curve Simulation'!J215*'Revenues &amp; Expenses'!$S$2/1000)</f>
        <v>42.403590517241383</v>
      </c>
      <c r="G207" s="250">
        <f>'Revenues &amp; Expenses'!$AM$5*1000*'Revenues &amp; Expenses'!O215</f>
        <v>3.1808892981738279</v>
      </c>
      <c r="H207" s="247">
        <f t="shared" si="42"/>
        <v>198</v>
      </c>
      <c r="I207" s="247">
        <f t="shared" si="35"/>
        <v>0</v>
      </c>
      <c r="J207" s="247">
        <v>315</v>
      </c>
      <c r="K207" s="391">
        <f>IF(I207&gt;0,J207*'Revenues &amp; Expenses'!F215*16,0)</f>
        <v>0</v>
      </c>
      <c r="L207" s="540">
        <f>K207*'Revenues &amp; Expenses'!N215</f>
        <v>0</v>
      </c>
      <c r="M207" s="391"/>
      <c r="N207" s="391"/>
      <c r="AC207" s="637">
        <f t="shared" si="36"/>
        <v>42856</v>
      </c>
      <c r="AD207" s="465">
        <f t="shared" si="41"/>
        <v>198</v>
      </c>
      <c r="AE207" s="465">
        <f t="shared" si="37"/>
        <v>0</v>
      </c>
      <c r="AF207" s="465">
        <f t="shared" si="38"/>
        <v>0</v>
      </c>
      <c r="AG207" s="640">
        <f t="shared" si="39"/>
        <v>0</v>
      </c>
      <c r="AJ207" s="465">
        <f t="shared" si="40"/>
        <v>0</v>
      </c>
      <c r="AK207" s="646">
        <f t="shared" si="33"/>
        <v>0</v>
      </c>
    </row>
    <row r="208" spans="1:38">
      <c r="A208" s="250">
        <v>83.416521205645296</v>
      </c>
      <c r="B208" s="248">
        <f>'Revenues &amp; Expenses'!AX216</f>
        <v>42887</v>
      </c>
      <c r="C208" s="250">
        <f>'PJM Curve Simulation'!J216</f>
        <v>67.599998474121094</v>
      </c>
      <c r="D208" s="250">
        <f t="shared" si="34"/>
        <v>45.528790781272427</v>
      </c>
      <c r="F208" s="250">
        <f>('Fuel Curve Simulation'!J216*'Revenues &amp; Expenses'!$S$2/1000)</f>
        <v>42.34083155172415</v>
      </c>
      <c r="G208" s="250">
        <f>'Revenues &amp; Expenses'!$AM$5*1000*'Revenues &amp; Expenses'!O216</f>
        <v>3.1879592295482775</v>
      </c>
      <c r="H208" s="247">
        <f t="shared" si="42"/>
        <v>199</v>
      </c>
      <c r="I208" s="247">
        <f t="shared" si="35"/>
        <v>1</v>
      </c>
      <c r="J208" s="247">
        <v>315</v>
      </c>
      <c r="K208" s="391">
        <f>IF(I208&gt;0,J208*'Revenues &amp; Expenses'!F216*16,0)</f>
        <v>105840</v>
      </c>
      <c r="L208" s="540">
        <f>K208*'Revenues &amp; Expenses'!N216</f>
        <v>29981.919608776636</v>
      </c>
      <c r="M208" s="391"/>
      <c r="N208" s="391"/>
      <c r="AC208" s="637">
        <f t="shared" si="36"/>
        <v>42887</v>
      </c>
      <c r="AD208" s="465">
        <f t="shared" si="41"/>
        <v>199</v>
      </c>
      <c r="AE208" s="465">
        <f t="shared" si="37"/>
        <v>2026777.7198045219</v>
      </c>
      <c r="AF208" s="465">
        <f t="shared" si="38"/>
        <v>29981.919608776636</v>
      </c>
      <c r="AG208" s="640">
        <f t="shared" si="39"/>
        <v>67.599998474121094</v>
      </c>
      <c r="AJ208" s="465">
        <f t="shared" si="40"/>
        <v>1365040.5450889207</v>
      </c>
      <c r="AK208" s="646">
        <f t="shared" si="33"/>
        <v>45.528790781272427</v>
      </c>
    </row>
    <row r="209" spans="1:38">
      <c r="A209" s="250">
        <v>161.11316517780077</v>
      </c>
      <c r="B209" s="248">
        <f>'Revenues &amp; Expenses'!AX217</f>
        <v>42917</v>
      </c>
      <c r="C209" s="250">
        <f>'PJM Curve Simulation'!J217</f>
        <v>122.69999694824219</v>
      </c>
      <c r="D209" s="250">
        <f t="shared" si="34"/>
        <v>46.084191598883109</v>
      </c>
      <c r="F209" s="250">
        <f>('Fuel Curve Simulation'!J217*'Revenues &amp; Expenses'!$S$2/1000)</f>
        <v>42.889146724137937</v>
      </c>
      <c r="G209" s="250">
        <f>'Revenues &amp; Expenses'!$AM$5*1000*'Revenues &amp; Expenses'!O217</f>
        <v>3.1950448747451694</v>
      </c>
      <c r="H209" s="247">
        <f t="shared" si="42"/>
        <v>200</v>
      </c>
      <c r="I209" s="247">
        <f t="shared" si="35"/>
        <v>1</v>
      </c>
      <c r="J209" s="247">
        <v>315</v>
      </c>
      <c r="K209" s="391">
        <f>IF(I209&gt;0,J209*'Revenues &amp; Expenses'!F217*16,0)</f>
        <v>110880</v>
      </c>
      <c r="L209" s="540">
        <f>K209*'Revenues &amp; Expenses'!N217</f>
        <v>31225.410040443174</v>
      </c>
      <c r="M209" s="391"/>
      <c r="N209" s="391"/>
      <c r="AC209" s="637">
        <f t="shared" si="36"/>
        <v>42917</v>
      </c>
      <c r="AD209" s="465">
        <f t="shared" si="41"/>
        <v>200</v>
      </c>
      <c r="AE209" s="465">
        <f t="shared" si="37"/>
        <v>3831357.7166699884</v>
      </c>
      <c r="AF209" s="465">
        <f t="shared" si="38"/>
        <v>31225.410040443174</v>
      </c>
      <c r="AG209" s="640">
        <f t="shared" si="39"/>
        <v>122.69999694824219</v>
      </c>
      <c r="AJ209" s="465">
        <f t="shared" si="40"/>
        <v>1438997.7790574715</v>
      </c>
      <c r="AK209" s="646">
        <f t="shared" si="33"/>
        <v>46.084191598883109</v>
      </c>
    </row>
    <row r="210" spans="1:38">
      <c r="A210" s="250">
        <v>134.63918230587652</v>
      </c>
      <c r="B210" s="248">
        <f>'Revenues &amp; Expenses'!AX218</f>
        <v>42948</v>
      </c>
      <c r="C210" s="250">
        <f>'PJM Curve Simulation'!J218</f>
        <v>109.69999694824219</v>
      </c>
      <c r="D210" s="250">
        <f t="shared" si="34"/>
        <v>46.958357648000835</v>
      </c>
      <c r="F210" s="250">
        <f>('Fuel Curve Simulation'!J218*'Revenues &amp; Expenses'!$S$2/1000)</f>
        <v>43.756211379310358</v>
      </c>
      <c r="G210" s="250">
        <f>'Revenues &amp; Expenses'!$AM$5*1000*'Revenues &amp; Expenses'!O218</f>
        <v>3.2021462686904743</v>
      </c>
      <c r="H210" s="247">
        <f t="shared" si="42"/>
        <v>201</v>
      </c>
      <c r="I210" s="247">
        <f t="shared" si="35"/>
        <v>1</v>
      </c>
      <c r="J210" s="247">
        <v>315</v>
      </c>
      <c r="K210" s="391">
        <f>IF(I210&gt;0,J210*'Revenues &amp; Expenses'!F218*16,0)</f>
        <v>115920</v>
      </c>
      <c r="L210" s="540">
        <f>K210*'Revenues &amp; Expenses'!N218</f>
        <v>32446.9470562063</v>
      </c>
      <c r="M210" s="391"/>
      <c r="N210" s="391"/>
      <c r="AC210" s="637">
        <f t="shared" si="36"/>
        <v>42948</v>
      </c>
      <c r="AD210" s="465">
        <f t="shared" si="41"/>
        <v>201</v>
      </c>
      <c r="AE210" s="465">
        <f t="shared" si="37"/>
        <v>3559429.9930456071</v>
      </c>
      <c r="AF210" s="465">
        <f t="shared" si="38"/>
        <v>32446.9470562063</v>
      </c>
      <c r="AG210" s="640">
        <f t="shared" si="39"/>
        <v>109.69999694824219</v>
      </c>
      <c r="AJ210" s="465">
        <f t="shared" si="40"/>
        <v>1523655.3444510833</v>
      </c>
      <c r="AK210" s="646">
        <f t="shared" si="33"/>
        <v>46.958357648000835</v>
      </c>
    </row>
    <row r="211" spans="1:38">
      <c r="A211" s="250">
        <v>46.116286483886782</v>
      </c>
      <c r="B211" s="248">
        <f>'Revenues &amp; Expenses'!AX219</f>
        <v>42979</v>
      </c>
      <c r="C211" s="250">
        <f>'PJM Curve Simulation'!J219</f>
        <v>39.924998474121097</v>
      </c>
      <c r="D211" s="250">
        <f t="shared" si="34"/>
        <v>47.873828273974006</v>
      </c>
      <c r="F211" s="250">
        <f>('Fuel Curve Simulation'!J219*'Revenues &amp; Expenses'!$S$2/1000)</f>
        <v>44.664564827586219</v>
      </c>
      <c r="G211" s="250">
        <f>'Revenues &amp; Expenses'!$AM$5*1000*'Revenues &amp; Expenses'!O219</f>
        <v>3.2092634463877894</v>
      </c>
      <c r="H211" s="247">
        <f t="shared" si="42"/>
        <v>202</v>
      </c>
      <c r="I211" s="247">
        <f t="shared" si="35"/>
        <v>0</v>
      </c>
      <c r="J211" s="247">
        <v>315</v>
      </c>
      <c r="K211" s="391">
        <f>IF(I211&gt;0,J211*'Revenues &amp; Expenses'!F219*16,0)</f>
        <v>0</v>
      </c>
      <c r="L211" s="540">
        <f>K211*'Revenues &amp; Expenses'!N219</f>
        <v>0</v>
      </c>
      <c r="M211" s="391"/>
      <c r="N211" s="391"/>
      <c r="AC211" s="637">
        <f t="shared" si="36"/>
        <v>42979</v>
      </c>
      <c r="AD211" s="465">
        <f t="shared" si="41"/>
        <v>202</v>
      </c>
      <c r="AE211" s="465">
        <f t="shared" si="37"/>
        <v>0</v>
      </c>
      <c r="AF211" s="465">
        <f t="shared" si="38"/>
        <v>0</v>
      </c>
      <c r="AG211" s="640">
        <f t="shared" si="39"/>
        <v>0</v>
      </c>
      <c r="AJ211" s="465">
        <f t="shared" si="40"/>
        <v>0</v>
      </c>
      <c r="AK211" s="646">
        <f t="shared" si="33"/>
        <v>0</v>
      </c>
    </row>
    <row r="212" spans="1:38">
      <c r="A212" s="250">
        <v>37.385623573122025</v>
      </c>
      <c r="B212" s="248">
        <f>'Revenues &amp; Expenses'!AX220</f>
        <v>43009</v>
      </c>
      <c r="C212" s="250">
        <f>'PJM Curve Simulation'!J220</f>
        <v>31.825000381469728</v>
      </c>
      <c r="D212" s="250">
        <f t="shared" si="34"/>
        <v>48.767844546366788</v>
      </c>
      <c r="F212" s="250">
        <f>('Fuel Curve Simulation'!J220*'Revenues &amp; Expenses'!$S$2/1000)</f>
        <v>45.551448103448273</v>
      </c>
      <c r="G212" s="250">
        <f>'Revenues &amp; Expenses'!$AM$5*1000*'Revenues &amp; Expenses'!O220</f>
        <v>3.2163964429185135</v>
      </c>
      <c r="H212" s="247">
        <f t="shared" si="42"/>
        <v>203</v>
      </c>
      <c r="I212" s="247">
        <f t="shared" si="35"/>
        <v>0</v>
      </c>
      <c r="J212" s="247">
        <v>315</v>
      </c>
      <c r="K212" s="391">
        <f>IF(I212&gt;0,J212*'Revenues &amp; Expenses'!F220*16,0)</f>
        <v>0</v>
      </c>
      <c r="L212" s="540">
        <f>K212*'Revenues &amp; Expenses'!N220</f>
        <v>0</v>
      </c>
      <c r="M212" s="391"/>
      <c r="N212" s="391"/>
      <c r="AC212" s="637">
        <f t="shared" si="36"/>
        <v>43009</v>
      </c>
      <c r="AD212" s="465">
        <f t="shared" si="41"/>
        <v>203</v>
      </c>
      <c r="AE212" s="465">
        <f t="shared" si="37"/>
        <v>0</v>
      </c>
      <c r="AF212" s="465">
        <f t="shared" si="38"/>
        <v>0</v>
      </c>
      <c r="AG212" s="640">
        <f t="shared" si="39"/>
        <v>0</v>
      </c>
      <c r="AJ212" s="465">
        <f t="shared" si="40"/>
        <v>0</v>
      </c>
      <c r="AK212" s="646">
        <f t="shared" si="33"/>
        <v>0</v>
      </c>
    </row>
    <row r="213" spans="1:38">
      <c r="A213" s="250">
        <v>37.508009347267155</v>
      </c>
      <c r="B213" s="248">
        <f>'Revenues &amp; Expenses'!AX221</f>
        <v>43040</v>
      </c>
      <c r="C213" s="250">
        <f>'PJM Curve Simulation'!J221</f>
        <v>31.497499084472658</v>
      </c>
      <c r="D213" s="250">
        <f t="shared" si="34"/>
        <v>49.247337189993743</v>
      </c>
      <c r="F213" s="250">
        <f>('Fuel Curve Simulation'!J221*'Revenues &amp; Expenses'!$S$2/1000)</f>
        <v>46.023791896551728</v>
      </c>
      <c r="G213" s="250">
        <f>'Revenues &amp; Expenses'!$AM$5*1000*'Revenues &amp; Expenses'!O221</f>
        <v>3.2235452934420175</v>
      </c>
      <c r="H213" s="247">
        <f t="shared" si="42"/>
        <v>204</v>
      </c>
      <c r="I213" s="247">
        <f t="shared" si="35"/>
        <v>0</v>
      </c>
      <c r="J213" s="247">
        <v>315</v>
      </c>
      <c r="K213" s="391">
        <f>IF(I213&gt;0,J213*'Revenues &amp; Expenses'!F221*16,0)</f>
        <v>0</v>
      </c>
      <c r="L213" s="540">
        <f>K213*'Revenues &amp; Expenses'!N221</f>
        <v>0</v>
      </c>
      <c r="M213" s="391"/>
      <c r="N213" s="391"/>
      <c r="AC213" s="637">
        <f t="shared" si="36"/>
        <v>43040</v>
      </c>
      <c r="AD213" s="465">
        <f t="shared" si="41"/>
        <v>204</v>
      </c>
      <c r="AE213" s="465">
        <f t="shared" si="37"/>
        <v>0</v>
      </c>
      <c r="AF213" s="465">
        <f t="shared" si="38"/>
        <v>0</v>
      </c>
      <c r="AG213" s="640">
        <f t="shared" si="39"/>
        <v>0</v>
      </c>
      <c r="AJ213" s="465">
        <f t="shared" si="40"/>
        <v>0</v>
      </c>
      <c r="AK213" s="646">
        <f t="shared" si="33"/>
        <v>0</v>
      </c>
    </row>
    <row r="214" spans="1:38">
      <c r="A214" s="250">
        <v>40.09829889225108</v>
      </c>
      <c r="B214" s="248">
        <f>'Revenues &amp; Expenses'!AX222</f>
        <v>43070</v>
      </c>
      <c r="C214" s="250">
        <f>'PJM Curve Simulation'!J222</f>
        <v>33.249999618530275</v>
      </c>
      <c r="D214" s="250">
        <f t="shared" si="34"/>
        <v>49.664086757333756</v>
      </c>
      <c r="F214" s="250">
        <f>('Fuel Curve Simulation'!J222*'Revenues &amp; Expenses'!$S$2/1000)</f>
        <v>46.433376724137936</v>
      </c>
      <c r="G214" s="250">
        <f>'Revenues &amp; Expenses'!$AM$5*1000*'Revenues &amp; Expenses'!O222</f>
        <v>3.2307100331958174</v>
      </c>
      <c r="H214" s="247">
        <f t="shared" si="42"/>
        <v>205</v>
      </c>
      <c r="I214" s="247">
        <f t="shared" si="35"/>
        <v>0</v>
      </c>
      <c r="J214" s="247">
        <v>315</v>
      </c>
      <c r="K214" s="391">
        <f>IF(I214&gt;0,J214*'Revenues &amp; Expenses'!F222*16,0)</f>
        <v>0</v>
      </c>
      <c r="L214" s="540">
        <f>K214*'Revenues &amp; Expenses'!N222</f>
        <v>0</v>
      </c>
      <c r="M214" s="391">
        <f>SUM(L203:L214)</f>
        <v>93654.276705426106</v>
      </c>
      <c r="N214" s="391">
        <f>SUM(K203:K214)</f>
        <v>332640</v>
      </c>
      <c r="AC214" s="637">
        <f t="shared" si="36"/>
        <v>43070</v>
      </c>
      <c r="AD214" s="465">
        <f t="shared" si="41"/>
        <v>205</v>
      </c>
      <c r="AE214" s="465">
        <f t="shared" si="37"/>
        <v>0</v>
      </c>
      <c r="AF214" s="465">
        <f t="shared" si="38"/>
        <v>0</v>
      </c>
      <c r="AG214" s="640">
        <f t="shared" si="39"/>
        <v>0</v>
      </c>
      <c r="AH214" s="640">
        <f>IF(SUM(AF203:AF214)=0,0,SUM(AE203:AE214)/SUM(AF203:AF214))</f>
        <v>100.55670451805952</v>
      </c>
      <c r="AJ214" s="465">
        <f t="shared" si="40"/>
        <v>0</v>
      </c>
      <c r="AK214" s="646">
        <f t="shared" si="33"/>
        <v>0</v>
      </c>
      <c r="AL214" s="646">
        <f>IF(SUM(AF203:AF214)=0,0,SUM(AJ203:AJ214)/SUM(AF203:AF214))</f>
        <v>46.20924768026893</v>
      </c>
    </row>
    <row r="215" spans="1:38">
      <c r="A215" s="250">
        <v>51.286555492627073</v>
      </c>
      <c r="B215" s="248">
        <f>'Revenues &amp; Expenses'!AX223</f>
        <v>43101</v>
      </c>
      <c r="C215" s="250">
        <f>'PJM Curve Simulation'!J223</f>
        <v>41.824998474121088</v>
      </c>
      <c r="D215" s="250">
        <f t="shared" si="34"/>
        <v>49.122952249219907</v>
      </c>
      <c r="F215" s="250">
        <f>('Fuel Curve Simulation'!J223*'Revenues &amp; Expenses'!$S$2/1000)</f>
        <v>45.885061551724156</v>
      </c>
      <c r="G215" s="250">
        <f>'Revenues &amp; Expenses'!$AM$5*1000*'Revenues &amp; Expenses'!O223</f>
        <v>3.2378906974957524</v>
      </c>
      <c r="H215" s="247">
        <f t="shared" si="42"/>
        <v>206</v>
      </c>
      <c r="I215" s="247">
        <f t="shared" si="35"/>
        <v>0</v>
      </c>
      <c r="J215" s="247">
        <v>315</v>
      </c>
      <c r="K215" s="391">
        <f>IF(I215&gt;0,J215*'Revenues &amp; Expenses'!F223*16,0)</f>
        <v>0</v>
      </c>
      <c r="L215" s="540">
        <f>K215*'Revenues &amp; Expenses'!N223</f>
        <v>0</v>
      </c>
      <c r="M215" s="391"/>
      <c r="N215" s="391"/>
      <c r="AC215" s="637">
        <f t="shared" si="36"/>
        <v>43101</v>
      </c>
      <c r="AD215" s="465">
        <f t="shared" si="41"/>
        <v>206</v>
      </c>
      <c r="AE215" s="465">
        <f t="shared" si="37"/>
        <v>0</v>
      </c>
      <c r="AF215" s="465">
        <f t="shared" si="38"/>
        <v>0</v>
      </c>
      <c r="AG215" s="640">
        <f t="shared" si="39"/>
        <v>0</v>
      </c>
      <c r="AJ215" s="465">
        <f t="shared" si="40"/>
        <v>0</v>
      </c>
      <c r="AK215" s="646">
        <f t="shared" si="33"/>
        <v>0</v>
      </c>
    </row>
    <row r="216" spans="1:38">
      <c r="A216" s="250">
        <v>51.286555492627073</v>
      </c>
      <c r="B216" s="248">
        <f>'Revenues &amp; Expenses'!AX224</f>
        <v>43132</v>
      </c>
      <c r="C216" s="250">
        <f>'PJM Curve Simulation'!J224</f>
        <v>41.824998474121088</v>
      </c>
      <c r="D216" s="250">
        <f t="shared" si="34"/>
        <v>48.180506632080984</v>
      </c>
      <c r="F216" s="250">
        <f>('Fuel Curve Simulation'!J224*'Revenues &amp; Expenses'!$S$2/1000)</f>
        <v>44.935419310344834</v>
      </c>
      <c r="G216" s="250">
        <f>'Revenues &amp; Expenses'!$AM$5*1000*'Revenues &amp; Expenses'!O224</f>
        <v>3.2450873217361518</v>
      </c>
      <c r="H216" s="247">
        <f t="shared" si="42"/>
        <v>207</v>
      </c>
      <c r="I216" s="247">
        <f t="shared" si="35"/>
        <v>0</v>
      </c>
      <c r="J216" s="247">
        <v>315</v>
      </c>
      <c r="K216" s="391">
        <f>IF(I216&gt;0,J216*'Revenues &amp; Expenses'!F224*16,0)</f>
        <v>0</v>
      </c>
      <c r="L216" s="540">
        <f>K216*'Revenues &amp; Expenses'!N224</f>
        <v>0</v>
      </c>
      <c r="M216" s="391"/>
      <c r="N216" s="391"/>
      <c r="AC216" s="637">
        <f t="shared" si="36"/>
        <v>43132</v>
      </c>
      <c r="AD216" s="465">
        <f t="shared" si="41"/>
        <v>207</v>
      </c>
      <c r="AE216" s="465">
        <f t="shared" si="37"/>
        <v>0</v>
      </c>
      <c r="AF216" s="465">
        <f t="shared" si="38"/>
        <v>0</v>
      </c>
      <c r="AG216" s="640">
        <f t="shared" si="39"/>
        <v>0</v>
      </c>
      <c r="AJ216" s="465">
        <f t="shared" si="40"/>
        <v>0</v>
      </c>
      <c r="AK216" s="646">
        <f t="shared" si="33"/>
        <v>0</v>
      </c>
    </row>
    <row r="217" spans="1:38">
      <c r="A217" s="250">
        <v>38.371899677906043</v>
      </c>
      <c r="B217" s="248">
        <f>'Revenues &amp; Expenses'!AX225</f>
        <v>43160</v>
      </c>
      <c r="C217" s="250">
        <f>'PJM Curve Simulation'!J225</f>
        <v>31.550000762939455</v>
      </c>
      <c r="D217" s="250">
        <f t="shared" si="34"/>
        <v>47.257895631045194</v>
      </c>
      <c r="F217" s="250">
        <f>('Fuel Curve Simulation'!J225*'Revenues &amp; Expenses'!$S$2/1000)</f>
        <v>44.005595689655181</v>
      </c>
      <c r="G217" s="250">
        <f>'Revenues &amp; Expenses'!$AM$5*1000*'Revenues &amp; Expenses'!O225</f>
        <v>3.2522999413900147</v>
      </c>
      <c r="H217" s="247">
        <f t="shared" si="42"/>
        <v>208</v>
      </c>
      <c r="I217" s="247">
        <f t="shared" si="35"/>
        <v>0</v>
      </c>
      <c r="J217" s="247">
        <v>315</v>
      </c>
      <c r="K217" s="391">
        <f>IF(I217&gt;0,J217*'Revenues &amp; Expenses'!F225*16,0)</f>
        <v>0</v>
      </c>
      <c r="L217" s="540">
        <f>K217*'Revenues &amp; Expenses'!N225</f>
        <v>0</v>
      </c>
      <c r="M217" s="391"/>
      <c r="N217" s="391"/>
      <c r="AC217" s="637">
        <f t="shared" si="36"/>
        <v>43160</v>
      </c>
      <c r="AD217" s="465">
        <f t="shared" si="41"/>
        <v>208</v>
      </c>
      <c r="AE217" s="465">
        <f t="shared" si="37"/>
        <v>0</v>
      </c>
      <c r="AF217" s="465">
        <f t="shared" si="38"/>
        <v>0</v>
      </c>
      <c r="AG217" s="640">
        <f t="shared" si="39"/>
        <v>0</v>
      </c>
      <c r="AJ217" s="465">
        <f t="shared" si="40"/>
        <v>0</v>
      </c>
      <c r="AK217" s="646">
        <f t="shared" si="33"/>
        <v>0</v>
      </c>
    </row>
    <row r="218" spans="1:38">
      <c r="A218" s="250">
        <v>35.53389961213135</v>
      </c>
      <c r="B218" s="248">
        <f>'Revenues &amp; Expenses'!AX226</f>
        <v>43191</v>
      </c>
      <c r="C218" s="250">
        <f>'PJM Curve Simulation'!J226</f>
        <v>31.325000762939453</v>
      </c>
      <c r="D218" s="250">
        <f t="shared" si="34"/>
        <v>46.307224281664361</v>
      </c>
      <c r="F218" s="250">
        <f>('Fuel Curve Simulation'!J226*'Revenues &amp; Expenses'!$S$2/1000)</f>
        <v>43.047695689655178</v>
      </c>
      <c r="G218" s="250">
        <f>'Revenues &amp; Expenses'!$AM$5*1000*'Revenues &amp; Expenses'!O226</f>
        <v>3.2595285920091839</v>
      </c>
      <c r="H218" s="247">
        <f t="shared" si="42"/>
        <v>209</v>
      </c>
      <c r="I218" s="247">
        <f t="shared" si="35"/>
        <v>0</v>
      </c>
      <c r="J218" s="247">
        <v>315</v>
      </c>
      <c r="K218" s="391">
        <f>IF(I218&gt;0,J218*'Revenues &amp; Expenses'!F226*16,0)</f>
        <v>0</v>
      </c>
      <c r="L218" s="540">
        <f>K218*'Revenues &amp; Expenses'!N226</f>
        <v>0</v>
      </c>
      <c r="M218" s="391"/>
      <c r="N218" s="391"/>
      <c r="AC218" s="637">
        <f t="shared" si="36"/>
        <v>43191</v>
      </c>
      <c r="AD218" s="465">
        <f t="shared" si="41"/>
        <v>209</v>
      </c>
      <c r="AE218" s="465">
        <f t="shared" si="37"/>
        <v>0</v>
      </c>
      <c r="AF218" s="465">
        <f t="shared" si="38"/>
        <v>0</v>
      </c>
      <c r="AG218" s="640">
        <f t="shared" si="39"/>
        <v>0</v>
      </c>
      <c r="AJ218" s="465">
        <f t="shared" si="40"/>
        <v>0</v>
      </c>
      <c r="AK218" s="646">
        <f t="shared" si="33"/>
        <v>0</v>
      </c>
    </row>
    <row r="219" spans="1:38">
      <c r="A219" s="250">
        <v>43.171149656872267</v>
      </c>
      <c r="B219" s="248">
        <f>'Revenues &amp; Expenses'!AX227</f>
        <v>43221</v>
      </c>
      <c r="C219" s="250">
        <f>'PJM Curve Simulation'!J227</f>
        <v>39.325000000000003</v>
      </c>
      <c r="D219" s="250">
        <f t="shared" si="34"/>
        <v>45.670363826465902</v>
      </c>
      <c r="F219" s="250">
        <f>('Fuel Curve Simulation'!J227*'Revenues &amp; Expenses'!$S$2/1000)</f>
        <v>42.403590517241383</v>
      </c>
      <c r="G219" s="250">
        <f>'Revenues &amp; Expenses'!$AM$5*1000*'Revenues &amp; Expenses'!O227</f>
        <v>3.2667733092245212</v>
      </c>
      <c r="H219" s="247">
        <f t="shared" si="42"/>
        <v>210</v>
      </c>
      <c r="I219" s="247">
        <f t="shared" si="35"/>
        <v>0</v>
      </c>
      <c r="J219" s="247">
        <v>315</v>
      </c>
      <c r="K219" s="391">
        <f>IF(I219&gt;0,J219*'Revenues &amp; Expenses'!F227*16,0)</f>
        <v>0</v>
      </c>
      <c r="L219" s="540">
        <f>K219*'Revenues &amp; Expenses'!N227</f>
        <v>0</v>
      </c>
      <c r="M219" s="391"/>
      <c r="N219" s="391"/>
      <c r="AC219" s="637">
        <f t="shared" si="36"/>
        <v>43221</v>
      </c>
      <c r="AD219" s="465">
        <f t="shared" si="41"/>
        <v>210</v>
      </c>
      <c r="AE219" s="465">
        <f t="shared" si="37"/>
        <v>0</v>
      </c>
      <c r="AF219" s="465">
        <f t="shared" si="38"/>
        <v>0</v>
      </c>
      <c r="AG219" s="640">
        <f t="shared" si="39"/>
        <v>0</v>
      </c>
      <c r="AJ219" s="465">
        <f t="shared" si="40"/>
        <v>0</v>
      </c>
      <c r="AK219" s="646">
        <f t="shared" si="33"/>
        <v>0</v>
      </c>
    </row>
    <row r="220" spans="1:38">
      <c r="A220" s="250">
        <v>84.342000381923455</v>
      </c>
      <c r="B220" s="248">
        <f>'Revenues &amp; Expenses'!AX228</f>
        <v>43252</v>
      </c>
      <c r="C220" s="250">
        <f>'PJM Curve Simulation'!J228</f>
        <v>68.349998474121094</v>
      </c>
      <c r="D220" s="250">
        <f t="shared" si="34"/>
        <v>45.614865680470231</v>
      </c>
      <c r="F220" s="250">
        <f>('Fuel Curve Simulation'!J228*'Revenues &amp; Expenses'!$S$2/1000)</f>
        <v>42.34083155172415</v>
      </c>
      <c r="G220" s="250">
        <f>'Revenues &amp; Expenses'!$AM$5*1000*'Revenues &amp; Expenses'!O228</f>
        <v>3.2740341287460808</v>
      </c>
      <c r="H220" s="247">
        <f t="shared" si="42"/>
        <v>211</v>
      </c>
      <c r="I220" s="247">
        <f t="shared" si="35"/>
        <v>1</v>
      </c>
      <c r="J220" s="247">
        <v>315</v>
      </c>
      <c r="K220" s="391">
        <f>IF(I220&gt;0,J220*'Revenues &amp; Expenses'!F228*16,0)</f>
        <v>100800</v>
      </c>
      <c r="L220" s="540">
        <f>K220*'Revenues &amp; Expenses'!N228</f>
        <v>26583.472197314914</v>
      </c>
      <c r="M220" s="391"/>
      <c r="N220" s="391"/>
      <c r="AC220" s="637">
        <f t="shared" si="36"/>
        <v>43252</v>
      </c>
      <c r="AD220" s="465">
        <f t="shared" si="41"/>
        <v>211</v>
      </c>
      <c r="AE220" s="465">
        <f t="shared" si="37"/>
        <v>1816980.2841233148</v>
      </c>
      <c r="AF220" s="465">
        <f t="shared" si="38"/>
        <v>26583.472197314914</v>
      </c>
      <c r="AG220" s="640">
        <f t="shared" si="39"/>
        <v>68.349998474121094</v>
      </c>
      <c r="AJ220" s="465">
        <f t="shared" si="40"/>
        <v>1212601.5136010346</v>
      </c>
      <c r="AK220" s="646">
        <f t="shared" si="33"/>
        <v>45.614865680470231</v>
      </c>
    </row>
    <row r="221" spans="1:38">
      <c r="A221" s="250">
        <v>164.06756314574017</v>
      </c>
      <c r="B221" s="248">
        <f>'Revenues &amp; Expenses'!AX229</f>
        <v>43282</v>
      </c>
      <c r="C221" s="250">
        <f>'PJM Curve Simulation'!J229</f>
        <v>124.94999694824219</v>
      </c>
      <c r="D221" s="250">
        <f t="shared" si="34"/>
        <v>46.170457810501226</v>
      </c>
      <c r="F221" s="250">
        <f>('Fuel Curve Simulation'!J229*'Revenues &amp; Expenses'!$S$2/1000)</f>
        <v>42.889146724137937</v>
      </c>
      <c r="G221" s="250">
        <f>'Revenues &amp; Expenses'!$AM$5*1000*'Revenues &amp; Expenses'!O229</f>
        <v>3.2813110863632886</v>
      </c>
      <c r="H221" s="247">
        <f t="shared" si="42"/>
        <v>212</v>
      </c>
      <c r="I221" s="247">
        <f t="shared" si="35"/>
        <v>1</v>
      </c>
      <c r="J221" s="247">
        <v>315</v>
      </c>
      <c r="K221" s="391">
        <f>IF(I221&gt;0,J221*'Revenues &amp; Expenses'!F229*16,0)</f>
        <v>115920</v>
      </c>
      <c r="L221" s="540">
        <f>K221*'Revenues &amp; Expenses'!N229</f>
        <v>30391.985018470947</v>
      </c>
      <c r="M221" s="391"/>
      <c r="N221" s="391"/>
      <c r="AC221" s="637">
        <f t="shared" si="36"/>
        <v>43282</v>
      </c>
      <c r="AD221" s="465">
        <f t="shared" si="41"/>
        <v>212</v>
      </c>
      <c r="AE221" s="465">
        <f t="shared" si="37"/>
        <v>3797478.4353089673</v>
      </c>
      <c r="AF221" s="465">
        <f t="shared" si="38"/>
        <v>30391.985018470947</v>
      </c>
      <c r="AG221" s="640">
        <f t="shared" si="39"/>
        <v>124.94999694824219</v>
      </c>
      <c r="AJ221" s="465">
        <f t="shared" si="40"/>
        <v>1403211.8620726981</v>
      </c>
      <c r="AK221" s="646">
        <f t="shared" si="33"/>
        <v>46.170457810501226</v>
      </c>
    </row>
    <row r="222" spans="1:38">
      <c r="A222" s="250">
        <v>137.40069706080536</v>
      </c>
      <c r="B222" s="248">
        <f>'Revenues &amp; Expenses'!AX230</f>
        <v>43313</v>
      </c>
      <c r="C222" s="250">
        <f>'PJM Curve Simulation'!J230</f>
        <v>111.94999694824219</v>
      </c>
      <c r="D222" s="250">
        <f t="shared" si="34"/>
        <v>47.044815597255472</v>
      </c>
      <c r="F222" s="250">
        <f>('Fuel Curve Simulation'!J230*'Revenues &amp; Expenses'!$S$2/1000)</f>
        <v>43.756211379310358</v>
      </c>
      <c r="G222" s="250">
        <f>'Revenues &amp; Expenses'!$AM$5*1000*'Revenues &amp; Expenses'!O230</f>
        <v>3.2886042179451165</v>
      </c>
      <c r="H222" s="247">
        <f t="shared" si="42"/>
        <v>213</v>
      </c>
      <c r="I222" s="247">
        <f t="shared" si="35"/>
        <v>1</v>
      </c>
      <c r="J222" s="247">
        <v>315</v>
      </c>
      <c r="K222" s="391">
        <f>IF(I222&gt;0,J222*'Revenues &amp; Expenses'!F230*16,0)</f>
        <v>110880</v>
      </c>
      <c r="L222" s="540">
        <f>K222*'Revenues &amp; Expenses'!N230</f>
        <v>28894.739118873862</v>
      </c>
      <c r="M222" s="391"/>
      <c r="N222" s="391"/>
      <c r="AC222" s="637">
        <f t="shared" si="36"/>
        <v>43313</v>
      </c>
      <c r="AD222" s="465">
        <f t="shared" si="41"/>
        <v>213</v>
      </c>
      <c r="AE222" s="465">
        <f t="shared" si="37"/>
        <v>3234765.9561781832</v>
      </c>
      <c r="AF222" s="465">
        <f t="shared" si="38"/>
        <v>28894.739118873862</v>
      </c>
      <c r="AG222" s="640">
        <f t="shared" si="39"/>
        <v>111.94999694824219</v>
      </c>
      <c r="AJ222" s="465">
        <f t="shared" si="40"/>
        <v>1359347.6735782248</v>
      </c>
      <c r="AK222" s="646">
        <f t="shared" si="33"/>
        <v>47.044815597255472</v>
      </c>
    </row>
    <row r="223" spans="1:38">
      <c r="A223" s="250">
        <f>A211</f>
        <v>46.116286483886782</v>
      </c>
      <c r="B223" s="248">
        <f>'Revenues &amp; Expenses'!AX231</f>
        <v>43344</v>
      </c>
      <c r="C223" s="250">
        <f>'PJM Curve Simulation'!J231</f>
        <v>39.924998474121097</v>
      </c>
      <c r="D223" s="250">
        <f t="shared" si="34"/>
        <v>47.960478387026477</v>
      </c>
      <c r="F223" s="250">
        <f>('Fuel Curve Simulation'!J231*'Revenues &amp; Expenses'!$S$2/1000)</f>
        <v>44.664564827586219</v>
      </c>
      <c r="G223" s="250">
        <f>'Revenues &amp; Expenses'!$AM$5*1000*'Revenues &amp; Expenses'!O231</f>
        <v>3.2959135594402591</v>
      </c>
      <c r="H223" s="247">
        <f t="shared" si="42"/>
        <v>214</v>
      </c>
      <c r="I223" s="247">
        <f t="shared" si="35"/>
        <v>0</v>
      </c>
      <c r="J223" s="247">
        <v>315</v>
      </c>
      <c r="K223" s="391">
        <f>IF(I223&gt;0,J223*'Revenues &amp; Expenses'!F231*16,0)</f>
        <v>0</v>
      </c>
      <c r="L223" s="540">
        <f>K223*'Revenues &amp; Expenses'!N231</f>
        <v>0</v>
      </c>
      <c r="M223" s="391"/>
      <c r="N223" s="391"/>
      <c r="AC223" s="637">
        <f t="shared" si="36"/>
        <v>43344</v>
      </c>
      <c r="AD223" s="465">
        <f t="shared" si="41"/>
        <v>214</v>
      </c>
      <c r="AE223" s="465">
        <f t="shared" si="37"/>
        <v>0</v>
      </c>
      <c r="AF223" s="465">
        <f t="shared" si="38"/>
        <v>0</v>
      </c>
      <c r="AG223" s="640">
        <f t="shared" si="39"/>
        <v>0</v>
      </c>
      <c r="AJ223" s="465">
        <f t="shared" si="40"/>
        <v>0</v>
      </c>
      <c r="AK223" s="646">
        <f t="shared" si="33"/>
        <v>0</v>
      </c>
    </row>
    <row r="224" spans="1:38">
      <c r="A224" s="250">
        <f t="shared" ref="A224:A238" si="43">A212</f>
        <v>37.385623573122025</v>
      </c>
      <c r="B224" s="248">
        <f>'Revenues &amp; Expenses'!AX232</f>
        <v>43374</v>
      </c>
      <c r="C224" s="250">
        <f>'PJM Curve Simulation'!J232</f>
        <v>31.825000381469728</v>
      </c>
      <c r="D224" s="250">
        <f t="shared" si="34"/>
        <v>48.854687250325583</v>
      </c>
      <c r="F224" s="250">
        <f>('Fuel Curve Simulation'!J232*'Revenues &amp; Expenses'!$S$2/1000)</f>
        <v>45.551448103448273</v>
      </c>
      <c r="G224" s="250">
        <f>'Revenues &amp; Expenses'!$AM$5*1000*'Revenues &amp; Expenses'!O232</f>
        <v>3.303239146877313</v>
      </c>
      <c r="H224" s="247">
        <f t="shared" si="42"/>
        <v>215</v>
      </c>
      <c r="I224" s="247">
        <f t="shared" si="35"/>
        <v>0</v>
      </c>
      <c r="J224" s="247">
        <v>315</v>
      </c>
      <c r="K224" s="391">
        <f>IF(I224&gt;0,J224*'Revenues &amp; Expenses'!F232*16,0)</f>
        <v>0</v>
      </c>
      <c r="L224" s="540">
        <f>K224*'Revenues &amp; Expenses'!N232</f>
        <v>0</v>
      </c>
      <c r="M224" s="391"/>
      <c r="N224" s="391"/>
      <c r="AC224" s="637">
        <f t="shared" si="36"/>
        <v>43374</v>
      </c>
      <c r="AD224" s="465">
        <f t="shared" si="41"/>
        <v>215</v>
      </c>
      <c r="AE224" s="465">
        <f t="shared" si="37"/>
        <v>0</v>
      </c>
      <c r="AF224" s="465">
        <f t="shared" si="38"/>
        <v>0</v>
      </c>
      <c r="AG224" s="640">
        <f t="shared" si="39"/>
        <v>0</v>
      </c>
      <c r="AJ224" s="465">
        <f t="shared" si="40"/>
        <v>0</v>
      </c>
      <c r="AK224" s="646">
        <f t="shared" si="33"/>
        <v>0</v>
      </c>
    </row>
    <row r="225" spans="1:38">
      <c r="A225" s="250">
        <f t="shared" si="43"/>
        <v>37.508009347267155</v>
      </c>
      <c r="B225" s="248">
        <f>'Revenues &amp; Expenses'!AX233</f>
        <v>43405</v>
      </c>
      <c r="C225" s="250">
        <f>'PJM Curve Simulation'!J233</f>
        <v>31.497499084472658</v>
      </c>
      <c r="D225" s="250">
        <f t="shared" si="34"/>
        <v>49.334372912916677</v>
      </c>
      <c r="F225" s="250">
        <f>('Fuel Curve Simulation'!J233*'Revenues &amp; Expenses'!$S$2/1000)</f>
        <v>46.023791896551728</v>
      </c>
      <c r="G225" s="250">
        <f>'Revenues &amp; Expenses'!$AM$5*1000*'Revenues &amp; Expenses'!O233</f>
        <v>3.3105810163649516</v>
      </c>
      <c r="H225" s="247">
        <f t="shared" si="42"/>
        <v>216</v>
      </c>
      <c r="I225" s="247">
        <f t="shared" si="35"/>
        <v>0</v>
      </c>
      <c r="J225" s="247">
        <v>315</v>
      </c>
      <c r="K225" s="391">
        <f>IF(I225&gt;0,J225*'Revenues &amp; Expenses'!F233*16,0)</f>
        <v>0</v>
      </c>
      <c r="L225" s="540">
        <f>K225*'Revenues &amp; Expenses'!N233</f>
        <v>0</v>
      </c>
      <c r="M225" s="391"/>
      <c r="N225" s="391"/>
      <c r="AC225" s="637">
        <f t="shared" si="36"/>
        <v>43405</v>
      </c>
      <c r="AD225" s="465">
        <f t="shared" si="41"/>
        <v>216</v>
      </c>
      <c r="AE225" s="465">
        <f t="shared" si="37"/>
        <v>0</v>
      </c>
      <c r="AF225" s="465">
        <f t="shared" si="38"/>
        <v>0</v>
      </c>
      <c r="AG225" s="640">
        <f t="shared" si="39"/>
        <v>0</v>
      </c>
      <c r="AJ225" s="465">
        <f t="shared" si="40"/>
        <v>0</v>
      </c>
      <c r="AK225" s="646">
        <f t="shared" si="33"/>
        <v>0</v>
      </c>
    </row>
    <row r="226" spans="1:38">
      <c r="A226" s="250">
        <f t="shared" si="43"/>
        <v>40.09829889225108</v>
      </c>
      <c r="B226" s="248">
        <f>'Revenues &amp; Expenses'!AX234</f>
        <v>43435</v>
      </c>
      <c r="C226" s="250">
        <f>'PJM Curve Simulation'!J234</f>
        <v>33.249999618530275</v>
      </c>
      <c r="D226" s="250">
        <f t="shared" si="34"/>
        <v>49.751315928230042</v>
      </c>
      <c r="F226" s="250">
        <f>('Fuel Curve Simulation'!J234*'Revenues &amp; Expenses'!$S$2/1000)</f>
        <v>46.433376724137936</v>
      </c>
      <c r="G226" s="250">
        <f>'Revenues &amp; Expenses'!$AM$5*1000*'Revenues &amp; Expenses'!O234</f>
        <v>3.3179392040921045</v>
      </c>
      <c r="H226" s="247">
        <f t="shared" si="42"/>
        <v>217</v>
      </c>
      <c r="I226" s="247">
        <f t="shared" si="35"/>
        <v>0</v>
      </c>
      <c r="J226" s="247">
        <v>315</v>
      </c>
      <c r="K226" s="391">
        <f>IF(I226&gt;0,J226*'Revenues &amp; Expenses'!F234*16,0)</f>
        <v>0</v>
      </c>
      <c r="L226" s="540">
        <f>K226*'Revenues &amp; Expenses'!N234</f>
        <v>0</v>
      </c>
      <c r="M226" s="391">
        <f>SUM(L215:L226)</f>
        <v>85870.196334659733</v>
      </c>
      <c r="N226" s="391">
        <f>SUM(K215:K226)</f>
        <v>327600</v>
      </c>
      <c r="AC226" s="637">
        <f t="shared" si="36"/>
        <v>43435</v>
      </c>
      <c r="AD226" s="465">
        <f t="shared" si="41"/>
        <v>217</v>
      </c>
      <c r="AE226" s="465">
        <f t="shared" si="37"/>
        <v>0</v>
      </c>
      <c r="AF226" s="465">
        <f t="shared" si="38"/>
        <v>0</v>
      </c>
      <c r="AG226" s="640">
        <f t="shared" si="39"/>
        <v>0</v>
      </c>
      <c r="AH226" s="640">
        <f>IF(SUM(AF215:AF226)=0,0,SUM(AE215:AE226)/SUM(AF215:AF226))</f>
        <v>103.05350463067079</v>
      </c>
      <c r="AJ226" s="465">
        <f t="shared" si="40"/>
        <v>0</v>
      </c>
      <c r="AK226" s="646">
        <f t="shared" si="33"/>
        <v>0</v>
      </c>
      <c r="AL226" s="646">
        <f>IF(SUM(AF215:AF226)=0,0,SUM(AJ215:AJ226)/SUM(AF215:AF226))</f>
        <v>46.292674512582501</v>
      </c>
    </row>
    <row r="227" spans="1:38">
      <c r="A227" s="250">
        <f t="shared" si="43"/>
        <v>51.286555492627073</v>
      </c>
      <c r="B227" s="248">
        <f>'Revenues &amp; Expenses'!AX235</f>
        <v>43466</v>
      </c>
      <c r="C227" s="250">
        <f>'PJM Curve Simulation'!J235</f>
        <v>41.824998474121088</v>
      </c>
      <c r="D227" s="250">
        <f t="shared" si="34"/>
        <v>49.210375298052291</v>
      </c>
      <c r="F227" s="250">
        <f>('Fuel Curve Simulation'!J235*'Revenues &amp; Expenses'!$S$2/1000)</f>
        <v>45.885061551724156</v>
      </c>
      <c r="G227" s="250">
        <f>'Revenues &amp; Expenses'!$AM$5*1000*'Revenues &amp; Expenses'!O235</f>
        <v>3.325313746328137</v>
      </c>
      <c r="H227" s="247">
        <f t="shared" si="42"/>
        <v>218</v>
      </c>
      <c r="I227" s="247">
        <f t="shared" si="35"/>
        <v>0</v>
      </c>
      <c r="J227" s="247">
        <v>315</v>
      </c>
      <c r="K227" s="391">
        <f>IF(I227&gt;0,J227*'Revenues &amp; Expenses'!F235*16,0)</f>
        <v>0</v>
      </c>
      <c r="L227" s="540">
        <f>K227*'Revenues &amp; Expenses'!N235</f>
        <v>0</v>
      </c>
      <c r="M227" s="391"/>
      <c r="N227" s="391"/>
      <c r="AC227" s="637">
        <f t="shared" si="36"/>
        <v>43466</v>
      </c>
      <c r="AD227" s="465">
        <f t="shared" si="41"/>
        <v>218</v>
      </c>
      <c r="AE227" s="465">
        <f t="shared" si="37"/>
        <v>0</v>
      </c>
      <c r="AF227" s="465">
        <f t="shared" si="38"/>
        <v>0</v>
      </c>
      <c r="AG227" s="640">
        <f t="shared" si="39"/>
        <v>0</v>
      </c>
      <c r="AJ227" s="465">
        <f t="shared" si="40"/>
        <v>0</v>
      </c>
      <c r="AK227" s="646">
        <f t="shared" si="33"/>
        <v>0</v>
      </c>
    </row>
    <row r="228" spans="1:38">
      <c r="A228" s="250">
        <f t="shared" si="43"/>
        <v>51.286555492627073</v>
      </c>
      <c r="B228" s="248">
        <f>'Revenues &amp; Expenses'!AX236</f>
        <v>43497</v>
      </c>
      <c r="C228" s="250">
        <f>'PJM Curve Simulation'!J236</f>
        <v>41.824998474121088</v>
      </c>
      <c r="D228" s="250">
        <f t="shared" si="34"/>
        <v>48.268123989767858</v>
      </c>
      <c r="F228" s="250">
        <f>('Fuel Curve Simulation'!J236*'Revenues &amp; Expenses'!$S$2/1000)</f>
        <v>44.935419310344834</v>
      </c>
      <c r="G228" s="250">
        <f>'Revenues &amp; Expenses'!$AM$5*1000*'Revenues &amp; Expenses'!O236</f>
        <v>3.3327046794230273</v>
      </c>
      <c r="H228" s="247">
        <f t="shared" si="42"/>
        <v>219</v>
      </c>
      <c r="I228" s="247">
        <f t="shared" si="35"/>
        <v>0</v>
      </c>
      <c r="J228" s="247">
        <v>315</v>
      </c>
      <c r="K228" s="391">
        <f>IF(I228&gt;0,J228*'Revenues &amp; Expenses'!F236*16,0)</f>
        <v>0</v>
      </c>
      <c r="L228" s="540">
        <f>K228*'Revenues &amp; Expenses'!N236</f>
        <v>0</v>
      </c>
      <c r="M228" s="391"/>
      <c r="N228" s="391"/>
      <c r="AC228" s="637">
        <f t="shared" si="36"/>
        <v>43497</v>
      </c>
      <c r="AD228" s="465">
        <f t="shared" si="41"/>
        <v>219</v>
      </c>
      <c r="AE228" s="465">
        <f t="shared" si="37"/>
        <v>0</v>
      </c>
      <c r="AF228" s="465">
        <f t="shared" si="38"/>
        <v>0</v>
      </c>
      <c r="AG228" s="640">
        <f t="shared" si="39"/>
        <v>0</v>
      </c>
      <c r="AJ228" s="465">
        <f t="shared" si="40"/>
        <v>0</v>
      </c>
      <c r="AK228" s="646">
        <f t="shared" si="33"/>
        <v>0</v>
      </c>
    </row>
    <row r="229" spans="1:38">
      <c r="A229" s="250">
        <f t="shared" si="43"/>
        <v>38.371899677906043</v>
      </c>
      <c r="B229" s="248">
        <f>'Revenues &amp; Expenses'!AX237</f>
        <v>43525</v>
      </c>
      <c r="C229" s="250">
        <f>'PJM Curve Simulation'!J237</f>
        <v>31.550000762939455</v>
      </c>
      <c r="D229" s="250">
        <f t="shared" si="34"/>
        <v>47.345707729462724</v>
      </c>
      <c r="F229" s="250">
        <f>('Fuel Curve Simulation'!J237*'Revenues &amp; Expenses'!$S$2/1000)</f>
        <v>44.005595689655181</v>
      </c>
      <c r="G229" s="250">
        <f>'Revenues &amp; Expenses'!$AM$5*1000*'Revenues &amp; Expenses'!O237</f>
        <v>3.3401120398075448</v>
      </c>
      <c r="H229" s="247">
        <f t="shared" si="42"/>
        <v>220</v>
      </c>
      <c r="I229" s="247">
        <f t="shared" si="35"/>
        <v>0</v>
      </c>
      <c r="J229" s="247">
        <v>315</v>
      </c>
      <c r="K229" s="391">
        <f>IF(I229&gt;0,J229*'Revenues &amp; Expenses'!F237*16,0)</f>
        <v>0</v>
      </c>
      <c r="L229" s="540">
        <f>K229*'Revenues &amp; Expenses'!N237</f>
        <v>0</v>
      </c>
      <c r="M229" s="391"/>
      <c r="N229" s="391"/>
      <c r="AC229" s="637">
        <f t="shared" si="36"/>
        <v>43525</v>
      </c>
      <c r="AD229" s="465">
        <f t="shared" si="41"/>
        <v>220</v>
      </c>
      <c r="AE229" s="465">
        <f t="shared" si="37"/>
        <v>0</v>
      </c>
      <c r="AF229" s="465">
        <f t="shared" si="38"/>
        <v>0</v>
      </c>
      <c r="AG229" s="640">
        <f t="shared" si="39"/>
        <v>0</v>
      </c>
      <c r="AJ229" s="465">
        <f t="shared" si="40"/>
        <v>0</v>
      </c>
      <c r="AK229" s="646">
        <f t="shared" si="33"/>
        <v>0</v>
      </c>
    </row>
    <row r="230" spans="1:38">
      <c r="A230" s="250">
        <f t="shared" si="43"/>
        <v>35.53389961213135</v>
      </c>
      <c r="B230" s="248">
        <f>'Revenues &amp; Expenses'!AX238</f>
        <v>43556</v>
      </c>
      <c r="C230" s="250">
        <f>'PJM Curve Simulation'!J238</f>
        <v>31.325000762939453</v>
      </c>
      <c r="D230" s="250">
        <f t="shared" si="34"/>
        <v>46.395231553648607</v>
      </c>
      <c r="F230" s="250">
        <f>('Fuel Curve Simulation'!J238*'Revenues &amp; Expenses'!$S$2/1000)</f>
        <v>43.047695689655178</v>
      </c>
      <c r="G230" s="250">
        <f>'Revenues &amp; Expenses'!$AM$5*1000*'Revenues &amp; Expenses'!O238</f>
        <v>3.3475358639934316</v>
      </c>
      <c r="H230" s="247">
        <f t="shared" si="42"/>
        <v>221</v>
      </c>
      <c r="I230" s="247">
        <f t="shared" si="35"/>
        <v>0</v>
      </c>
      <c r="J230" s="247">
        <v>315</v>
      </c>
      <c r="K230" s="391">
        <f>IF(I230&gt;0,J230*'Revenues &amp; Expenses'!F238*16,0)</f>
        <v>0</v>
      </c>
      <c r="L230" s="540">
        <f>K230*'Revenues &amp; Expenses'!N238</f>
        <v>0</v>
      </c>
      <c r="M230" s="391"/>
      <c r="N230" s="391"/>
      <c r="AC230" s="637">
        <f t="shared" si="36"/>
        <v>43556</v>
      </c>
      <c r="AD230" s="465">
        <f t="shared" si="41"/>
        <v>221</v>
      </c>
      <c r="AE230" s="465">
        <f t="shared" si="37"/>
        <v>0</v>
      </c>
      <c r="AF230" s="465">
        <f t="shared" si="38"/>
        <v>0</v>
      </c>
      <c r="AG230" s="640">
        <f t="shared" si="39"/>
        <v>0</v>
      </c>
      <c r="AJ230" s="465">
        <f t="shared" si="40"/>
        <v>0</v>
      </c>
      <c r="AK230" s="646">
        <f t="shared" si="33"/>
        <v>0</v>
      </c>
    </row>
    <row r="231" spans="1:38">
      <c r="A231" s="250">
        <f t="shared" si="43"/>
        <v>43.171149656872267</v>
      </c>
      <c r="B231" s="248">
        <f>'Revenues &amp; Expenses'!AX239</f>
        <v>43586</v>
      </c>
      <c r="C231" s="250">
        <f>'PJM Curve Simulation'!J239</f>
        <v>39.325000000000003</v>
      </c>
      <c r="D231" s="250">
        <f t="shared" si="34"/>
        <v>45.758566705814964</v>
      </c>
      <c r="F231" s="250">
        <f>('Fuel Curve Simulation'!J239*'Revenues &amp; Expenses'!$S$2/1000)</f>
        <v>42.403590517241383</v>
      </c>
      <c r="G231" s="250">
        <f>'Revenues &amp; Expenses'!$AM$5*1000*'Revenues &amp; Expenses'!O239</f>
        <v>3.3549761885735832</v>
      </c>
      <c r="H231" s="247">
        <f t="shared" si="42"/>
        <v>222</v>
      </c>
      <c r="I231" s="247">
        <f t="shared" si="35"/>
        <v>0</v>
      </c>
      <c r="J231" s="247">
        <v>315</v>
      </c>
      <c r="K231" s="391">
        <f>IF(I231&gt;0,J231*'Revenues &amp; Expenses'!F239*16,0)</f>
        <v>0</v>
      </c>
      <c r="L231" s="540">
        <f>K231*'Revenues &amp; Expenses'!N239</f>
        <v>0</v>
      </c>
      <c r="M231" s="391"/>
      <c r="N231" s="391"/>
      <c r="AC231" s="637">
        <f t="shared" si="36"/>
        <v>43586</v>
      </c>
      <c r="AD231" s="465">
        <f t="shared" si="41"/>
        <v>222</v>
      </c>
      <c r="AE231" s="465">
        <f t="shared" si="37"/>
        <v>0</v>
      </c>
      <c r="AF231" s="465">
        <f t="shared" si="38"/>
        <v>0</v>
      </c>
      <c r="AG231" s="640">
        <f t="shared" si="39"/>
        <v>0</v>
      </c>
      <c r="AJ231" s="465">
        <f t="shared" si="40"/>
        <v>0</v>
      </c>
      <c r="AK231" s="646">
        <f t="shared" si="33"/>
        <v>0</v>
      </c>
    </row>
    <row r="232" spans="1:38">
      <c r="A232" s="250">
        <f t="shared" si="43"/>
        <v>84.342000381923455</v>
      </c>
      <c r="B232" s="248">
        <f>'Revenues &amp; Expenses'!AX240</f>
        <v>43617</v>
      </c>
      <c r="C232" s="250">
        <f>'PJM Curve Simulation'!J240</f>
        <v>68.349998474121094</v>
      </c>
      <c r="D232" s="250">
        <f t="shared" si="34"/>
        <v>45.703264601946373</v>
      </c>
      <c r="F232" s="250">
        <f>('Fuel Curve Simulation'!J240*'Revenues &amp; Expenses'!$S$2/1000)</f>
        <v>42.34083155172415</v>
      </c>
      <c r="G232" s="250">
        <f>'Revenues &amp; Expenses'!$AM$5*1000*'Revenues &amp; Expenses'!O240</f>
        <v>3.3624330502222248</v>
      </c>
      <c r="H232" s="247">
        <f t="shared" si="42"/>
        <v>223</v>
      </c>
      <c r="I232" s="247">
        <f t="shared" si="35"/>
        <v>1</v>
      </c>
      <c r="J232" s="247">
        <v>315</v>
      </c>
      <c r="K232" s="391">
        <f>IF(I232&gt;0,J232*'Revenues &amp; Expenses'!F240*16,0)</f>
        <v>105840</v>
      </c>
      <c r="L232" s="540">
        <f>K232*'Revenues &amp; Expenses'!N240</f>
        <v>25989.239760972341</v>
      </c>
      <c r="M232" s="391"/>
      <c r="N232" s="391"/>
      <c r="AC232" s="637">
        <f t="shared" si="36"/>
        <v>43617</v>
      </c>
      <c r="AD232" s="465">
        <f t="shared" si="41"/>
        <v>223</v>
      </c>
      <c r="AE232" s="465">
        <f t="shared" si="37"/>
        <v>1776364.4980060267</v>
      </c>
      <c r="AF232" s="465">
        <f t="shared" si="38"/>
        <v>25989.239760972341</v>
      </c>
      <c r="AG232" s="640">
        <f t="shared" si="39"/>
        <v>68.349998474121094</v>
      </c>
      <c r="AJ232" s="465">
        <f t="shared" si="40"/>
        <v>1187793.1015991445</v>
      </c>
      <c r="AK232" s="646">
        <f t="shared" si="33"/>
        <v>45.70326460194638</v>
      </c>
    </row>
    <row r="233" spans="1:38">
      <c r="A233" s="250">
        <f t="shared" si="43"/>
        <v>164.06756314574017</v>
      </c>
      <c r="B233" s="248">
        <f>'Revenues &amp; Expenses'!AX241</f>
        <v>43647</v>
      </c>
      <c r="C233" s="250">
        <f>'PJM Curve Simulation'!J241</f>
        <v>124.94999694824219</v>
      </c>
      <c r="D233" s="250">
        <f t="shared" si="34"/>
        <v>46.259053209833034</v>
      </c>
      <c r="F233" s="250">
        <f>('Fuel Curve Simulation'!J241*'Revenues &amp; Expenses'!$S$2/1000)</f>
        <v>42.889146724137937</v>
      </c>
      <c r="G233" s="250">
        <f>'Revenues &amp; Expenses'!$AM$5*1000*'Revenues &amp; Expenses'!O241</f>
        <v>3.3699064856950973</v>
      </c>
      <c r="H233" s="247">
        <f t="shared" si="42"/>
        <v>224</v>
      </c>
      <c r="I233" s="247">
        <f t="shared" si="35"/>
        <v>1</v>
      </c>
      <c r="J233" s="247">
        <v>315</v>
      </c>
      <c r="K233" s="391">
        <f>IF(I233&gt;0,J233*'Revenues &amp; Expenses'!F241*16,0)</f>
        <v>115920</v>
      </c>
      <c r="L233" s="540">
        <f>K233*'Revenues &amp; Expenses'!N241</f>
        <v>28298.005681392435</v>
      </c>
      <c r="M233" s="391"/>
      <c r="N233" s="391"/>
      <c r="AC233" s="637">
        <f t="shared" si="36"/>
        <v>43647</v>
      </c>
      <c r="AD233" s="465">
        <f t="shared" si="41"/>
        <v>224</v>
      </c>
      <c r="AE233" s="465">
        <f t="shared" si="37"/>
        <v>3535835.7235313249</v>
      </c>
      <c r="AF233" s="465">
        <f t="shared" si="38"/>
        <v>28298.005681392435</v>
      </c>
      <c r="AG233" s="640">
        <f t="shared" si="39"/>
        <v>124.94999694824219</v>
      </c>
      <c r="AJ233" s="465">
        <f t="shared" si="40"/>
        <v>1309038.95054769</v>
      </c>
      <c r="AK233" s="646">
        <f t="shared" si="33"/>
        <v>46.259053209833027</v>
      </c>
    </row>
    <row r="234" spans="1:38">
      <c r="A234" s="250">
        <f t="shared" si="43"/>
        <v>137.40069706080536</v>
      </c>
      <c r="B234" s="248">
        <f>'Revenues &amp; Expenses'!AX242</f>
        <v>43678</v>
      </c>
      <c r="C234" s="250">
        <f>'PJM Curve Simulation'!J242</f>
        <v>111.94999694824219</v>
      </c>
      <c r="D234" s="250">
        <f t="shared" si="34"/>
        <v>47.13360791113999</v>
      </c>
      <c r="F234" s="250">
        <f>('Fuel Curve Simulation'!J242*'Revenues &amp; Expenses'!$S$2/1000)</f>
        <v>43.756211379310358</v>
      </c>
      <c r="G234" s="250">
        <f>'Revenues &amp; Expenses'!$AM$5*1000*'Revenues &amp; Expenses'!O242</f>
        <v>3.3773965318296346</v>
      </c>
      <c r="H234" s="247">
        <f t="shared" si="42"/>
        <v>225</v>
      </c>
      <c r="I234" s="247">
        <f t="shared" si="35"/>
        <v>1</v>
      </c>
      <c r="J234" s="247">
        <v>315</v>
      </c>
      <c r="K234" s="391">
        <f>IF(I234&gt;0,J234*'Revenues &amp; Expenses'!F242*16,0)</f>
        <v>105840</v>
      </c>
      <c r="L234" s="540">
        <f>K234*'Revenues &amp; Expenses'!N242</f>
        <v>25681.269381816004</v>
      </c>
      <c r="M234" s="391"/>
      <c r="N234" s="391"/>
      <c r="AC234" s="637">
        <f t="shared" si="36"/>
        <v>43678</v>
      </c>
      <c r="AD234" s="465">
        <f t="shared" si="41"/>
        <v>225</v>
      </c>
      <c r="AE234" s="465">
        <f t="shared" si="37"/>
        <v>2875018.028921287</v>
      </c>
      <c r="AF234" s="465">
        <f t="shared" si="38"/>
        <v>25681.269381816004</v>
      </c>
      <c r="AG234" s="640">
        <f t="shared" si="39"/>
        <v>111.94999694824219</v>
      </c>
      <c r="AJ234" s="465">
        <f t="shared" si="40"/>
        <v>1210450.8817028799</v>
      </c>
      <c r="AK234" s="646">
        <f t="shared" si="33"/>
        <v>47.133607911139983</v>
      </c>
    </row>
    <row r="235" spans="1:38">
      <c r="A235" s="250">
        <f t="shared" si="43"/>
        <v>46.116286483886782</v>
      </c>
      <c r="B235" s="248">
        <f>'Revenues &amp; Expenses'!AX243</f>
        <v>43709</v>
      </c>
      <c r="C235" s="250">
        <f>'PJM Curve Simulation'!J243</f>
        <v>39.924998474121097</v>
      </c>
      <c r="D235" s="250">
        <f t="shared" si="34"/>
        <v>48.049468053131363</v>
      </c>
      <c r="F235" s="250">
        <f>('Fuel Curve Simulation'!J243*'Revenues &amp; Expenses'!$S$2/1000)</f>
        <v>44.664564827586219</v>
      </c>
      <c r="G235" s="250">
        <f>'Revenues &amp; Expenses'!$AM$5*1000*'Revenues &amp; Expenses'!O243</f>
        <v>3.3849032255451457</v>
      </c>
      <c r="H235" s="247">
        <f t="shared" si="42"/>
        <v>226</v>
      </c>
      <c r="I235" s="247">
        <f t="shared" si="35"/>
        <v>0</v>
      </c>
      <c r="J235" s="247">
        <v>315</v>
      </c>
      <c r="K235" s="391">
        <f>IF(I235&gt;0,J235*'Revenues &amp; Expenses'!F243*16,0)</f>
        <v>0</v>
      </c>
      <c r="L235" s="540">
        <f>K235*'Revenues &amp; Expenses'!N243</f>
        <v>0</v>
      </c>
      <c r="M235" s="391"/>
      <c r="N235" s="391"/>
      <c r="AC235" s="637">
        <f t="shared" si="36"/>
        <v>43709</v>
      </c>
      <c r="AD235" s="465">
        <f t="shared" si="41"/>
        <v>226</v>
      </c>
      <c r="AE235" s="465">
        <f t="shared" si="37"/>
        <v>0</v>
      </c>
      <c r="AF235" s="465">
        <f t="shared" si="38"/>
        <v>0</v>
      </c>
      <c r="AG235" s="640">
        <f t="shared" si="39"/>
        <v>0</v>
      </c>
      <c r="AJ235" s="465">
        <f t="shared" si="40"/>
        <v>0</v>
      </c>
      <c r="AK235" s="646">
        <f t="shared" si="33"/>
        <v>0</v>
      </c>
    </row>
    <row r="236" spans="1:38">
      <c r="A236" s="250">
        <f t="shared" si="43"/>
        <v>37.385623573122025</v>
      </c>
      <c r="B236" s="248">
        <f>'Revenues &amp; Expenses'!AX244</f>
        <v>43739</v>
      </c>
      <c r="C236" s="250">
        <f>'PJM Curve Simulation'!J244</f>
        <v>31.825000381469728</v>
      </c>
      <c r="D236" s="250">
        <f t="shared" si="34"/>
        <v>48.943874707291272</v>
      </c>
      <c r="F236" s="250">
        <f>('Fuel Curve Simulation'!J244*'Revenues &amp; Expenses'!$S$2/1000)</f>
        <v>45.551448103448273</v>
      </c>
      <c r="G236" s="250">
        <f>'Revenues &amp; Expenses'!$AM$5*1000*'Revenues &amp; Expenses'!O244</f>
        <v>3.392426603843</v>
      </c>
      <c r="H236" s="247">
        <f t="shared" si="42"/>
        <v>227</v>
      </c>
      <c r="I236" s="247">
        <f t="shared" si="35"/>
        <v>0</v>
      </c>
      <c r="J236" s="247">
        <v>315</v>
      </c>
      <c r="K236" s="391">
        <f>IF(I236&gt;0,J236*'Revenues &amp; Expenses'!F244*16,0)</f>
        <v>0</v>
      </c>
      <c r="L236" s="540">
        <f>K236*'Revenues &amp; Expenses'!N244</f>
        <v>0</v>
      </c>
      <c r="M236" s="391"/>
      <c r="N236" s="391"/>
      <c r="AC236" s="637">
        <f t="shared" si="36"/>
        <v>43739</v>
      </c>
      <c r="AD236" s="465">
        <f t="shared" si="41"/>
        <v>227</v>
      </c>
      <c r="AE236" s="465">
        <f t="shared" si="37"/>
        <v>0</v>
      </c>
      <c r="AF236" s="465">
        <f t="shared" si="38"/>
        <v>0</v>
      </c>
      <c r="AG236" s="640">
        <f t="shared" si="39"/>
        <v>0</v>
      </c>
      <c r="AJ236" s="465">
        <f t="shared" si="40"/>
        <v>0</v>
      </c>
      <c r="AK236" s="646">
        <f t="shared" si="33"/>
        <v>0</v>
      </c>
    </row>
    <row r="237" spans="1:38">
      <c r="A237" s="250">
        <f t="shared" si="43"/>
        <v>37.508009347267155</v>
      </c>
      <c r="B237" s="248">
        <f>'Revenues &amp; Expenses'!AX245</f>
        <v>43770</v>
      </c>
      <c r="C237" s="250">
        <f>'PJM Curve Simulation'!J245</f>
        <v>31.497499084472658</v>
      </c>
      <c r="D237" s="250">
        <f t="shared" si="34"/>
        <v>49.423758600358532</v>
      </c>
      <c r="F237" s="250">
        <f>('Fuel Curve Simulation'!J245*'Revenues &amp; Expenses'!$S$2/1000)</f>
        <v>46.023791896551728</v>
      </c>
      <c r="G237" s="250">
        <f>'Revenues &amp; Expenses'!$AM$5*1000*'Revenues &amp; Expenses'!O245</f>
        <v>3.3999667038068049</v>
      </c>
      <c r="H237" s="247">
        <f t="shared" si="42"/>
        <v>228</v>
      </c>
      <c r="I237" s="247">
        <f t="shared" si="35"/>
        <v>0</v>
      </c>
      <c r="J237" s="247">
        <v>315</v>
      </c>
      <c r="K237" s="391">
        <f>IF(I237&gt;0,J237*'Revenues &amp; Expenses'!F245*16,0)</f>
        <v>0</v>
      </c>
      <c r="L237" s="540">
        <f>K237*'Revenues &amp; Expenses'!N245</f>
        <v>0</v>
      </c>
      <c r="M237" s="391"/>
      <c r="N237" s="391"/>
      <c r="AC237" s="637">
        <f t="shared" si="36"/>
        <v>43770</v>
      </c>
      <c r="AD237" s="465">
        <f t="shared" si="41"/>
        <v>228</v>
      </c>
      <c r="AE237" s="465">
        <f t="shared" si="37"/>
        <v>0</v>
      </c>
      <c r="AF237" s="465">
        <f t="shared" si="38"/>
        <v>0</v>
      </c>
      <c r="AG237" s="640">
        <f t="shared" si="39"/>
        <v>0</v>
      </c>
      <c r="AJ237" s="465">
        <f t="shared" si="40"/>
        <v>0</v>
      </c>
      <c r="AK237" s="646">
        <f t="shared" si="33"/>
        <v>0</v>
      </c>
    </row>
    <row r="238" spans="1:38">
      <c r="A238" s="250">
        <f t="shared" si="43"/>
        <v>40.09829889225108</v>
      </c>
      <c r="B238" s="248">
        <f>'Revenues &amp; Expenses'!AX246</f>
        <v>43800</v>
      </c>
      <c r="C238" s="250">
        <f>'PJM Curve Simulation'!J246</f>
        <v>33.249999618530275</v>
      </c>
      <c r="D238" s="250">
        <f t="shared" si="34"/>
        <v>49.840900286740528</v>
      </c>
      <c r="F238" s="250">
        <f>('Fuel Curve Simulation'!J246*'Revenues &amp; Expenses'!$S$2/1000)</f>
        <v>46.433376724137936</v>
      </c>
      <c r="G238" s="250">
        <f>'Revenues &amp; Expenses'!$AM$5*1000*'Revenues &amp; Expenses'!O246</f>
        <v>3.4075235626025906</v>
      </c>
      <c r="H238" s="247">
        <f t="shared" si="42"/>
        <v>229</v>
      </c>
      <c r="I238" s="247">
        <f t="shared" si="35"/>
        <v>0</v>
      </c>
      <c r="J238" s="247">
        <v>315</v>
      </c>
      <c r="K238" s="391">
        <f>IF(I238&gt;0,J238*'Revenues &amp; Expenses'!F246*16,0)</f>
        <v>0</v>
      </c>
      <c r="L238" s="540">
        <f>K238*'Revenues &amp; Expenses'!N246</f>
        <v>0</v>
      </c>
      <c r="M238" s="391">
        <f>SUM(L227:L238)</f>
        <v>79968.514824180776</v>
      </c>
      <c r="N238" s="391">
        <f>SUM(K227:K238)</f>
        <v>327600</v>
      </c>
      <c r="AC238" s="637">
        <f t="shared" si="36"/>
        <v>43800</v>
      </c>
      <c r="AD238" s="465">
        <f t="shared" si="41"/>
        <v>229</v>
      </c>
      <c r="AE238" s="465">
        <f t="shared" si="37"/>
        <v>0</v>
      </c>
      <c r="AF238" s="465">
        <f t="shared" si="38"/>
        <v>0</v>
      </c>
      <c r="AG238" s="640">
        <f t="shared" si="39"/>
        <v>0</v>
      </c>
      <c r="AH238" s="640">
        <f>IF(SUM(AF227:AF238)=0,0,SUM(AE227:AE238)/SUM(AF227:AF238))</f>
        <v>102.38052148972758</v>
      </c>
      <c r="AJ238" s="465">
        <f t="shared" si="40"/>
        <v>0</v>
      </c>
      <c r="AK238" s="646">
        <f t="shared" si="33"/>
        <v>0</v>
      </c>
      <c r="AL238" s="646">
        <f>IF(SUM(AF227:AF238)=0,0,SUM(AJ227:AJ238)/SUM(AF227:AF238))</f>
        <v>46.359282049948874</v>
      </c>
    </row>
    <row r="239" spans="1:38">
      <c r="B239" s="248">
        <f>'Revenues &amp; Expenses'!AX247</f>
        <v>43831</v>
      </c>
      <c r="C239" s="250">
        <f>'PJM Curve Simulation'!J247</f>
        <v>41.824998474121088</v>
      </c>
      <c r="D239" s="250">
        <f t="shared" si="34"/>
        <v>49.300158769203151</v>
      </c>
      <c r="F239" s="250">
        <f>('Fuel Curve Simulation'!J247*'Revenues &amp; Expenses'!$S$2/1000)</f>
        <v>45.885061551724156</v>
      </c>
      <c r="G239" s="250">
        <f>'Revenues &amp; Expenses'!$AM$5*1000*'Revenues &amp; Expenses'!O247</f>
        <v>3.4150972174789969</v>
      </c>
      <c r="H239" s="247">
        <f t="shared" si="42"/>
        <v>230</v>
      </c>
      <c r="I239" s="247">
        <f t="shared" ref="I239:I250" si="44">IF(C239&gt;D239,1,0)</f>
        <v>0</v>
      </c>
      <c r="J239" s="247">
        <v>315</v>
      </c>
      <c r="K239" s="391">
        <f>IF(I239&gt;0,J239*'Revenues &amp; Expenses'!F247*16,0)</f>
        <v>0</v>
      </c>
      <c r="L239" s="540">
        <f>K239*'Revenues &amp; Expenses'!N247</f>
        <v>0</v>
      </c>
      <c r="M239" s="391"/>
      <c r="N239" s="391"/>
      <c r="AC239" s="637">
        <f t="shared" si="36"/>
        <v>43831</v>
      </c>
      <c r="AD239" s="465">
        <f t="shared" si="41"/>
        <v>230</v>
      </c>
      <c r="AE239" s="465">
        <f t="shared" si="37"/>
        <v>0</v>
      </c>
      <c r="AF239" s="465">
        <f t="shared" si="38"/>
        <v>0</v>
      </c>
      <c r="AG239" s="640">
        <f t="shared" si="39"/>
        <v>0</v>
      </c>
      <c r="AJ239" s="465">
        <f t="shared" si="40"/>
        <v>0</v>
      </c>
      <c r="AK239" s="646">
        <f t="shared" si="33"/>
        <v>0</v>
      </c>
    </row>
    <row r="240" spans="1:38">
      <c r="B240" s="248">
        <f>'Revenues &amp; Expenses'!AX248</f>
        <v>43862</v>
      </c>
      <c r="C240" s="250">
        <f>'PJM Curve Simulation'!J248</f>
        <v>41.824998474121088</v>
      </c>
      <c r="D240" s="250">
        <f t="shared" si="34"/>
        <v>48.358107016112285</v>
      </c>
      <c r="F240" s="250">
        <f>('Fuel Curve Simulation'!J248*'Revenues &amp; Expenses'!$S$2/1000)</f>
        <v>44.935419310344834</v>
      </c>
      <c r="G240" s="250">
        <f>'Revenues &amp; Expenses'!$AM$5*1000*'Revenues &amp; Expenses'!O248</f>
        <v>3.4226877057674487</v>
      </c>
      <c r="H240" s="247">
        <f t="shared" si="42"/>
        <v>231</v>
      </c>
      <c r="I240" s="247">
        <f t="shared" si="44"/>
        <v>0</v>
      </c>
      <c r="J240" s="247">
        <v>315</v>
      </c>
      <c r="K240" s="391">
        <f>IF(I240&gt;0,J240*'Revenues &amp; Expenses'!F248*16,0)</f>
        <v>0</v>
      </c>
      <c r="L240" s="540">
        <f>K240*'Revenues &amp; Expenses'!N248</f>
        <v>0</v>
      </c>
      <c r="M240" s="391"/>
      <c r="N240" s="391"/>
      <c r="AC240" s="637">
        <f t="shared" si="36"/>
        <v>43862</v>
      </c>
      <c r="AD240" s="465">
        <f t="shared" si="41"/>
        <v>231</v>
      </c>
      <c r="AE240" s="465">
        <f t="shared" si="37"/>
        <v>0</v>
      </c>
      <c r="AF240" s="465">
        <f t="shared" si="38"/>
        <v>0</v>
      </c>
      <c r="AG240" s="640">
        <f t="shared" si="39"/>
        <v>0</v>
      </c>
      <c r="AJ240" s="465">
        <f t="shared" si="40"/>
        <v>0</v>
      </c>
      <c r="AK240" s="646">
        <f t="shared" si="33"/>
        <v>0</v>
      </c>
    </row>
    <row r="241" spans="2:38">
      <c r="B241" s="248">
        <f>'Revenues &amp; Expenses'!AX249</f>
        <v>43891</v>
      </c>
      <c r="C241" s="250">
        <f>'PJM Curve Simulation'!J249</f>
        <v>31.550000762939455</v>
      </c>
      <c r="D241" s="250">
        <f t="shared" si="34"/>
        <v>47.435890754537532</v>
      </c>
      <c r="F241" s="250">
        <f>('Fuel Curve Simulation'!J249*'Revenues &amp; Expenses'!$S$2/1000)</f>
        <v>44.005595689655181</v>
      </c>
      <c r="G241" s="250">
        <f>'Revenues &amp; Expenses'!$AM$5*1000*'Revenues &amp; Expenses'!O249</f>
        <v>3.430295064882348</v>
      </c>
      <c r="H241" s="247">
        <f t="shared" si="42"/>
        <v>232</v>
      </c>
      <c r="I241" s="247">
        <f t="shared" si="44"/>
        <v>0</v>
      </c>
      <c r="J241" s="247">
        <v>315</v>
      </c>
      <c r="K241" s="391">
        <f>IF(I241&gt;0,J241*'Revenues &amp; Expenses'!F249*16,0)</f>
        <v>0</v>
      </c>
      <c r="L241" s="540">
        <f>K241*'Revenues &amp; Expenses'!N249</f>
        <v>0</v>
      </c>
      <c r="M241" s="391"/>
      <c r="N241" s="391"/>
      <c r="AC241" s="637">
        <f t="shared" si="36"/>
        <v>43891</v>
      </c>
      <c r="AD241" s="465">
        <f t="shared" si="41"/>
        <v>232</v>
      </c>
      <c r="AE241" s="465">
        <f t="shared" si="37"/>
        <v>0</v>
      </c>
      <c r="AF241" s="465">
        <f t="shared" si="38"/>
        <v>0</v>
      </c>
      <c r="AG241" s="640">
        <f t="shared" si="39"/>
        <v>0</v>
      </c>
      <c r="AJ241" s="465">
        <f t="shared" si="40"/>
        <v>0</v>
      </c>
      <c r="AK241" s="646">
        <f t="shared" si="33"/>
        <v>0</v>
      </c>
    </row>
    <row r="242" spans="2:38">
      <c r="B242" s="248">
        <f>'Revenues &amp; Expenses'!AX250</f>
        <v>43922</v>
      </c>
      <c r="C242" s="250">
        <f>'PJM Curve Simulation'!J250</f>
        <v>31.325000762939453</v>
      </c>
      <c r="D242" s="250">
        <f t="shared" si="34"/>
        <v>46.485615021976429</v>
      </c>
      <c r="F242" s="250">
        <f>('Fuel Curve Simulation'!J250*'Revenues &amp; Expenses'!$S$2/1000)</f>
        <v>43.047695689655178</v>
      </c>
      <c r="G242" s="250">
        <f>'Revenues &amp; Expenses'!$AM$5*1000*'Revenues &amp; Expenses'!O250</f>
        <v>3.437919332321254</v>
      </c>
      <c r="H242" s="247">
        <f t="shared" si="42"/>
        <v>233</v>
      </c>
      <c r="I242" s="247">
        <f t="shared" si="44"/>
        <v>0</v>
      </c>
      <c r="J242" s="247">
        <v>315</v>
      </c>
      <c r="K242" s="391">
        <f>IF(I242&gt;0,J242*'Revenues &amp; Expenses'!F250*16,0)</f>
        <v>0</v>
      </c>
      <c r="L242" s="540">
        <f>K242*'Revenues &amp; Expenses'!N250</f>
        <v>0</v>
      </c>
      <c r="M242" s="391"/>
      <c r="N242" s="391"/>
      <c r="AC242" s="637">
        <f t="shared" si="36"/>
        <v>43922</v>
      </c>
      <c r="AD242" s="465">
        <f t="shared" si="41"/>
        <v>233</v>
      </c>
      <c r="AE242" s="465">
        <f t="shared" si="37"/>
        <v>0</v>
      </c>
      <c r="AF242" s="465">
        <f t="shared" si="38"/>
        <v>0</v>
      </c>
      <c r="AG242" s="640">
        <f t="shared" si="39"/>
        <v>0</v>
      </c>
      <c r="AJ242" s="465">
        <f t="shared" si="40"/>
        <v>0</v>
      </c>
      <c r="AK242" s="646">
        <f t="shared" si="33"/>
        <v>0</v>
      </c>
    </row>
    <row r="243" spans="2:38">
      <c r="B243" s="248">
        <f>'Revenues &amp; Expenses'!AX251</f>
        <v>43952</v>
      </c>
      <c r="C243" s="250">
        <f>'PJM Curve Simulation'!J251</f>
        <v>39.325000000000003</v>
      </c>
      <c r="D243" s="250">
        <f t="shared" si="34"/>
        <v>45.849151062906451</v>
      </c>
      <c r="F243" s="250">
        <f>('Fuel Curve Simulation'!J251*'Revenues &amp; Expenses'!$S$2/1000)</f>
        <v>42.403590517241383</v>
      </c>
      <c r="G243" s="250">
        <f>'Revenues &amp; Expenses'!$AM$5*1000*'Revenues &amp; Expenses'!O251</f>
        <v>3.4455605456650695</v>
      </c>
      <c r="H243" s="247">
        <f t="shared" si="42"/>
        <v>234</v>
      </c>
      <c r="I243" s="247">
        <f t="shared" si="44"/>
        <v>0</v>
      </c>
      <c r="J243" s="247">
        <v>315</v>
      </c>
      <c r="K243" s="391">
        <f>IF(I243&gt;0,J243*'Revenues &amp; Expenses'!F251*16,0)</f>
        <v>0</v>
      </c>
      <c r="L243" s="540">
        <f>K243*'Revenues &amp; Expenses'!N251</f>
        <v>0</v>
      </c>
      <c r="M243" s="391"/>
      <c r="N243" s="391"/>
      <c r="AC243" s="637">
        <f t="shared" si="36"/>
        <v>43952</v>
      </c>
      <c r="AD243" s="465">
        <f t="shared" si="41"/>
        <v>234</v>
      </c>
      <c r="AE243" s="465">
        <f t="shared" si="37"/>
        <v>0</v>
      </c>
      <c r="AF243" s="465">
        <f t="shared" si="38"/>
        <v>0</v>
      </c>
      <c r="AG243" s="640">
        <f t="shared" si="39"/>
        <v>0</v>
      </c>
      <c r="AJ243" s="465">
        <f t="shared" si="40"/>
        <v>0</v>
      </c>
      <c r="AK243" s="646">
        <f t="shared" si="33"/>
        <v>0</v>
      </c>
    </row>
    <row r="244" spans="2:38">
      <c r="B244" s="248">
        <f>'Revenues &amp; Expenses'!AX252</f>
        <v>43983</v>
      </c>
      <c r="C244" s="250">
        <f>'PJM Curve Simulation'!J252</f>
        <v>68.349998474121094</v>
      </c>
      <c r="D244" s="250">
        <f t="shared" si="34"/>
        <v>45.794050294302373</v>
      </c>
      <c r="F244" s="250">
        <f>('Fuel Curve Simulation'!J252*'Revenues &amp; Expenses'!$S$2/1000)</f>
        <v>42.34083155172415</v>
      </c>
      <c r="G244" s="250">
        <f>'Revenues &amp; Expenses'!$AM$5*1000*'Revenues &amp; Expenses'!O252</f>
        <v>3.4532187425782244</v>
      </c>
      <c r="H244" s="247">
        <f t="shared" si="42"/>
        <v>235</v>
      </c>
      <c r="I244" s="247">
        <f t="shared" si="44"/>
        <v>1</v>
      </c>
      <c r="J244" s="247">
        <v>315</v>
      </c>
      <c r="K244" s="391">
        <f>IF(I244&gt;0,J244*'Revenues &amp; Expenses'!F252*16,0)</f>
        <v>110880</v>
      </c>
      <c r="L244" s="540">
        <f>K244*'Revenues &amp; Expenses'!N252</f>
        <v>25358.382971899857</v>
      </c>
      <c r="M244" s="391"/>
      <c r="N244" s="391"/>
      <c r="AC244" s="637">
        <f t="shared" si="36"/>
        <v>43983</v>
      </c>
      <c r="AD244" s="465">
        <f t="shared" si="41"/>
        <v>235</v>
      </c>
      <c r="AE244" s="465">
        <f t="shared" si="37"/>
        <v>1733245.4374355336</v>
      </c>
      <c r="AF244" s="465">
        <f t="shared" si="38"/>
        <v>25358.382971899857</v>
      </c>
      <c r="AG244" s="640">
        <f t="shared" si="39"/>
        <v>68.349998474121094</v>
      </c>
      <c r="AJ244" s="465">
        <f t="shared" si="40"/>
        <v>1161263.065197363</v>
      </c>
      <c r="AK244" s="646">
        <f t="shared" si="33"/>
        <v>45.79405029430238</v>
      </c>
    </row>
    <row r="245" spans="2:38">
      <c r="B245" s="248">
        <f>'Revenues &amp; Expenses'!AX253</f>
        <v>44013</v>
      </c>
      <c r="C245" s="250">
        <f>'PJM Curve Simulation'!J253</f>
        <v>124.94999694824219</v>
      </c>
      <c r="D245" s="250">
        <f t="shared" si="34"/>
        <v>46.350040684946805</v>
      </c>
      <c r="F245" s="250">
        <f>('Fuel Curve Simulation'!J253*'Revenues &amp; Expenses'!$S$2/1000)</f>
        <v>42.889146724137937</v>
      </c>
      <c r="G245" s="250">
        <f>'Revenues &amp; Expenses'!$AM$5*1000*'Revenues &amp; Expenses'!O253</f>
        <v>3.4608939608088645</v>
      </c>
      <c r="H245" s="247">
        <f t="shared" si="42"/>
        <v>236</v>
      </c>
      <c r="I245" s="247">
        <f t="shared" si="44"/>
        <v>1</v>
      </c>
      <c r="J245" s="247">
        <v>315</v>
      </c>
      <c r="K245" s="391">
        <f>IF(I245&gt;0,J245*'Revenues &amp; Expenses'!F253*16,0)</f>
        <v>110880</v>
      </c>
      <c r="L245" s="540">
        <f>K245*'Revenues &amp; Expenses'!N253</f>
        <v>25213.755196776365</v>
      </c>
      <c r="M245" s="391"/>
      <c r="N245" s="391"/>
      <c r="AC245" s="637">
        <f t="shared" si="36"/>
        <v>44013</v>
      </c>
      <c r="AD245" s="465">
        <f t="shared" si="41"/>
        <v>236</v>
      </c>
      <c r="AE245" s="465">
        <f t="shared" si="37"/>
        <v>3150458.6348909326</v>
      </c>
      <c r="AF245" s="465">
        <f t="shared" si="38"/>
        <v>25213.755196776365</v>
      </c>
      <c r="AG245" s="640">
        <f t="shared" si="39"/>
        <v>124.9499969482422</v>
      </c>
      <c r="AJ245" s="465">
        <f t="shared" si="40"/>
        <v>1168658.5791908735</v>
      </c>
      <c r="AK245" s="646">
        <f t="shared" si="33"/>
        <v>46.350040684946812</v>
      </c>
    </row>
    <row r="246" spans="2:38">
      <c r="B246" s="248">
        <f>'Revenues &amp; Expenses'!AX254</f>
        <v>44044</v>
      </c>
      <c r="C246" s="250">
        <f>'PJM Curve Simulation'!J254</f>
        <v>111.94999694824219</v>
      </c>
      <c r="D246" s="250">
        <f t="shared" si="34"/>
        <v>47.224797617499391</v>
      </c>
      <c r="F246" s="250">
        <f>('Fuel Curve Simulation'!J254*'Revenues &amp; Expenses'!$S$2/1000)</f>
        <v>43.756211379310358</v>
      </c>
      <c r="G246" s="250">
        <f>'Revenues &amp; Expenses'!$AM$5*1000*'Revenues &amp; Expenses'!O254</f>
        <v>3.4685862381890344</v>
      </c>
      <c r="H246" s="247">
        <f t="shared" si="42"/>
        <v>237</v>
      </c>
      <c r="I246" s="247">
        <f t="shared" si="44"/>
        <v>1</v>
      </c>
      <c r="J246" s="247">
        <v>315</v>
      </c>
      <c r="K246" s="391">
        <f>IF(I246&gt;0,J246*'Revenues &amp; Expenses'!F254*16,0)</f>
        <v>110880</v>
      </c>
      <c r="L246" s="540">
        <f>K246*'Revenues &amp; Expenses'!N254</f>
        <v>25065.221882995651</v>
      </c>
      <c r="M246" s="391"/>
      <c r="N246" s="391"/>
      <c r="AC246" s="637">
        <f t="shared" si="36"/>
        <v>44044</v>
      </c>
      <c r="AD246" s="465">
        <f t="shared" si="41"/>
        <v>237</v>
      </c>
      <c r="AE246" s="465">
        <f t="shared" si="37"/>
        <v>2806051.5133083765</v>
      </c>
      <c r="AF246" s="465">
        <f t="shared" si="38"/>
        <v>25065.221882995651</v>
      </c>
      <c r="AG246" s="640">
        <f t="shared" si="39"/>
        <v>111.94999694824219</v>
      </c>
      <c r="AJ246" s="465">
        <f t="shared" si="40"/>
        <v>1183700.0306621867</v>
      </c>
      <c r="AK246" s="646">
        <f t="shared" si="33"/>
        <v>47.224797617499391</v>
      </c>
    </row>
    <row r="247" spans="2:38">
      <c r="B247" s="248">
        <f>'Revenues &amp; Expenses'!AX255</f>
        <v>44075</v>
      </c>
      <c r="C247" s="250">
        <f>'PJM Curve Simulation'!J255</f>
        <v>39.924998474121097</v>
      </c>
      <c r="D247" s="250">
        <f t="shared" si="34"/>
        <v>48.140860440221083</v>
      </c>
      <c r="F247" s="250">
        <f>('Fuel Curve Simulation'!J255*'Revenues &amp; Expenses'!$S$2/1000)</f>
        <v>44.664564827586219</v>
      </c>
      <c r="G247" s="250">
        <f>'Revenues &amp; Expenses'!$AM$5*1000*'Revenues &amp; Expenses'!O255</f>
        <v>3.4762956126348645</v>
      </c>
      <c r="H247" s="247">
        <f t="shared" si="42"/>
        <v>238</v>
      </c>
      <c r="I247" s="247">
        <f t="shared" si="44"/>
        <v>0</v>
      </c>
      <c r="J247" s="247">
        <v>315</v>
      </c>
      <c r="K247" s="391">
        <f>IF(I247&gt;0,J247*'Revenues &amp; Expenses'!F255*16,0)</f>
        <v>0</v>
      </c>
      <c r="L247" s="540">
        <f>K247*'Revenues &amp; Expenses'!N255</f>
        <v>0</v>
      </c>
      <c r="M247" s="391"/>
      <c r="N247" s="391"/>
      <c r="AC247" s="637">
        <f t="shared" si="36"/>
        <v>44075</v>
      </c>
      <c r="AD247" s="465">
        <f t="shared" si="41"/>
        <v>238</v>
      </c>
      <c r="AE247" s="465">
        <f t="shared" si="37"/>
        <v>0</v>
      </c>
      <c r="AF247" s="465">
        <f t="shared" si="38"/>
        <v>0</v>
      </c>
      <c r="AG247" s="640">
        <f t="shared" si="39"/>
        <v>0</v>
      </c>
      <c r="AJ247" s="465">
        <f t="shared" si="40"/>
        <v>0</v>
      </c>
      <c r="AK247" s="646">
        <f t="shared" si="33"/>
        <v>0</v>
      </c>
    </row>
    <row r="248" spans="2:38">
      <c r="B248" s="248">
        <f>'Revenues &amp; Expenses'!AX256</f>
        <v>44105</v>
      </c>
      <c r="C248" s="250">
        <f>'PJM Curve Simulation'!J256</f>
        <v>31.825000381469728</v>
      </c>
      <c r="D248" s="250">
        <f t="shared" si="34"/>
        <v>49.035470225595034</v>
      </c>
      <c r="F248" s="250">
        <f>('Fuel Curve Simulation'!J256*'Revenues &amp; Expenses'!$S$2/1000)</f>
        <v>45.551448103448273</v>
      </c>
      <c r="G248" s="250">
        <f>'Revenues &amp; Expenses'!$AM$5*1000*'Revenues &amp; Expenses'!O256</f>
        <v>3.4840221221467607</v>
      </c>
      <c r="H248" s="247">
        <f t="shared" si="42"/>
        <v>239</v>
      </c>
      <c r="I248" s="247">
        <f t="shared" si="44"/>
        <v>0</v>
      </c>
      <c r="J248" s="247">
        <v>315</v>
      </c>
      <c r="K248" s="391">
        <f>IF(I248&gt;0,J248*'Revenues &amp; Expenses'!F256*16,0)</f>
        <v>0</v>
      </c>
      <c r="L248" s="540">
        <f>K248*'Revenues &amp; Expenses'!N256</f>
        <v>0</v>
      </c>
      <c r="M248" s="391"/>
      <c r="N248" s="391"/>
      <c r="AC248" s="637">
        <f t="shared" si="36"/>
        <v>44105</v>
      </c>
      <c r="AD248" s="465">
        <f t="shared" si="41"/>
        <v>239</v>
      </c>
      <c r="AE248" s="465">
        <f t="shared" si="37"/>
        <v>0</v>
      </c>
      <c r="AF248" s="465">
        <f t="shared" si="38"/>
        <v>0</v>
      </c>
      <c r="AG248" s="640">
        <f t="shared" si="39"/>
        <v>0</v>
      </c>
      <c r="AJ248" s="465">
        <f t="shared" si="40"/>
        <v>0</v>
      </c>
      <c r="AK248" s="646">
        <f t="shared" si="33"/>
        <v>0</v>
      </c>
    </row>
    <row r="249" spans="2:38">
      <c r="B249" s="248">
        <f>'Revenues &amp; Expenses'!AX257</f>
        <v>44136</v>
      </c>
      <c r="C249" s="250">
        <f>'PJM Curve Simulation'!J257</f>
        <v>31.497499084472658</v>
      </c>
      <c r="D249" s="250">
        <f t="shared" si="34"/>
        <v>49.515557701361317</v>
      </c>
      <c r="F249" s="250">
        <f>('Fuel Curve Simulation'!J257*'Revenues &amp; Expenses'!$S$2/1000)</f>
        <v>46.023791896551728</v>
      </c>
      <c r="G249" s="250">
        <f>'Revenues &amp; Expenses'!$AM$5*1000*'Revenues &amp; Expenses'!O257</f>
        <v>3.4917658048095883</v>
      </c>
      <c r="H249" s="247">
        <f t="shared" si="42"/>
        <v>240</v>
      </c>
      <c r="I249" s="247">
        <f t="shared" si="44"/>
        <v>0</v>
      </c>
      <c r="J249" s="247">
        <v>315</v>
      </c>
      <c r="K249" s="391">
        <f>IF(I249&gt;0,J249*'Revenues &amp; Expenses'!F257*16,0)</f>
        <v>0</v>
      </c>
      <c r="L249" s="540">
        <f>K249*'Revenues &amp; Expenses'!N257</f>
        <v>0</v>
      </c>
      <c r="M249" s="391"/>
      <c r="N249" s="391"/>
      <c r="AC249" s="637">
        <f t="shared" si="36"/>
        <v>44136</v>
      </c>
      <c r="AD249" s="465">
        <f t="shared" si="41"/>
        <v>240</v>
      </c>
      <c r="AE249" s="465">
        <f t="shared" si="37"/>
        <v>0</v>
      </c>
      <c r="AF249" s="465">
        <f t="shared" si="38"/>
        <v>0</v>
      </c>
      <c r="AG249" s="640">
        <f t="shared" si="39"/>
        <v>0</v>
      </c>
      <c r="AJ249" s="465">
        <f t="shared" si="40"/>
        <v>0</v>
      </c>
      <c r="AK249" s="646">
        <f t="shared" si="33"/>
        <v>0</v>
      </c>
    </row>
    <row r="250" spans="2:38">
      <c r="B250" s="248">
        <f>'Revenues &amp; Expenses'!AX258</f>
        <v>44166</v>
      </c>
      <c r="C250" s="250">
        <f>'PJM Curve Simulation'!J258</f>
        <v>33.249999618530275</v>
      </c>
      <c r="D250" s="250">
        <f t="shared" si="34"/>
        <v>49.932903422930799</v>
      </c>
      <c r="F250" s="250">
        <f>('Fuel Curve Simulation'!J258*'Revenues &amp; Expenses'!$S$2/1000)</f>
        <v>46.433376724137936</v>
      </c>
      <c r="G250" s="250">
        <f>'Revenues &amp; Expenses'!$AM$5*1000*'Revenues &amp; Expenses'!O258</f>
        <v>3.4995266987928604</v>
      </c>
      <c r="H250" s="247">
        <f t="shared" si="42"/>
        <v>241</v>
      </c>
      <c r="I250" s="247">
        <f t="shared" si="44"/>
        <v>0</v>
      </c>
      <c r="J250" s="247">
        <v>315</v>
      </c>
      <c r="K250" s="391">
        <f>IF(I250&gt;0,J250*'Revenues &amp; Expenses'!F258*16,0)</f>
        <v>0</v>
      </c>
      <c r="L250" s="540">
        <f>K250*'Revenues &amp; Expenses'!N258</f>
        <v>0</v>
      </c>
      <c r="M250" s="391">
        <f>SUM(L239:L250)</f>
        <v>75637.360051671872</v>
      </c>
      <c r="N250" s="391">
        <f>SUM(K239:K250)</f>
        <v>332640</v>
      </c>
      <c r="AC250" s="637">
        <f t="shared" si="36"/>
        <v>44166</v>
      </c>
      <c r="AD250" s="465">
        <f t="shared" si="41"/>
        <v>241</v>
      </c>
      <c r="AE250" s="465">
        <f t="shared" si="37"/>
        <v>0</v>
      </c>
      <c r="AF250" s="465">
        <f t="shared" si="38"/>
        <v>0</v>
      </c>
      <c r="AG250" s="640">
        <f t="shared" si="39"/>
        <v>0</v>
      </c>
      <c r="AH250" s="640">
        <f>IF(SUM(AF239:AF250)=0,0,SUM(AE239:AE250)/SUM(AF239:AF250))</f>
        <v>101.6661023121585</v>
      </c>
      <c r="AJ250" s="465">
        <f t="shared" si="40"/>
        <v>0</v>
      </c>
      <c r="AK250" s="646">
        <f t="shared" si="33"/>
        <v>0</v>
      </c>
      <c r="AL250" s="646">
        <f>IF(SUM(AF239:AF250)=0,0,SUM(AJ239:AJ250)/SUM(AF239:AF250))</f>
        <v>46.453520755484895</v>
      </c>
    </row>
    <row r="251" spans="2:38">
      <c r="B251" s="248"/>
      <c r="K251" s="540"/>
      <c r="L251" s="540"/>
      <c r="M251" s="540"/>
      <c r="N251" s="391"/>
    </row>
    <row r="252" spans="2:38">
      <c r="B252" s="248"/>
      <c r="K252" s="391"/>
      <c r="M252" s="391"/>
      <c r="N252" s="391"/>
    </row>
    <row r="253" spans="2:38">
      <c r="B253" s="248"/>
      <c r="M253" s="391"/>
      <c r="N253" s="391"/>
    </row>
    <row r="254" spans="2:38">
      <c r="M254" s="391"/>
      <c r="N254" s="391"/>
    </row>
    <row r="255" spans="2:38">
      <c r="M255" s="391"/>
      <c r="N255" s="391"/>
    </row>
    <row r="256" spans="2:38">
      <c r="M256" s="391"/>
      <c r="N256" s="391"/>
    </row>
    <row r="257" spans="13:38">
      <c r="M257" s="391"/>
      <c r="N257" s="391"/>
    </row>
    <row r="258" spans="13:38">
      <c r="M258" s="391"/>
      <c r="N258" s="391"/>
    </row>
    <row r="259" spans="13:38">
      <c r="M259" s="391"/>
      <c r="N259" s="391"/>
    </row>
    <row r="260" spans="13:38">
      <c r="M260" s="391"/>
      <c r="N260" s="391"/>
    </row>
    <row r="261" spans="13:38">
      <c r="M261" s="391"/>
      <c r="N261" s="391"/>
    </row>
    <row r="262" spans="13:38">
      <c r="M262" s="391"/>
      <c r="N262" s="391"/>
      <c r="AL262" s="646"/>
    </row>
    <row r="263" spans="13:38">
      <c r="M263" s="391"/>
      <c r="N263" s="391"/>
    </row>
    <row r="264" spans="13:38">
      <c r="M264" s="391"/>
      <c r="N264" s="391"/>
    </row>
    <row r="265" spans="13:38">
      <c r="M265" s="391"/>
      <c r="N265" s="391"/>
    </row>
    <row r="266" spans="13:38">
      <c r="M266" s="391"/>
      <c r="N266" s="391"/>
    </row>
    <row r="267" spans="13:38">
      <c r="M267" s="391"/>
      <c r="N267" s="391"/>
    </row>
    <row r="268" spans="13:38">
      <c r="M268" s="391"/>
      <c r="N268" s="391"/>
    </row>
    <row r="269" spans="13:38">
      <c r="M269" s="391"/>
      <c r="N269" s="391"/>
    </row>
    <row r="270" spans="13:38">
      <c r="M270" s="391"/>
      <c r="N270" s="391"/>
    </row>
    <row r="271" spans="13:38">
      <c r="M271" s="391"/>
      <c r="N271" s="391"/>
    </row>
    <row r="272" spans="13:38">
      <c r="M272" s="391"/>
      <c r="N272" s="391"/>
    </row>
    <row r="273" spans="13:38">
      <c r="M273" s="391"/>
      <c r="N273" s="391"/>
    </row>
    <row r="274" spans="13:38">
      <c r="M274" s="391"/>
      <c r="N274" s="391"/>
      <c r="AL274" s="646"/>
    </row>
    <row r="275" spans="13:38">
      <c r="M275" s="391"/>
      <c r="N275" s="391"/>
    </row>
    <row r="276" spans="13:38">
      <c r="M276" s="391"/>
      <c r="N276" s="391"/>
    </row>
    <row r="277" spans="13:38">
      <c r="M277" s="391"/>
      <c r="N277" s="391"/>
    </row>
    <row r="278" spans="13:38">
      <c r="M278" s="391"/>
      <c r="N278" s="391"/>
    </row>
    <row r="279" spans="13:38">
      <c r="M279" s="391"/>
      <c r="N279" s="391"/>
    </row>
    <row r="280" spans="13:38">
      <c r="M280" s="391"/>
      <c r="N280" s="391"/>
    </row>
    <row r="281" spans="13:38">
      <c r="M281" s="391"/>
      <c r="N281" s="391"/>
    </row>
    <row r="282" spans="13:38">
      <c r="M282" s="391"/>
      <c r="N282" s="391"/>
    </row>
    <row r="283" spans="13:38">
      <c r="M283" s="391"/>
      <c r="N283" s="391"/>
    </row>
    <row r="284" spans="13:38">
      <c r="M284" s="391"/>
      <c r="N284" s="391"/>
    </row>
    <row r="285" spans="13:38">
      <c r="M285" s="391"/>
      <c r="N285" s="391"/>
    </row>
    <row r="286" spans="13:38">
      <c r="M286" s="391"/>
      <c r="N286" s="391"/>
      <c r="AL286" s="646"/>
    </row>
    <row r="287" spans="13:38">
      <c r="M287" s="391"/>
      <c r="N287" s="391"/>
    </row>
    <row r="288" spans="13:38">
      <c r="M288" s="391"/>
      <c r="N288" s="391"/>
    </row>
    <row r="289" spans="13:38">
      <c r="M289" s="391"/>
      <c r="N289" s="391"/>
    </row>
    <row r="290" spans="13:38">
      <c r="M290" s="391"/>
      <c r="N290" s="391"/>
    </row>
    <row r="291" spans="13:38">
      <c r="M291" s="391"/>
      <c r="N291" s="391"/>
    </row>
    <row r="292" spans="13:38">
      <c r="M292" s="391"/>
      <c r="N292" s="391"/>
    </row>
    <row r="293" spans="13:38">
      <c r="M293" s="391"/>
      <c r="N293" s="391"/>
    </row>
    <row r="294" spans="13:38">
      <c r="M294" s="391"/>
      <c r="N294" s="391"/>
    </row>
    <row r="295" spans="13:38">
      <c r="M295" s="391"/>
      <c r="N295" s="391"/>
    </row>
    <row r="296" spans="13:38">
      <c r="M296" s="391"/>
      <c r="N296" s="391"/>
    </row>
    <row r="297" spans="13:38">
      <c r="M297" s="391"/>
      <c r="N297" s="391"/>
    </row>
    <row r="298" spans="13:38">
      <c r="M298" s="391"/>
      <c r="N298" s="391"/>
      <c r="AL298" s="646"/>
    </row>
    <row r="299" spans="13:38">
      <c r="M299" s="391"/>
    </row>
    <row r="300" spans="13:38">
      <c r="M300" s="391"/>
    </row>
    <row r="301" spans="13:38">
      <c r="M301" s="391"/>
    </row>
    <row r="302" spans="13:38">
      <c r="M302" s="391"/>
    </row>
    <row r="303" spans="13:38">
      <c r="M303" s="391"/>
    </row>
    <row r="304" spans="13:38">
      <c r="M304" s="391"/>
    </row>
    <row r="305" spans="13:13">
      <c r="M305" s="391"/>
    </row>
    <row r="306" spans="13:13">
      <c r="M306" s="391"/>
    </row>
    <row r="307" spans="13:13">
      <c r="M307" s="391"/>
    </row>
    <row r="308" spans="13:13">
      <c r="M308" s="391"/>
    </row>
    <row r="309" spans="13:13">
      <c r="M309" s="391"/>
    </row>
    <row r="310" spans="13:13">
      <c r="M310" s="391"/>
    </row>
    <row r="311" spans="13:13">
      <c r="M311" s="391"/>
    </row>
    <row r="312" spans="13:13">
      <c r="M312" s="391"/>
    </row>
    <row r="313" spans="13:13">
      <c r="M313" s="391"/>
    </row>
    <row r="314" spans="13:13">
      <c r="M314" s="391"/>
    </row>
    <row r="315" spans="13:13">
      <c r="M315" s="391"/>
    </row>
    <row r="316" spans="13:13">
      <c r="M316" s="391"/>
    </row>
    <row r="317" spans="13:13">
      <c r="M317" s="391"/>
    </row>
    <row r="318" spans="13:13">
      <c r="M318" s="391"/>
    </row>
    <row r="319" spans="13:13">
      <c r="M319" s="391"/>
    </row>
    <row r="320" spans="13:13">
      <c r="M320" s="391"/>
    </row>
    <row r="321" spans="13:13">
      <c r="M321" s="391"/>
    </row>
    <row r="322" spans="13:13">
      <c r="M322" s="391"/>
    </row>
    <row r="323" spans="13:13">
      <c r="M323" s="391"/>
    </row>
    <row r="324" spans="13:13">
      <c r="M324" s="391"/>
    </row>
    <row r="325" spans="13:13">
      <c r="M325" s="391"/>
    </row>
    <row r="326" spans="13:13">
      <c r="M326" s="391"/>
    </row>
    <row r="327" spans="13:13">
      <c r="M327" s="391"/>
    </row>
    <row r="328" spans="13:13">
      <c r="M328" s="391"/>
    </row>
    <row r="329" spans="13:13">
      <c r="M329" s="391"/>
    </row>
    <row r="330" spans="13:13">
      <c r="M330" s="391"/>
    </row>
    <row r="331" spans="13:13">
      <c r="M331" s="391"/>
    </row>
    <row r="332" spans="13:13">
      <c r="M332" s="391"/>
    </row>
    <row r="333" spans="13:13">
      <c r="M333" s="391"/>
    </row>
    <row r="334" spans="13:13">
      <c r="M334" s="391"/>
    </row>
    <row r="335" spans="13:13">
      <c r="M335" s="391"/>
    </row>
    <row r="336" spans="13:13">
      <c r="M336" s="391"/>
    </row>
    <row r="337" spans="13:13">
      <c r="M337" s="391"/>
    </row>
    <row r="338" spans="13:13">
      <c r="M338" s="391"/>
    </row>
    <row r="339" spans="13:13">
      <c r="M339" s="391"/>
    </row>
    <row r="340" spans="13:13">
      <c r="M340" s="391"/>
    </row>
    <row r="341" spans="13:13">
      <c r="M341" s="391"/>
    </row>
    <row r="342" spans="13:13">
      <c r="M342" s="391"/>
    </row>
    <row r="343" spans="13:13">
      <c r="M343" s="391"/>
    </row>
    <row r="344" spans="13:13">
      <c r="M344" s="391"/>
    </row>
    <row r="345" spans="13:13">
      <c r="M345" s="391"/>
    </row>
    <row r="346" spans="13:13">
      <c r="M346" s="391"/>
    </row>
    <row r="347" spans="13:13">
      <c r="M347" s="391"/>
    </row>
    <row r="348" spans="13:13">
      <c r="M348" s="391"/>
    </row>
    <row r="349" spans="13:13">
      <c r="M349" s="391"/>
    </row>
    <row r="350" spans="13:13">
      <c r="M350" s="391"/>
    </row>
    <row r="351" spans="13:13">
      <c r="M351" s="391"/>
    </row>
    <row r="352" spans="13:13">
      <c r="M352" s="391"/>
    </row>
    <row r="353" spans="13:13">
      <c r="M353" s="391"/>
    </row>
    <row r="354" spans="13:13">
      <c r="M354" s="391"/>
    </row>
    <row r="355" spans="13:13">
      <c r="M355" s="391"/>
    </row>
    <row r="356" spans="13:13">
      <c r="M356" s="391"/>
    </row>
    <row r="357" spans="13:13">
      <c r="M357" s="391"/>
    </row>
    <row r="358" spans="13:13">
      <c r="M358" s="391"/>
    </row>
    <row r="359" spans="13:13">
      <c r="M359" s="391"/>
    </row>
    <row r="360" spans="13:13">
      <c r="M360" s="391"/>
    </row>
    <row r="361" spans="13:13">
      <c r="M361" s="391"/>
    </row>
    <row r="362" spans="13:13">
      <c r="M362" s="391"/>
    </row>
    <row r="363" spans="13:13">
      <c r="M363" s="391"/>
    </row>
    <row r="364" spans="13:13">
      <c r="M364" s="391"/>
    </row>
    <row r="365" spans="13:13">
      <c r="M365" s="391"/>
    </row>
    <row r="366" spans="13:13">
      <c r="M366" s="391"/>
    </row>
    <row r="367" spans="13:13">
      <c r="M367" s="391"/>
    </row>
    <row r="368" spans="13:13">
      <c r="M368" s="391"/>
    </row>
    <row r="369" spans="13:13">
      <c r="M369" s="391"/>
    </row>
    <row r="370" spans="13:13">
      <c r="M370" s="391"/>
    </row>
    <row r="371" spans="13:13">
      <c r="M371" s="391"/>
    </row>
    <row r="372" spans="13:13">
      <c r="M372" s="391"/>
    </row>
    <row r="373" spans="13:13">
      <c r="M373" s="391"/>
    </row>
    <row r="374" spans="13:13">
      <c r="M374" s="391"/>
    </row>
    <row r="375" spans="13:13">
      <c r="M375" s="391"/>
    </row>
    <row r="376" spans="13:13">
      <c r="M376" s="391"/>
    </row>
    <row r="377" spans="13:13">
      <c r="M377" s="391"/>
    </row>
    <row r="378" spans="13:13">
      <c r="M378" s="391"/>
    </row>
    <row r="379" spans="13:13">
      <c r="M379" s="391"/>
    </row>
    <row r="380" spans="13:13">
      <c r="M380" s="391"/>
    </row>
    <row r="381" spans="13:13">
      <c r="M381" s="391"/>
    </row>
    <row r="382" spans="13:13">
      <c r="M382" s="391"/>
    </row>
    <row r="383" spans="13:13">
      <c r="M383" s="391"/>
    </row>
    <row r="384" spans="13:13">
      <c r="M384" s="391"/>
    </row>
    <row r="385" spans="13:13">
      <c r="M385" s="391"/>
    </row>
    <row r="386" spans="13:13">
      <c r="M386" s="391"/>
    </row>
    <row r="387" spans="13:13">
      <c r="M387" s="391"/>
    </row>
    <row r="388" spans="13:13">
      <c r="M388" s="391"/>
    </row>
    <row r="389" spans="13:13">
      <c r="M389" s="391"/>
    </row>
    <row r="390" spans="13:13">
      <c r="M390" s="391"/>
    </row>
    <row r="391" spans="13:13">
      <c r="M391" s="391"/>
    </row>
    <row r="392" spans="13:13">
      <c r="M392" s="391"/>
    </row>
    <row r="393" spans="13:13">
      <c r="M393" s="391"/>
    </row>
    <row r="394" spans="13:13">
      <c r="M394" s="391"/>
    </row>
  </sheetData>
  <pageMargins left="0.75" right="0.75" top="1" bottom="1" header="0.5" footer="0.5"/>
  <pageSetup scale="64" orientation="landscape" horizont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E246"/>
  <sheetViews>
    <sheetView workbookViewId="0">
      <selection activeCell="F37" sqref="F37"/>
    </sheetView>
  </sheetViews>
  <sheetFormatPr defaultColWidth="9.109375" defaultRowHeight="13.2"/>
  <cols>
    <col min="1" max="1" width="9.109375" style="466"/>
    <col min="2" max="2" width="29.33203125" style="470" customWidth="1"/>
    <col min="3" max="3" width="12.109375" style="467" bestFit="1" customWidth="1"/>
    <col min="4" max="4" width="1.109375" style="466" customWidth="1"/>
    <col min="5" max="5" width="1.33203125" style="466" customWidth="1"/>
    <col min="6" max="6" width="10.33203125" style="466" bestFit="1" customWidth="1"/>
    <col min="7" max="7" width="3.33203125" style="466" customWidth="1"/>
    <col min="8" max="8" width="10.109375" style="466" bestFit="1" customWidth="1"/>
    <col min="9" max="9" width="12.88671875" style="466" bestFit="1" customWidth="1"/>
    <col min="10" max="10" width="9.44140625" style="466" bestFit="1" customWidth="1"/>
    <col min="11" max="11" width="0.88671875" style="466" customWidth="1"/>
    <col min="12" max="13" width="12.33203125" style="466" bestFit="1" customWidth="1"/>
    <col min="14" max="14" width="13.44140625" style="466" customWidth="1"/>
    <col min="15" max="15" width="0.88671875" style="466" customWidth="1"/>
    <col min="16" max="16" width="14.33203125" style="466" customWidth="1"/>
    <col min="17" max="18" width="0.6640625" style="466" customWidth="1"/>
    <col min="19" max="20" width="9.109375" style="466"/>
    <col min="21" max="24" width="9.109375" style="473"/>
    <col min="25" max="16384" width="9.109375" style="466"/>
  </cols>
  <sheetData>
    <row r="2" spans="2:31" s="479" customFormat="1" ht="20.399999999999999">
      <c r="B2" s="751" t="s">
        <v>265</v>
      </c>
      <c r="C2" s="751"/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U2" s="480"/>
      <c r="V2" s="480"/>
      <c r="W2" s="480"/>
      <c r="X2" s="480"/>
    </row>
    <row r="4" spans="2:31">
      <c r="O4" s="466">
        <f>SUM(O8:O28)-SUM('Curve Analysis - Base Case'!V4:V24)</f>
        <v>0</v>
      </c>
    </row>
    <row r="5" spans="2:31" ht="13.8" thickBot="1">
      <c r="C5" s="481" t="s">
        <v>92</v>
      </c>
      <c r="F5" s="482" t="s">
        <v>178</v>
      </c>
      <c r="H5" s="393"/>
      <c r="I5" s="401"/>
      <c r="J5" s="401"/>
      <c r="K5" s="459"/>
      <c r="L5" s="457" t="s">
        <v>243</v>
      </c>
      <c r="M5" s="457" t="s">
        <v>244</v>
      </c>
      <c r="N5" s="401"/>
      <c r="O5" s="459"/>
      <c r="P5" s="401"/>
      <c r="Q5" s="401"/>
      <c r="R5" s="402"/>
      <c r="U5" s="473" t="s">
        <v>117</v>
      </c>
      <c r="V5" s="473" t="s">
        <v>257</v>
      </c>
      <c r="W5" s="473" t="s">
        <v>89</v>
      </c>
      <c r="X5" s="473" t="s">
        <v>208</v>
      </c>
    </row>
    <row r="6" spans="2:31">
      <c r="B6" s="470" t="s">
        <v>253</v>
      </c>
      <c r="C6" s="465">
        <f>SUM('Revenues &amp; Expenses'!AC12:AC246)</f>
        <v>3915555.7561831726</v>
      </c>
      <c r="F6" s="465">
        <f>C6</f>
        <v>3915555.7561831726</v>
      </c>
      <c r="H6" s="403"/>
      <c r="I6" s="404"/>
      <c r="J6" s="405" t="s">
        <v>220</v>
      </c>
      <c r="K6" s="460"/>
      <c r="L6" s="405" t="s">
        <v>240</v>
      </c>
      <c r="M6" s="405" t="s">
        <v>241</v>
      </c>
      <c r="N6" s="405" t="s">
        <v>246</v>
      </c>
      <c r="O6" s="460"/>
      <c r="P6" s="502" t="s">
        <v>264</v>
      </c>
      <c r="Q6" s="404"/>
      <c r="R6" s="406"/>
      <c r="T6" s="54">
        <v>36678</v>
      </c>
      <c r="U6" s="474">
        <f>'Company Gas Prices'!C25</f>
        <v>4.2322916700000004</v>
      </c>
      <c r="V6" s="474">
        <f>(U6*'Revenues &amp; Expenses'!$S$2)/1000</f>
        <v>40.541121906930009</v>
      </c>
      <c r="W6" s="474">
        <f>'Revenues &amp; Expenses'!O12*'Revenues &amp; Expenses'!$AM$5*1000</f>
        <v>2.0268201696253172</v>
      </c>
      <c r="X6" s="473">
        <f>V6+W6</f>
        <v>42.567942076555326</v>
      </c>
    </row>
    <row r="7" spans="2:31" ht="13.8" thickBot="1">
      <c r="B7" s="470" t="s">
        <v>254</v>
      </c>
      <c r="C7" s="465">
        <f>SUMPRODUCT('Revenues &amp; Expenses'!AC12:AC246,'Revenues &amp; Expenses'!N12:N246)</f>
        <v>2024948.2074460909</v>
      </c>
      <c r="F7" s="465">
        <f>C7</f>
        <v>2024948.2074460909</v>
      </c>
      <c r="H7" s="403"/>
      <c r="I7" s="407" t="s">
        <v>215</v>
      </c>
      <c r="J7" s="426">
        <f ca="1">'Curve Analysis - Base Case'!Q3</f>
        <v>1</v>
      </c>
      <c r="K7" s="461"/>
      <c r="L7" s="456" t="s">
        <v>239</v>
      </c>
      <c r="M7" s="456" t="s">
        <v>242</v>
      </c>
      <c r="N7" s="456" t="s">
        <v>245</v>
      </c>
      <c r="O7" s="461"/>
      <c r="P7" s="542">
        <v>0</v>
      </c>
      <c r="Q7" s="404"/>
      <c r="R7" s="406"/>
      <c r="T7" s="54">
        <v>36708</v>
      </c>
      <c r="U7" s="474">
        <f>'Company Gas Prices'!C26</f>
        <v>4.1906249999999998</v>
      </c>
      <c r="V7" s="474">
        <f>(U7*'Revenues &amp; Expenses'!$S$2)/1000</f>
        <v>40.141996874999997</v>
      </c>
      <c r="W7" s="474">
        <f>'Revenues &amp; Expenses'!O13*'Revenues &amp; Expenses'!$AM$5*1000</f>
        <v>2.03132503545508</v>
      </c>
      <c r="X7" s="473">
        <f t="shared" ref="X7:X24" si="0">V7+W7</f>
        <v>42.17332191045508</v>
      </c>
    </row>
    <row r="8" spans="2:31">
      <c r="F8" s="467"/>
      <c r="H8" s="409">
        <v>36891</v>
      </c>
      <c r="I8" s="427" t="str">
        <f>'Curve Analysis - Base Case'!P4</f>
        <v>n/a</v>
      </c>
      <c r="J8" s="404">
        <f>'Curve Analysis - Base Case'!Q4</f>
        <v>0</v>
      </c>
      <c r="K8" s="380"/>
      <c r="L8" s="455">
        <f>'Curve Analysis - Base Case'!S4</f>
        <v>146728833.38546032</v>
      </c>
      <c r="M8" s="455">
        <f ca="1">'Curve Analysis - Base Case'!T4</f>
        <v>125699173.57010761</v>
      </c>
      <c r="N8" s="455">
        <f ca="1">'Curve Analysis - Base Case'!U4</f>
        <v>21029659.815352708</v>
      </c>
      <c r="O8" s="463"/>
      <c r="P8" s="405"/>
      <c r="Q8" s="404"/>
      <c r="R8" s="406"/>
      <c r="T8" s="54">
        <v>36739</v>
      </c>
      <c r="U8" s="474">
        <f>'Company Gas Prices'!C27</f>
        <v>4.1906249999999998</v>
      </c>
      <c r="V8" s="474">
        <f>(U8*'Revenues &amp; Expenses'!$S$2)/1000</f>
        <v>40.141996874999997</v>
      </c>
      <c r="W8" s="474">
        <f>'Revenues &amp; Expenses'!O14*'Revenues &amp; Expenses'!$AM$5*1000</f>
        <v>2.0358399139225933</v>
      </c>
      <c r="X8" s="473">
        <f t="shared" si="0"/>
        <v>42.17783678892259</v>
      </c>
    </row>
    <row r="9" spans="2:31">
      <c r="B9" s="470" t="s">
        <v>255</v>
      </c>
      <c r="C9" s="475">
        <f>SUMPRODUCT('Revenues &amp; Expenses'!AC12:AC246,'Revenues &amp; Expenses'!N12:N246,'Company Power Prices'!C25:C259)/SUMPRODUCT('Revenues &amp; Expenses'!AC12:AC246,'Revenues &amp; Expenses'!N12:N246)</f>
        <v>110.96777146870559</v>
      </c>
      <c r="F9" s="475">
        <f>SUMPRODUCT('Revenues &amp; Expenses'!AC12:AC246,'Revenues &amp; Expenses'!N12:N246,'Revenues &amp; Expenses'!X12:X246)/SUMPRODUCT('Revenues &amp; Expenses'!AC12:AC246,'Revenues &amp; Expenses'!N12:N246)</f>
        <v>65.735434811653619</v>
      </c>
      <c r="H9" s="409">
        <v>37256.25</v>
      </c>
      <c r="I9" s="427">
        <f ca="1">'Curve Analysis - Base Case'!P5</f>
        <v>0.38781142524897433</v>
      </c>
      <c r="J9" s="404">
        <f ca="1">'Curve Analysis - Base Case'!Q5</f>
        <v>1</v>
      </c>
      <c r="K9" s="380"/>
      <c r="L9" s="455">
        <f>'Curve Analysis - Base Case'!S5</f>
        <v>136480707.99908632</v>
      </c>
      <c r="M9" s="455">
        <f ca="1">'Curve Analysis - Base Case'!T5</f>
        <v>115070700.64399382</v>
      </c>
      <c r="N9" s="455">
        <f ca="1">'Curve Analysis - Base Case'!U5</f>
        <v>21410007.355092496</v>
      </c>
      <c r="O9" s="463"/>
      <c r="P9" s="405"/>
      <c r="Q9" s="404"/>
      <c r="R9" s="406"/>
      <c r="T9" s="54">
        <v>36770</v>
      </c>
      <c r="U9" s="474">
        <f>'Company Gas Prices'!C28</f>
        <v>4.2416666699999999</v>
      </c>
      <c r="V9" s="474">
        <f>(U9*'Revenues &amp; Expenses'!$S$2)/1000</f>
        <v>40.630925031929998</v>
      </c>
      <c r="W9" s="474">
        <f>'Revenues &amp; Expenses'!O15*'Revenues &amp; Expenses'!$AM$5*1000</f>
        <v>2.0403648272822195</v>
      </c>
      <c r="X9" s="473">
        <f t="shared" si="0"/>
        <v>42.671289859212216</v>
      </c>
    </row>
    <row r="10" spans="2:31">
      <c r="B10" s="470" t="s">
        <v>261</v>
      </c>
      <c r="C10" s="476">
        <f>SUMPRODUCT(X6:X240,'Revenues &amp; Expenses'!AC12:AC246,'Revenues &amp; Expenses'!N12:N246)/SUMPRODUCT('Revenues &amp; Expenses'!AC12:AC246,'Revenues &amp; Expenses'!N12:N246)</f>
        <v>39.171558950916676</v>
      </c>
      <c r="F10" s="476">
        <f>SUMPRODUCT('Revenues &amp; Expenses'!AC12:AC246,'Revenues &amp; Expenses'!N12:N246,'Curve Analysis - Base Case'!D4:D238)/SUMPRODUCT('Revenues &amp; Expenses'!AC12:AC246,'Revenues &amp; Expenses'!N12:N246)</f>
        <v>46.564705997114245</v>
      </c>
      <c r="H10" s="409">
        <v>37621.5</v>
      </c>
      <c r="I10" s="427">
        <f ca="1">'Curve Analysis - Base Case'!P6</f>
        <v>0.38329541065497996</v>
      </c>
      <c r="J10" s="404">
        <f ca="1">'Curve Analysis - Base Case'!Q6</f>
        <v>1</v>
      </c>
      <c r="K10" s="380"/>
      <c r="L10" s="455">
        <f>'Curve Analysis - Base Case'!S6</f>
        <v>126589381.2466788</v>
      </c>
      <c r="M10" s="455">
        <f ca="1">'Curve Analysis - Base Case'!T6</f>
        <v>104259585.96121681</v>
      </c>
      <c r="N10" s="455">
        <f ca="1">'Curve Analysis - Base Case'!U6</f>
        <v>22329795.285461992</v>
      </c>
      <c r="O10" s="463"/>
      <c r="P10" s="405"/>
      <c r="Q10" s="404"/>
      <c r="R10" s="406"/>
      <c r="T10" s="54">
        <v>36800</v>
      </c>
      <c r="U10" s="474">
        <f>'Company Gas Prices'!C29</f>
        <v>4.1968750000000004</v>
      </c>
      <c r="V10" s="474">
        <f>(U10*'Revenues &amp; Expenses'!$S$2)/1000</f>
        <v>40.201865625000003</v>
      </c>
      <c r="W10" s="474">
        <f>'Revenues &amp; Expenses'!O16*'Revenues &amp; Expenses'!$AM$5*1000</f>
        <v>2.044899797837783</v>
      </c>
      <c r="X10" s="473">
        <f t="shared" si="0"/>
        <v>42.24676542283779</v>
      </c>
      <c r="AE10" s="475">
        <f>SUMPRODUCT('Curve Analysis - Base Case'!C4:C250,'Curve Analysis - Base Case'!K4:K250,'Revenues &amp; Expenses'!N12:N258)/SUMPRODUCT('Revenues &amp; Expenses'!N12:N258,'Curve Analysis - Base Case'!K4:K250)</f>
        <v>85.553865725656266</v>
      </c>
    </row>
    <row r="11" spans="2:31">
      <c r="B11" s="504" t="s">
        <v>266</v>
      </c>
      <c r="C11" s="477">
        <f>C9-C10</f>
        <v>71.796212517788916</v>
      </c>
      <c r="F11" s="477">
        <f>F9-F10</f>
        <v>19.170728814539373</v>
      </c>
      <c r="H11" s="409">
        <v>37986.75</v>
      </c>
      <c r="I11" s="427">
        <f ca="1">'Curve Analysis - Base Case'!P7</f>
        <v>0.40281353052696295</v>
      </c>
      <c r="J11" s="404">
        <f ca="1">'Curve Analysis - Base Case'!Q7</f>
        <v>1</v>
      </c>
      <c r="K11" s="380"/>
      <c r="L11" s="455">
        <f>'Curve Analysis - Base Case'!S7</f>
        <v>117341504.33018452</v>
      </c>
      <c r="M11" s="455">
        <f ca="1">'Curve Analysis - Base Case'!T7</f>
        <v>94212055.758355528</v>
      </c>
      <c r="N11" s="455">
        <f ca="1">'Curve Analysis - Base Case'!U7</f>
        <v>23129448.571828991</v>
      </c>
      <c r="O11" s="463"/>
      <c r="P11" s="405"/>
      <c r="Q11" s="404"/>
      <c r="R11" s="406"/>
      <c r="T11" s="54">
        <v>36831</v>
      </c>
      <c r="U11" s="474">
        <f>'Company Gas Prices'!C30</f>
        <v>4.1968750000000004</v>
      </c>
      <c r="V11" s="474">
        <f>(U11*'Revenues &amp; Expenses'!$S$2)/1000</f>
        <v>40.201865625000003</v>
      </c>
      <c r="W11" s="474">
        <f>'Revenues &amp; Expenses'!O17*'Revenues &amp; Expenses'!$AM$5*1000</f>
        <v>2.049444847942683</v>
      </c>
      <c r="X11" s="473">
        <f t="shared" si="0"/>
        <v>42.251310472942684</v>
      </c>
      <c r="AE11" s="476">
        <f>SUMPRODUCT('Curve Analysis - Base Case'!D4:D250,'Curve Analysis - Base Case'!K4:K250,'Revenues &amp; Expenses'!N12:N258)/SUMPRODUCT('Revenues &amp; Expenses'!N12:N258,'Curve Analysis - Base Case'!K4:K250)</f>
        <v>46.432057692072924</v>
      </c>
    </row>
    <row r="12" spans="2:31">
      <c r="F12" s="467"/>
      <c r="H12" s="409">
        <v>38352</v>
      </c>
      <c r="I12" s="427">
        <f ca="1">'Curve Analysis - Base Case'!P8</f>
        <v>0.41114843012933455</v>
      </c>
      <c r="J12" s="404">
        <f ca="1">'Curve Analysis - Base Case'!Q8</f>
        <v>1</v>
      </c>
      <c r="K12" s="380"/>
      <c r="L12" s="455">
        <f>'Curve Analysis - Base Case'!S8</f>
        <v>108572374.39643109</v>
      </c>
      <c r="M12" s="455">
        <f ca="1">'Curve Analysis - Base Case'!T8</f>
        <v>84878611.275394306</v>
      </c>
      <c r="N12" s="455">
        <f ca="1">'Curve Analysis - Base Case'!U8</f>
        <v>23693763.121036783</v>
      </c>
      <c r="O12" s="463"/>
      <c r="P12" s="404"/>
      <c r="Q12" s="404"/>
      <c r="R12" s="406"/>
      <c r="T12" s="54">
        <v>36861</v>
      </c>
      <c r="U12" s="474">
        <f>'Company Gas Prices'!C31</f>
        <v>4.1968750000000004</v>
      </c>
      <c r="V12" s="474">
        <f>(U12*'Revenues &amp; Expenses'!$S$2)/1000</f>
        <v>40.201865625000003</v>
      </c>
      <c r="W12" s="474">
        <f>'Revenues &amp; Expenses'!O18*'Revenues &amp; Expenses'!$AM$5*1000</f>
        <v>2.0539999999999998</v>
      </c>
      <c r="X12" s="473">
        <f t="shared" si="0"/>
        <v>42.255865625000006</v>
      </c>
      <c r="AE12" s="477">
        <f>AE10-AE11</f>
        <v>39.121808033583342</v>
      </c>
    </row>
    <row r="13" spans="2:31">
      <c r="B13" s="470" t="s">
        <v>247</v>
      </c>
      <c r="F13" s="467"/>
      <c r="H13" s="409">
        <v>38717.25</v>
      </c>
      <c r="I13" s="427">
        <f ca="1">'Curve Analysis - Base Case'!P9</f>
        <v>0.44109408711634829</v>
      </c>
      <c r="J13" s="404">
        <f ca="1">'Curve Analysis - Base Case'!Q9</f>
        <v>1</v>
      </c>
      <c r="K13" s="380"/>
      <c r="L13" s="455">
        <f>'Curve Analysis - Base Case'!S9</f>
        <v>100170696.8000201</v>
      </c>
      <c r="M13" s="455">
        <f ca="1">'Curve Analysis - Base Case'!T9</f>
        <v>76215211.035010278</v>
      </c>
      <c r="N13" s="455">
        <f ca="1">'Curve Analysis - Base Case'!U9</f>
        <v>23955485.76500982</v>
      </c>
      <c r="O13" s="463"/>
      <c r="P13" s="404"/>
      <c r="Q13" s="404"/>
      <c r="R13" s="406"/>
      <c r="T13" s="54">
        <v>36892</v>
      </c>
      <c r="U13" s="474">
        <f>'Company Gas Prices'!C32</f>
        <v>3.8354166699999999</v>
      </c>
      <c r="V13" s="474">
        <f>(U13*'Revenues &amp; Expenses'!$S$2)/1000</f>
        <v>36.739456281929996</v>
      </c>
      <c r="W13" s="474">
        <f>'Revenues &amp; Expenses'!O19*'Revenues &amp; Expenses'!$AM$5*1000</f>
        <v>2.0585652764626095</v>
      </c>
      <c r="X13" s="473">
        <f t="shared" si="0"/>
        <v>38.798021558392605</v>
      </c>
    </row>
    <row r="14" spans="2:31">
      <c r="B14" s="470" t="s">
        <v>248</v>
      </c>
      <c r="C14" s="467">
        <f>136957+6495</f>
        <v>143452</v>
      </c>
      <c r="F14" s="467">
        <f>136957+6495</f>
        <v>143452</v>
      </c>
      <c r="H14" s="409">
        <v>39082.5</v>
      </c>
      <c r="I14" s="427">
        <f ca="1">'Curve Analysis - Base Case'!P10</f>
        <v>0.4752229065730772</v>
      </c>
      <c r="J14" s="404">
        <f ca="1">'Curve Analysis - Base Case'!Q10</f>
        <v>1</v>
      </c>
      <c r="K14" s="380"/>
      <c r="L14" s="455">
        <f>'Curve Analysis - Base Case'!S10</f>
        <v>91985786.210550532</v>
      </c>
      <c r="M14" s="455">
        <f ca="1">'Curve Analysis - Base Case'!T10</f>
        <v>68168466.493341029</v>
      </c>
      <c r="N14" s="455">
        <f ca="1">'Curve Analysis - Base Case'!U10</f>
        <v>23817319.717209503</v>
      </c>
      <c r="O14" s="463"/>
      <c r="P14" s="404"/>
      <c r="Q14" s="404"/>
      <c r="R14" s="406"/>
      <c r="T14" s="54">
        <v>36923</v>
      </c>
      <c r="U14" s="474">
        <f>'Company Gas Prices'!C33</f>
        <v>3.8354166699999999</v>
      </c>
      <c r="V14" s="474">
        <f>(U14*'Revenues &amp; Expenses'!$S$2)/1000</f>
        <v>36.739456281929996</v>
      </c>
      <c r="W14" s="474">
        <f>'Revenues &amp; Expenses'!O20*'Revenues &amp; Expenses'!$AM$5*1000</f>
        <v>2.0631406998332911</v>
      </c>
      <c r="X14" s="473">
        <f t="shared" si="0"/>
        <v>38.802596981763287</v>
      </c>
    </row>
    <row r="15" spans="2:31">
      <c r="B15" s="470" t="s">
        <v>249</v>
      </c>
      <c r="C15" s="467">
        <f>23082+5022+4592+1</f>
        <v>32697</v>
      </c>
      <c r="F15" s="467">
        <f>23082+5022+4592+1</f>
        <v>32697</v>
      </c>
      <c r="H15" s="409">
        <v>39447.75</v>
      </c>
      <c r="I15" s="427">
        <f ca="1">'Curve Analysis - Base Case'!P11</f>
        <v>0.49412761994843413</v>
      </c>
      <c r="J15" s="404">
        <f ca="1">'Curve Analysis - Base Case'!Q11</f>
        <v>1</v>
      </c>
      <c r="K15" s="380"/>
      <c r="L15" s="455">
        <f>'Curve Analysis - Base Case'!S11</f>
        <v>84020117.693447247</v>
      </c>
      <c r="M15" s="455">
        <f ca="1">'Curve Analysis - Base Case'!T11</f>
        <v>60696494.042000212</v>
      </c>
      <c r="N15" s="455">
        <f ca="1">'Curve Analysis - Base Case'!U11</f>
        <v>23323623.651447035</v>
      </c>
      <c r="O15" s="463"/>
      <c r="P15" s="404"/>
      <c r="Q15" s="404"/>
      <c r="R15" s="406"/>
      <c r="T15" s="54">
        <v>36951</v>
      </c>
      <c r="U15" s="474">
        <f>'Company Gas Prices'!C34</f>
        <v>3.8354166699999999</v>
      </c>
      <c r="V15" s="474">
        <f>(U15*'Revenues &amp; Expenses'!$S$2)/1000</f>
        <v>36.739456281929996</v>
      </c>
      <c r="W15" s="474">
        <f>'Revenues &amp; Expenses'!O21*'Revenues &amp; Expenses'!$AM$5*1000</f>
        <v>2.0677262926648394</v>
      </c>
      <c r="X15" s="473">
        <f t="shared" si="0"/>
        <v>38.807182574594833</v>
      </c>
    </row>
    <row r="16" spans="2:31">
      <c r="C16" s="468">
        <f>C14+C15</f>
        <v>176149</v>
      </c>
      <c r="F16" s="468">
        <f>F14+F15</f>
        <v>176149</v>
      </c>
      <c r="H16" s="409">
        <v>39813</v>
      </c>
      <c r="I16" s="427">
        <f ca="1">'Curve Analysis - Base Case'!P12</f>
        <v>0.52145606891854657</v>
      </c>
      <c r="J16" s="404">
        <f ca="1">'Curve Analysis - Base Case'!Q12</f>
        <v>1</v>
      </c>
      <c r="K16" s="380"/>
      <c r="L16" s="455">
        <f>'Curve Analysis - Base Case'!S12</f>
        <v>76383990.497571245</v>
      </c>
      <c r="M16" s="455">
        <f ca="1">'Curve Analysis - Base Case'!T12</f>
        <v>53758445.43310114</v>
      </c>
      <c r="N16" s="455">
        <f ca="1">'Curve Analysis - Base Case'!U12</f>
        <v>22625545.064470105</v>
      </c>
      <c r="O16" s="463"/>
      <c r="P16" s="404"/>
      <c r="Q16" s="404"/>
      <c r="R16" s="406"/>
      <c r="T16" s="54">
        <v>36982</v>
      </c>
      <c r="U16" s="474">
        <f>'Company Gas Prices'!C35</f>
        <v>3.98020833</v>
      </c>
      <c r="V16" s="474">
        <f>(U16*'Revenues &amp; Expenses'!$S$2)/1000</f>
        <v>38.12641559307</v>
      </c>
      <c r="W16" s="474">
        <f>'Revenues &amp; Expenses'!O22*'Revenues &amp; Expenses'!$AM$5*1000</f>
        <v>2.0723220775601763</v>
      </c>
      <c r="X16" s="473">
        <f t="shared" si="0"/>
        <v>40.198737670630173</v>
      </c>
    </row>
    <row r="17" spans="1:24">
      <c r="F17" s="467"/>
      <c r="H17" s="409">
        <v>40178.25</v>
      </c>
      <c r="I17" s="427">
        <f ca="1">'Curve Analysis - Base Case'!P13</f>
        <v>0.56955453062379047</v>
      </c>
      <c r="J17" s="404">
        <f ca="1">'Curve Analysis - Base Case'!Q13</f>
        <v>1</v>
      </c>
      <c r="K17" s="380"/>
      <c r="L17" s="455">
        <f>'Curve Analysis - Base Case'!S13</f>
        <v>69008649.87874338</v>
      </c>
      <c r="M17" s="455">
        <f ca="1">'Curve Analysis - Base Case'!T13</f>
        <v>47317509.075642727</v>
      </c>
      <c r="N17" s="455">
        <f ca="1">'Curve Analysis - Base Case'!U13</f>
        <v>21691140.803100653</v>
      </c>
      <c r="O17" s="463"/>
      <c r="P17" s="404"/>
      <c r="Q17" s="404"/>
      <c r="R17" s="406"/>
      <c r="T17" s="54">
        <v>37012</v>
      </c>
      <c r="U17" s="474">
        <f>'Company Gas Prices'!C36</f>
        <v>3.8177083299999999</v>
      </c>
      <c r="V17" s="474">
        <f>(U17*'Revenues &amp; Expenses'!$S$2)/1000</f>
        <v>36.569828093070001</v>
      </c>
      <c r="W17" s="474">
        <f>'Revenues &amp; Expenses'!O23*'Revenues &amp; Expenses'!$AM$5*1000</f>
        <v>2.0769280771724605</v>
      </c>
      <c r="X17" s="473">
        <f t="shared" si="0"/>
        <v>38.646756170242462</v>
      </c>
    </row>
    <row r="18" spans="1:24">
      <c r="B18" s="470" t="s">
        <v>259</v>
      </c>
      <c r="C18" s="467">
        <v>90000</v>
      </c>
      <c r="F18" s="467">
        <v>90000</v>
      </c>
      <c r="H18" s="409">
        <v>40543.5</v>
      </c>
      <c r="I18" s="427">
        <f ca="1">'Curve Analysis - Base Case'!P14</f>
        <v>0.60507678630198303</v>
      </c>
      <c r="J18" s="404">
        <f ca="1">'Curve Analysis - Base Case'!Q14</f>
        <v>1</v>
      </c>
      <c r="K18" s="380"/>
      <c r="L18" s="455">
        <f>'Curve Analysis - Base Case'!S14</f>
        <v>61803977.533396475</v>
      </c>
      <c r="M18" s="455">
        <f ca="1">'Curve Analysis - Base Case'!T14</f>
        <v>41336395.793963343</v>
      </c>
      <c r="N18" s="455">
        <f ca="1">'Curve Analysis - Base Case'!U14</f>
        <v>20467581.739433132</v>
      </c>
      <c r="O18" s="463"/>
      <c r="P18" s="404"/>
      <c r="Q18" s="404"/>
      <c r="R18" s="406"/>
      <c r="T18" s="54">
        <v>37043</v>
      </c>
      <c r="U18" s="474">
        <f>'Company Gas Prices'!C37</f>
        <v>3.8093750000000002</v>
      </c>
      <c r="V18" s="474">
        <f>(U18*'Revenues &amp; Expenses'!$S$2)/1000</f>
        <v>36.490003125000001</v>
      </c>
      <c r="W18" s="474">
        <f>'Revenues &amp; Expenses'!O24*'Revenues &amp; Expenses'!$AM$5*1000</f>
        <v>2.0815443142052006</v>
      </c>
      <c r="X18" s="473">
        <f t="shared" si="0"/>
        <v>38.571547439205204</v>
      </c>
    </row>
    <row r="19" spans="1:24">
      <c r="B19" s="470" t="s">
        <v>250</v>
      </c>
      <c r="C19" s="467">
        <f>C16-C18</f>
        <v>86149</v>
      </c>
      <c r="F19" s="467">
        <f>F16-F18</f>
        <v>86149</v>
      </c>
      <c r="H19" s="409">
        <v>40908.75</v>
      </c>
      <c r="I19" s="427">
        <f ca="1">'Curve Analysis - Base Case'!P15</f>
        <v>0.62473473246597278</v>
      </c>
      <c r="J19" s="404">
        <f ca="1">'Curve Analysis - Base Case'!Q15</f>
        <v>1</v>
      </c>
      <c r="K19" s="380"/>
      <c r="L19" s="455">
        <f>'Curve Analysis - Base Case'!S15</f>
        <v>54867046.023276813</v>
      </c>
      <c r="M19" s="455">
        <f ca="1">'Curve Analysis - Base Case'!T15</f>
        <v>35773300.85174644</v>
      </c>
      <c r="N19" s="455">
        <f ca="1">'Curve Analysis - Base Case'!U15</f>
        <v>19093745.171530373</v>
      </c>
      <c r="O19" s="463"/>
      <c r="P19" s="404"/>
      <c r="Q19" s="404"/>
      <c r="R19" s="406"/>
      <c r="T19" s="54">
        <v>37073</v>
      </c>
      <c r="U19" s="474">
        <f>'Company Gas Prices'!C38</f>
        <v>3.7718750000000001</v>
      </c>
      <c r="V19" s="474">
        <f>(U19*'Revenues &amp; Expenses'!$S$2)/1000</f>
        <v>36.130790625000003</v>
      </c>
      <c r="W19" s="474">
        <f>'Revenues &amp; Expenses'!O25*'Revenues &amp; Expenses'!$AM$5*1000</f>
        <v>2.0861708114123672</v>
      </c>
      <c r="X19" s="473">
        <f t="shared" si="0"/>
        <v>38.216961436412369</v>
      </c>
    </row>
    <row r="20" spans="1:24">
      <c r="B20" s="470" t="s">
        <v>260</v>
      </c>
      <c r="C20" s="468">
        <f>C18+C19</f>
        <v>176149</v>
      </c>
      <c r="F20" s="468">
        <f>F18+F19</f>
        <v>176149</v>
      </c>
      <c r="H20" s="409">
        <v>41274</v>
      </c>
      <c r="I20" s="427">
        <f ca="1">'Curve Analysis - Base Case'!P16</f>
        <v>0.65752062096212816</v>
      </c>
      <c r="J20" s="404">
        <f ca="1">'Curve Analysis - Base Case'!Q16</f>
        <v>1</v>
      </c>
      <c r="K20" s="380"/>
      <c r="L20" s="455">
        <f>'Curve Analysis - Base Case'!S16</f>
        <v>48256474.206725605</v>
      </c>
      <c r="M20" s="455">
        <f ca="1">'Curve Analysis - Base Case'!T16</f>
        <v>30598595.72906734</v>
      </c>
      <c r="N20" s="455">
        <f ca="1">'Curve Analysis - Base Case'!U16</f>
        <v>17657878.477658264</v>
      </c>
      <c r="O20" s="463"/>
      <c r="P20" s="404"/>
      <c r="Q20" s="404"/>
      <c r="R20" s="406"/>
      <c r="T20" s="54">
        <v>37104</v>
      </c>
      <c r="U20" s="474">
        <f>'Company Gas Prices'!C39</f>
        <v>3.7718750000000001</v>
      </c>
      <c r="V20" s="474">
        <f>(U20*'Revenues &amp; Expenses'!$S$2)/1000</f>
        <v>36.130790625000003</v>
      </c>
      <c r="W20" s="474">
        <f>'Revenues &amp; Expenses'!O26*'Revenues &amp; Expenses'!$AM$5*1000</f>
        <v>2.0908075915985034</v>
      </c>
      <c r="X20" s="473">
        <f t="shared" si="0"/>
        <v>38.221598216598508</v>
      </c>
    </row>
    <row r="21" spans="1:24">
      <c r="F21" s="467"/>
      <c r="H21" s="409">
        <v>41639.25</v>
      </c>
      <c r="I21" s="427">
        <f ca="1">'Curve Analysis - Base Case'!P17</f>
        <v>0.70195215327140303</v>
      </c>
      <c r="J21" s="404">
        <f ca="1">'Curve Analysis - Base Case'!Q17</f>
        <v>1</v>
      </c>
      <c r="K21" s="380"/>
      <c r="L21" s="455">
        <f>'Curve Analysis - Base Case'!S17</f>
        <v>41888935.395712003</v>
      </c>
      <c r="M21" s="455">
        <f ca="1">'Curve Analysis - Base Case'!T17</f>
        <v>25784135.406150911</v>
      </c>
      <c r="N21" s="455">
        <f ca="1">'Curve Analysis - Base Case'!U17</f>
        <v>16104799.989561092</v>
      </c>
      <c r="O21" s="463"/>
      <c r="P21" s="541"/>
      <c r="Q21" s="404"/>
      <c r="R21" s="406"/>
      <c r="T21" s="54">
        <v>37135</v>
      </c>
      <c r="U21" s="474">
        <f>'Company Gas Prices'!C40</f>
        <v>3.8177083299999999</v>
      </c>
      <c r="V21" s="474">
        <f>(U21*'Revenues &amp; Expenses'!$S$2)/1000</f>
        <v>36.569828093070001</v>
      </c>
      <c r="W21" s="474">
        <f>'Revenues &amp; Expenses'!O27*'Revenues &amp; Expenses'!$AM$5*1000</f>
        <v>2.0954546776188394</v>
      </c>
      <c r="X21" s="473">
        <f t="shared" si="0"/>
        <v>38.66528277068884</v>
      </c>
    </row>
    <row r="22" spans="1:24">
      <c r="B22" s="470" t="s">
        <v>251</v>
      </c>
      <c r="C22" s="469">
        <f>C18/C20</f>
        <v>0.51093108675042154</v>
      </c>
      <c r="F22" s="469">
        <f>F18/F20</f>
        <v>0.51093108675042154</v>
      </c>
      <c r="H22" s="409">
        <v>42004.5</v>
      </c>
      <c r="I22" s="427">
        <f ca="1">'Curve Analysis - Base Case'!P18</f>
        <v>0.73079245210027322</v>
      </c>
      <c r="J22" s="404">
        <f ca="1">'Curve Analysis - Base Case'!Q18</f>
        <v>1</v>
      </c>
      <c r="K22" s="380"/>
      <c r="L22" s="455">
        <f>'Curve Analysis - Base Case'!S18</f>
        <v>35719711.887260899</v>
      </c>
      <c r="M22" s="455">
        <f ca="1">'Curve Analysis - Base Case'!T18</f>
        <v>21304087.372484803</v>
      </c>
      <c r="N22" s="455">
        <f ca="1">'Curve Analysis - Base Case'!U18</f>
        <v>14415624.514776096</v>
      </c>
      <c r="O22" s="463"/>
      <c r="P22" s="541"/>
      <c r="Q22" s="404"/>
      <c r="R22" s="406"/>
      <c r="T22" s="54">
        <v>37165</v>
      </c>
      <c r="U22" s="474">
        <f>'Company Gas Prices'!C41</f>
        <v>3.7781250000000002</v>
      </c>
      <c r="V22" s="474">
        <f>(U22*'Revenues &amp; Expenses'!$S$2)/1000</f>
        <v>36.190659375000003</v>
      </c>
      <c r="W22" s="474">
        <f>'Revenues &amp; Expenses'!O28*'Revenues &amp; Expenses'!$AM$5*1000</f>
        <v>2.100112092379403</v>
      </c>
      <c r="X22" s="473">
        <f t="shared" si="0"/>
        <v>38.290771467379408</v>
      </c>
    </row>
    <row r="23" spans="1:24">
      <c r="F23" s="467"/>
      <c r="H23" s="409">
        <v>42369.75</v>
      </c>
      <c r="I23" s="427">
        <f ca="1">'Curve Analysis - Base Case'!P19</f>
        <v>0.74653729755464737</v>
      </c>
      <c r="J23" s="404">
        <f ca="1">'Curve Analysis - Base Case'!Q19</f>
        <v>1</v>
      </c>
      <c r="K23" s="380"/>
      <c r="L23" s="455">
        <f>'Curve Analysis - Base Case'!S19</f>
        <v>29825631.111745398</v>
      </c>
      <c r="M23" s="455">
        <f ca="1">'Curve Analysis - Base Case'!T19</f>
        <v>17134733.840158217</v>
      </c>
      <c r="N23" s="455">
        <f ca="1">'Curve Analysis - Base Case'!U19</f>
        <v>12690897.271587182</v>
      </c>
      <c r="O23" s="463"/>
      <c r="P23" s="404"/>
      <c r="Q23" s="404"/>
      <c r="R23" s="406"/>
      <c r="T23" s="54">
        <v>37196</v>
      </c>
      <c r="U23" s="474">
        <f>'Company Gas Prices'!C42</f>
        <v>3.7781250000000002</v>
      </c>
      <c r="V23" s="474">
        <f>(U23*'Revenues &amp; Expenses'!$S$2)/1000</f>
        <v>36.190659375000003</v>
      </c>
      <c r="W23" s="474">
        <f>'Revenues &amp; Expenses'!O29*'Revenues &amp; Expenses'!$AM$5*1000</f>
        <v>2.1047798588371349</v>
      </c>
      <c r="X23" s="473">
        <f t="shared" si="0"/>
        <v>38.295439233837136</v>
      </c>
    </row>
    <row r="24" spans="1:24">
      <c r="B24" s="470" t="s">
        <v>258</v>
      </c>
      <c r="C24" s="467">
        <f>(C9*C7)/1000</f>
        <v>224703.98991984286</v>
      </c>
      <c r="F24" s="467">
        <f>(F9*F7)/1000</f>
        <v>133110.85088754736</v>
      </c>
      <c r="H24" s="409">
        <v>42735</v>
      </c>
      <c r="I24" s="427">
        <f ca="1">'Curve Analysis - Base Case'!P20</f>
        <v>0.77872033999721901</v>
      </c>
      <c r="J24" s="404">
        <f ca="1">'Curve Analysis - Base Case'!Q20</f>
        <v>1</v>
      </c>
      <c r="K24" s="380"/>
      <c r="L24" s="455">
        <f>'Curve Analysis - Base Case'!S20</f>
        <v>24240315.043813597</v>
      </c>
      <c r="M24" s="455">
        <f ca="1">'Curve Analysis - Base Case'!T20</f>
        <v>13254638.689075377</v>
      </c>
      <c r="N24" s="455">
        <f ca="1">'Curve Analysis - Base Case'!U20</f>
        <v>10985676.354738221</v>
      </c>
      <c r="O24" s="463"/>
      <c r="P24" s="404"/>
      <c r="Q24" s="404"/>
      <c r="R24" s="406"/>
      <c r="T24" s="54">
        <v>37226</v>
      </c>
      <c r="U24" s="474">
        <f>'Company Gas Prices'!C43</f>
        <v>3.7781250000000002</v>
      </c>
      <c r="V24" s="474">
        <f>(U24*'Revenues &amp; Expenses'!$S$2)/1000</f>
        <v>36.190659375000003</v>
      </c>
      <c r="W24" s="474">
        <f>'Revenues &amp; Expenses'!O30*'Revenues &amp; Expenses'!$AM$5*1000</f>
        <v>2.1094579999999996</v>
      </c>
      <c r="X24" s="473">
        <f t="shared" si="0"/>
        <v>38.300117374999999</v>
      </c>
    </row>
    <row r="25" spans="1:24">
      <c r="B25" s="470" t="s">
        <v>259</v>
      </c>
      <c r="C25" s="467">
        <f>C18</f>
        <v>90000</v>
      </c>
      <c r="F25" s="467">
        <f>F18</f>
        <v>90000</v>
      </c>
      <c r="H25" s="409">
        <v>43100.25</v>
      </c>
      <c r="I25" s="427">
        <f ca="1">'Curve Analysis - Base Case'!P21</f>
        <v>0.82542858391311313</v>
      </c>
      <c r="J25" s="404">
        <f ca="1">'Curve Analysis - Base Case'!Q21</f>
        <v>1</v>
      </c>
      <c r="K25" s="380"/>
      <c r="L25" s="455">
        <f>'Curve Analysis - Base Case'!S21</f>
        <v>18882718.997329164</v>
      </c>
      <c r="M25" s="455">
        <f ca="1">'Curve Analysis - Base Case'!T21</f>
        <v>9642963.8421371337</v>
      </c>
      <c r="N25" s="455">
        <f ca="1">'Curve Analysis - Base Case'!U21</f>
        <v>9239755.1551920306</v>
      </c>
      <c r="O25" s="463"/>
      <c r="P25" s="404"/>
      <c r="Q25" s="404"/>
      <c r="R25" s="406"/>
      <c r="T25" s="54">
        <v>37257</v>
      </c>
      <c r="U25" s="474">
        <f>'Company Gas Prices'!C44</f>
        <v>3.8354166699999999</v>
      </c>
      <c r="V25" s="474">
        <f>(U25*'Revenues &amp; Expenses'!$S$2)/1000</f>
        <v>36.739456281929996</v>
      </c>
      <c r="W25" s="474">
        <f>'Revenues &amp; Expenses'!O31*'Revenues &amp; Expenses'!$AM$5*1000</f>
        <v>2.1141465389270997</v>
      </c>
      <c r="X25" s="473">
        <f t="shared" ref="X25:X70" si="1">V25+W25</f>
        <v>38.853602820857098</v>
      </c>
    </row>
    <row r="26" spans="1:24">
      <c r="B26" s="470" t="s">
        <v>263</v>
      </c>
      <c r="C26" s="478">
        <f>C25/C24</f>
        <v>0.40052693337623907</v>
      </c>
      <c r="F26" s="478">
        <f>F25/F24</f>
        <v>0.67612819991686779</v>
      </c>
      <c r="H26" s="409">
        <v>43465.5</v>
      </c>
      <c r="I26" s="427">
        <f ca="1">'Curve Analysis - Base Case'!P22</f>
        <v>0.85213888493154044</v>
      </c>
      <c r="J26" s="404">
        <f ca="1">'Curve Analysis - Base Case'!Q22</f>
        <v>1</v>
      </c>
      <c r="K26" s="380"/>
      <c r="L26" s="455">
        <f>'Curve Analysis - Base Case'!S22</f>
        <v>13708886.098935846</v>
      </c>
      <c r="M26" s="455">
        <f ca="1">'Curve Analysis - Base Case'!T22</f>
        <v>6280575.8326786375</v>
      </c>
      <c r="N26" s="455">
        <f ca="1">'Curve Analysis - Base Case'!U22</f>
        <v>7428310.2662572088</v>
      </c>
      <c r="O26" s="463"/>
      <c r="P26" s="404"/>
      <c r="Q26" s="404"/>
      <c r="R26" s="406"/>
      <c r="T26" s="54">
        <v>37288</v>
      </c>
      <c r="U26" s="474">
        <f>'Company Gas Prices'!C45</f>
        <v>3.8354166699999999</v>
      </c>
      <c r="V26" s="474">
        <f>(U26*'Revenues &amp; Expenses'!$S$2)/1000</f>
        <v>36.739456281929996</v>
      </c>
      <c r="W26" s="474">
        <f>'Revenues &amp; Expenses'!O32*'Revenues &amp; Expenses'!$AM$5*1000</f>
        <v>2.1188454987287897</v>
      </c>
      <c r="X26" s="473">
        <f t="shared" si="1"/>
        <v>38.858301780658785</v>
      </c>
    </row>
    <row r="27" spans="1:24">
      <c r="F27" s="467"/>
      <c r="H27" s="409">
        <v>43830.75</v>
      </c>
      <c r="I27" s="427">
        <f ca="1">'Curve Analysis - Base Case'!P23</f>
        <v>0.82119832296289741</v>
      </c>
      <c r="J27" s="404">
        <f ca="1">'Curve Analysis - Base Case'!Q23</f>
        <v>1</v>
      </c>
      <c r="K27" s="380"/>
      <c r="L27" s="455">
        <f>'Curve Analysis - Base Case'!S23</f>
        <v>8782711.6428452116</v>
      </c>
      <c r="M27" s="455">
        <f ca="1">'Curve Analysis - Base Case'!T23</f>
        <v>3149900.6255171895</v>
      </c>
      <c r="N27" s="455">
        <f ca="1">'Curve Analysis - Base Case'!U23</f>
        <v>5632811.017328022</v>
      </c>
      <c r="O27" s="463"/>
      <c r="P27" s="404"/>
      <c r="Q27" s="404"/>
      <c r="R27" s="406"/>
      <c r="T27" s="54">
        <v>37316</v>
      </c>
      <c r="U27" s="474">
        <f>'Company Gas Prices'!C46</f>
        <v>3.8354166699999999</v>
      </c>
      <c r="V27" s="474">
        <f>(U27*'Revenues &amp; Expenses'!$S$2)/1000</f>
        <v>36.739456281929996</v>
      </c>
      <c r="W27" s="474">
        <f>'Revenues &amp; Expenses'!O33*'Revenues &amp; Expenses'!$AM$5*1000</f>
        <v>2.1235549025667901</v>
      </c>
      <c r="X27" s="473">
        <f t="shared" si="1"/>
        <v>38.863011184496784</v>
      </c>
    </row>
    <row r="28" spans="1:24">
      <c r="H28" s="409">
        <v>44196</v>
      </c>
      <c r="I28" s="427">
        <f ca="1">'Curve Analysis - Base Case'!P24</f>
        <v>0.8533164588275195</v>
      </c>
      <c r="J28" s="404">
        <f ca="1">'Curve Analysis - Base Case'!Q24</f>
        <v>1</v>
      </c>
      <c r="K28" s="380"/>
      <c r="L28" s="455">
        <f>'Curve Analysis - Base Case'!S24</f>
        <v>4243450.8352195024</v>
      </c>
      <c r="M28" s="455">
        <f ca="1">'Curve Analysis - Base Case'!T24</f>
        <v>233927.71284211759</v>
      </c>
      <c r="N28" s="455">
        <f ca="1">'Curve Analysis - Base Case'!U24</f>
        <v>4009523.1223773849</v>
      </c>
      <c r="O28" s="380"/>
      <c r="P28" s="404"/>
      <c r="Q28" s="404"/>
      <c r="R28" s="406"/>
      <c r="T28" s="54">
        <v>37347</v>
      </c>
      <c r="U28" s="474">
        <f>'Company Gas Prices'!C47</f>
        <v>3.98020833</v>
      </c>
      <c r="V28" s="474">
        <f>(U28*'Revenues &amp; Expenses'!$S$2)/1000</f>
        <v>38.12641559307</v>
      </c>
      <c r="W28" s="474">
        <f>'Revenues &amp; Expenses'!O34*'Revenues &amp; Expenses'!$AM$5*1000</f>
        <v>2.1282747736543013</v>
      </c>
      <c r="X28" s="473">
        <f t="shared" si="1"/>
        <v>40.254690366724304</v>
      </c>
    </row>
    <row r="29" spans="1:24">
      <c r="B29" s="470" t="s">
        <v>267</v>
      </c>
      <c r="C29" s="467">
        <f>(C7*C11)/1000</f>
        <v>145383.61183931527</v>
      </c>
      <c r="F29" s="467">
        <f>(F7*F11)/1000</f>
        <v>38819.732948436627</v>
      </c>
      <c r="H29" s="411"/>
      <c r="I29" s="417"/>
      <c r="J29" s="412"/>
      <c r="K29" s="462"/>
      <c r="L29" s="501"/>
      <c r="M29" s="412"/>
      <c r="N29" s="412"/>
      <c r="O29" s="462"/>
      <c r="P29" s="412"/>
      <c r="Q29" s="412"/>
      <c r="R29" s="413"/>
      <c r="T29" s="54">
        <v>37377</v>
      </c>
      <c r="U29" s="474">
        <f>'Company Gas Prices'!C48</f>
        <v>3.8177083299999999</v>
      </c>
      <c r="V29" s="474">
        <f>(U29*'Revenues &amp; Expenses'!$S$2)/1000</f>
        <v>36.569828093070001</v>
      </c>
      <c r="W29" s="474">
        <f>'Revenues &amp; Expenses'!O35*'Revenues &amp; Expenses'!$AM$5*1000</f>
        <v>2.1330051352561168</v>
      </c>
      <c r="X29" s="473">
        <f t="shared" si="1"/>
        <v>38.702833228326121</v>
      </c>
    </row>
    <row r="30" spans="1:24">
      <c r="A30" s="470"/>
      <c r="B30" s="470" t="s">
        <v>259</v>
      </c>
      <c r="C30" s="467">
        <f>C18</f>
        <v>90000</v>
      </c>
      <c r="F30" s="467">
        <f>F18</f>
        <v>90000</v>
      </c>
      <c r="T30" s="54">
        <v>37408</v>
      </c>
      <c r="U30" s="474">
        <f>'Company Gas Prices'!C49</f>
        <v>3.8093750000000002</v>
      </c>
      <c r="V30" s="474">
        <f>(U30*'Revenues &amp; Expenses'!$S$2)/1000</f>
        <v>36.490003125000001</v>
      </c>
      <c r="W30" s="474">
        <f>'Revenues &amp; Expenses'!O36*'Revenues &amp; Expenses'!$AM$5*1000</f>
        <v>2.1377460106887409</v>
      </c>
      <c r="X30" s="473">
        <f t="shared" si="1"/>
        <v>38.627749135688745</v>
      </c>
    </row>
    <row r="31" spans="1:24">
      <c r="A31" s="470"/>
      <c r="B31" s="470" t="s">
        <v>262</v>
      </c>
      <c r="C31" s="478">
        <f>C30/C29</f>
        <v>0.61905189217249734</v>
      </c>
      <c r="F31" s="478">
        <f>F30/F29</f>
        <v>2.3184085300005788</v>
      </c>
      <c r="H31" s="752"/>
      <c r="I31" s="753"/>
      <c r="J31" s="753"/>
      <c r="K31" s="753"/>
      <c r="L31" s="754"/>
      <c r="T31" s="54">
        <v>37438</v>
      </c>
      <c r="U31" s="474">
        <f>'Company Gas Prices'!C50</f>
        <v>3.7718750000000001</v>
      </c>
      <c r="V31" s="474">
        <f>(U31*'Revenues &amp; Expenses'!$S$2)/1000</f>
        <v>36.130790625000003</v>
      </c>
      <c r="W31" s="474">
        <f>'Revenues &amp; Expenses'!O37*'Revenues &amp; Expenses'!$AM$5*1000</f>
        <v>2.142497423320501</v>
      </c>
      <c r="X31" s="473">
        <f t="shared" si="1"/>
        <v>38.273288048320502</v>
      </c>
    </row>
    <row r="32" spans="1:24">
      <c r="A32" s="470"/>
      <c r="T32" s="54">
        <v>37469</v>
      </c>
      <c r="U32" s="474">
        <f>'Company Gas Prices'!C51</f>
        <v>3.7718750000000001</v>
      </c>
      <c r="V32" s="474">
        <f>(U32*'Revenues &amp; Expenses'!$S$2)/1000</f>
        <v>36.130790625000003</v>
      </c>
      <c r="W32" s="474">
        <f>'Revenues &amp; Expenses'!O38*'Revenues &amp; Expenses'!$AM$5*1000</f>
        <v>2.1472593965716626</v>
      </c>
      <c r="X32" s="473">
        <f t="shared" si="1"/>
        <v>38.278050021571666</v>
      </c>
    </row>
    <row r="33" spans="1:24">
      <c r="A33" s="470"/>
      <c r="F33" s="467"/>
      <c r="T33" s="54">
        <v>37500</v>
      </c>
      <c r="U33" s="474">
        <f>'Company Gas Prices'!C52</f>
        <v>3.8177083299999999</v>
      </c>
      <c r="V33" s="474">
        <f>(U33*'Revenues &amp; Expenses'!$S$2)/1000</f>
        <v>36.569828093070001</v>
      </c>
      <c r="W33" s="474">
        <f>'Revenues &amp; Expenses'!O39*'Revenues &amp; Expenses'!$AM$5*1000</f>
        <v>2.1520319539145478</v>
      </c>
      <c r="X33" s="473">
        <f t="shared" si="1"/>
        <v>38.721860046984546</v>
      </c>
    </row>
    <row r="34" spans="1:24">
      <c r="A34" s="470"/>
      <c r="F34" s="467"/>
      <c r="T34" s="54">
        <v>37530</v>
      </c>
      <c r="U34" s="474">
        <f>'Company Gas Prices'!C53</f>
        <v>3.7781250000000002</v>
      </c>
      <c r="V34" s="474">
        <f>(U34*'Revenues &amp; Expenses'!$S$2)/1000</f>
        <v>36.190659375000003</v>
      </c>
      <c r="W34" s="474">
        <f>'Revenues &amp; Expenses'!O40*'Revenues &amp; Expenses'!$AM$5*1000</f>
        <v>2.1568151188736469</v>
      </c>
      <c r="X34" s="473">
        <f t="shared" si="1"/>
        <v>38.347474493873648</v>
      </c>
    </row>
    <row r="35" spans="1:24">
      <c r="A35" s="470"/>
      <c r="T35" s="54">
        <v>37561</v>
      </c>
      <c r="U35" s="474">
        <f>'Company Gas Prices'!C54</f>
        <v>3.7781250000000002</v>
      </c>
      <c r="V35" s="474">
        <f>(U35*'Revenues &amp; Expenses'!$S$2)/1000</f>
        <v>36.190659375000003</v>
      </c>
      <c r="W35" s="474">
        <f>'Revenues &amp; Expenses'!O41*'Revenues &amp; Expenses'!$AM$5*1000</f>
        <v>2.1616089150257376</v>
      </c>
      <c r="X35" s="473">
        <f t="shared" si="1"/>
        <v>38.352268290025741</v>
      </c>
    </row>
    <row r="36" spans="1:24">
      <c r="A36" s="470"/>
      <c r="T36" s="54">
        <v>37591</v>
      </c>
      <c r="U36" s="474">
        <f>'Company Gas Prices'!C55</f>
        <v>3.7781250000000002</v>
      </c>
      <c r="V36" s="474">
        <f>(U36*'Revenues &amp; Expenses'!$S$2)/1000</f>
        <v>36.190659375000003</v>
      </c>
      <c r="W36" s="474">
        <f>'Revenues &amp; Expenses'!O42*'Revenues &amp; Expenses'!$AM$5*1000</f>
        <v>2.1664133659999996</v>
      </c>
      <c r="X36" s="473">
        <f t="shared" si="1"/>
        <v>38.357072741000003</v>
      </c>
    </row>
    <row r="37" spans="1:24">
      <c r="A37" s="470"/>
      <c r="T37" s="54">
        <v>37622</v>
      </c>
      <c r="U37" s="474">
        <f>'Company Gas Prices'!C56</f>
        <v>3.8354166699999999</v>
      </c>
      <c r="V37" s="474">
        <f>(U37*'Revenues &amp; Expenses'!$S$2)/1000</f>
        <v>36.739456281929996</v>
      </c>
      <c r="W37" s="474">
        <f>'Revenues &amp; Expenses'!O43*'Revenues &amp; Expenses'!$AM$5*1000</f>
        <v>2.1712284954781311</v>
      </c>
      <c r="X37" s="473">
        <f t="shared" si="1"/>
        <v>38.910684777408129</v>
      </c>
    </row>
    <row r="38" spans="1:24" ht="13.8" thickBot="1">
      <c r="A38" s="470"/>
      <c r="T38" s="54">
        <v>37653</v>
      </c>
      <c r="U38" s="474">
        <f>'Company Gas Prices'!C57</f>
        <v>3.8354166699999999</v>
      </c>
      <c r="V38" s="474">
        <f>(U38*'Revenues &amp; Expenses'!$S$2)/1000</f>
        <v>36.739456281929996</v>
      </c>
      <c r="W38" s="474">
        <f>'Revenues &amp; Expenses'!O44*'Revenues &amp; Expenses'!$AM$5*1000</f>
        <v>2.1760543271944672</v>
      </c>
      <c r="X38" s="473">
        <f t="shared" si="1"/>
        <v>38.91551060912446</v>
      </c>
    </row>
    <row r="39" spans="1:24" ht="13.8" thickBot="1">
      <c r="A39" s="470"/>
      <c r="I39" s="552">
        <f ca="1">L43-L39</f>
        <v>21029659.815352783</v>
      </c>
      <c r="L39" s="730">
        <f ca="1">M8</f>
        <v>125699173.57010761</v>
      </c>
      <c r="T39" s="54">
        <v>37681</v>
      </c>
      <c r="U39" s="474">
        <f>'Company Gas Prices'!C58</f>
        <v>3.8354166699999999</v>
      </c>
      <c r="V39" s="474">
        <f>(U39*'Revenues &amp; Expenses'!$S$2)/1000</f>
        <v>36.739456281929996</v>
      </c>
      <c r="W39" s="474">
        <f>'Revenues &amp; Expenses'!O45*'Revenues &amp; Expenses'!$AM$5*1000</f>
        <v>2.1808908849360931</v>
      </c>
      <c r="X39" s="473">
        <f t="shared" si="1"/>
        <v>38.920347166866087</v>
      </c>
    </row>
    <row r="40" spans="1:24">
      <c r="A40" s="470"/>
      <c r="H40" s="544"/>
      <c r="I40" s="546"/>
      <c r="N40" s="544"/>
      <c r="O40" s="545"/>
      <c r="P40" s="546"/>
      <c r="T40" s="54">
        <v>37712</v>
      </c>
      <c r="U40" s="474">
        <f>'Company Gas Prices'!C59</f>
        <v>3.98020833</v>
      </c>
      <c r="V40" s="474">
        <f>(U40*'Revenues &amp; Expenses'!$S$2)/1000</f>
        <v>38.12641559307</v>
      </c>
      <c r="W40" s="474">
        <f>'Revenues &amp; Expenses'!O46*'Revenues &amp; Expenses'!$AM$5*1000</f>
        <v>2.1857381925429666</v>
      </c>
      <c r="X40" s="473">
        <f t="shared" si="1"/>
        <v>40.312153785612963</v>
      </c>
    </row>
    <row r="41" spans="1:24">
      <c r="A41" s="470"/>
      <c r="H41" s="547"/>
      <c r="I41" s="548"/>
      <c r="N41" s="547"/>
      <c r="O41" s="543"/>
      <c r="P41" s="548"/>
      <c r="T41" s="54">
        <v>37742</v>
      </c>
      <c r="U41" s="474">
        <f>'Company Gas Prices'!C60</f>
        <v>3.8177083299999999</v>
      </c>
      <c r="V41" s="474">
        <f>(U41*'Revenues &amp; Expenses'!$S$2)/1000</f>
        <v>36.569828093070001</v>
      </c>
      <c r="W41" s="474">
        <f>'Revenues &amp; Expenses'!O47*'Revenues &amp; Expenses'!$AM$5*1000</f>
        <v>2.1905962739080316</v>
      </c>
      <c r="X41" s="473">
        <f t="shared" si="1"/>
        <v>38.760424366978029</v>
      </c>
    </row>
    <row r="42" spans="1:24">
      <c r="A42" s="470"/>
      <c r="H42" s="547"/>
      <c r="I42" s="548"/>
      <c r="N42" s="547"/>
      <c r="O42" s="543"/>
      <c r="P42" s="548"/>
      <c r="T42" s="54">
        <v>37773</v>
      </c>
      <c r="U42" s="474">
        <f>'Company Gas Prices'!C61</f>
        <v>3.8093750000000002</v>
      </c>
      <c r="V42" s="474">
        <f>(U42*'Revenues &amp; Expenses'!$S$2)/1000</f>
        <v>36.490003125000001</v>
      </c>
      <c r="W42" s="474">
        <f>'Revenues &amp; Expenses'!O48*'Revenues &amp; Expenses'!$AM$5*1000</f>
        <v>2.1954651529773366</v>
      </c>
      <c r="X42" s="473">
        <f t="shared" si="1"/>
        <v>38.685468277977336</v>
      </c>
    </row>
    <row r="43" spans="1:24" ht="13.8" thickBot="1">
      <c r="A43" s="470"/>
      <c r="H43" s="549"/>
      <c r="I43" s="551"/>
      <c r="L43" s="730">
        <f>L8</f>
        <v>146728833.38546032</v>
      </c>
      <c r="N43" s="547"/>
      <c r="O43" s="543"/>
      <c r="P43" s="548"/>
      <c r="T43" s="54">
        <v>37803</v>
      </c>
      <c r="U43" s="474">
        <f>'Company Gas Prices'!C62</f>
        <v>3.7718750000000001</v>
      </c>
      <c r="V43" s="474">
        <f>(U43*'Revenues &amp; Expenses'!$S$2)/1000</f>
        <v>36.130790625000003</v>
      </c>
      <c r="W43" s="474">
        <f>'Revenues &amp; Expenses'!O49*'Revenues &amp; Expenses'!$AM$5*1000</f>
        <v>2.200344853750154</v>
      </c>
      <c r="X43" s="473">
        <f t="shared" si="1"/>
        <v>38.331135478750156</v>
      </c>
    </row>
    <row r="44" spans="1:24" ht="13.8" thickBot="1">
      <c r="A44" s="470"/>
      <c r="N44" s="547"/>
      <c r="O44" s="543"/>
      <c r="P44" s="548"/>
      <c r="T44" s="54">
        <v>37834</v>
      </c>
      <c r="U44" s="474">
        <f>'Company Gas Prices'!C63</f>
        <v>3.7718750000000001</v>
      </c>
      <c r="V44" s="474">
        <f>(U44*'Revenues &amp; Expenses'!$S$2)/1000</f>
        <v>36.130790625000003</v>
      </c>
      <c r="W44" s="474">
        <f>'Revenues &amp; Expenses'!O50*'Revenues &amp; Expenses'!$AM$5*1000</f>
        <v>2.2052354002790975</v>
      </c>
      <c r="X44" s="473">
        <f t="shared" si="1"/>
        <v>38.336026025279104</v>
      </c>
    </row>
    <row r="45" spans="1:24" ht="13.8" thickBot="1">
      <c r="A45" s="470"/>
      <c r="I45" s="731">
        <f ca="1">L50-L46</f>
        <v>-21029659.815352783</v>
      </c>
      <c r="N45" s="547"/>
      <c r="O45" s="543"/>
      <c r="P45" s="548"/>
      <c r="T45" s="54">
        <v>37865</v>
      </c>
      <c r="U45" s="474">
        <f>'Company Gas Prices'!C64</f>
        <v>3.8177083299999999</v>
      </c>
      <c r="V45" s="474">
        <f>(U45*'Revenues &amp; Expenses'!$S$2)/1000</f>
        <v>36.569828093070001</v>
      </c>
      <c r="W45" s="474">
        <f>'Revenues &amp; Expenses'!O51*'Revenues &amp; Expenses'!$AM$5*1000</f>
        <v>2.2101368166702402</v>
      </c>
      <c r="X45" s="473">
        <f t="shared" si="1"/>
        <v>38.779964909740244</v>
      </c>
    </row>
    <row r="46" spans="1:24">
      <c r="A46" s="470"/>
      <c r="H46" s="544"/>
      <c r="I46" s="546"/>
      <c r="L46" s="730">
        <f>L8</f>
        <v>146728833.38546032</v>
      </c>
      <c r="N46" s="547"/>
      <c r="O46" s="543"/>
      <c r="P46" s="548"/>
      <c r="T46" s="54">
        <v>37895</v>
      </c>
      <c r="U46" s="474">
        <f>'Company Gas Prices'!C65</f>
        <v>3.7781250000000002</v>
      </c>
      <c r="V46" s="474">
        <f>(U46*'Revenues &amp; Expenses'!$S$2)/1000</f>
        <v>36.190659375000003</v>
      </c>
      <c r="W46" s="474">
        <f>'Revenues &amp; Expenses'!O52*'Revenues &amp; Expenses'!$AM$5*1000</f>
        <v>2.2150491270832351</v>
      </c>
      <c r="X46" s="473">
        <f t="shared" si="1"/>
        <v>38.405708502083236</v>
      </c>
    </row>
    <row r="47" spans="1:24">
      <c r="A47" s="470"/>
      <c r="H47" s="547"/>
      <c r="I47" s="548"/>
      <c r="N47" s="547"/>
      <c r="O47" s="543"/>
      <c r="P47" s="548"/>
      <c r="T47" s="54">
        <v>37926</v>
      </c>
      <c r="U47" s="474">
        <f>'Company Gas Prices'!C66</f>
        <v>3.7781250000000002</v>
      </c>
      <c r="V47" s="474">
        <f>(U47*'Revenues &amp; Expenses'!$S$2)/1000</f>
        <v>36.190659375000003</v>
      </c>
      <c r="W47" s="474">
        <f>'Revenues &amp; Expenses'!O53*'Revenues &amp; Expenses'!$AM$5*1000</f>
        <v>2.2199723557314321</v>
      </c>
      <c r="X47" s="473">
        <f t="shared" si="1"/>
        <v>38.410631730731438</v>
      </c>
    </row>
    <row r="48" spans="1:24">
      <c r="A48" s="470"/>
      <c r="H48" s="547"/>
      <c r="I48" s="548"/>
      <c r="N48" s="547"/>
      <c r="O48" s="543"/>
      <c r="P48" s="548"/>
      <c r="T48" s="54">
        <v>37956</v>
      </c>
      <c r="U48" s="474">
        <f>'Company Gas Prices'!C67</f>
        <v>3.7781250000000002</v>
      </c>
      <c r="V48" s="474">
        <f>(U48*'Revenues &amp; Expenses'!$S$2)/1000</f>
        <v>36.190659375000003</v>
      </c>
      <c r="W48" s="474">
        <f>'Revenues &amp; Expenses'!O54*'Revenues &amp; Expenses'!$AM$5*1000</f>
        <v>2.2249065268819996</v>
      </c>
      <c r="X48" s="473">
        <f t="shared" si="1"/>
        <v>38.415565901882005</v>
      </c>
    </row>
    <row r="49" spans="1:24" ht="13.8" thickBot="1">
      <c r="A49" s="470"/>
      <c r="H49" s="549"/>
      <c r="I49" s="551"/>
      <c r="N49" s="549"/>
      <c r="O49" s="550"/>
      <c r="P49" s="551"/>
      <c r="T49" s="54">
        <v>37987</v>
      </c>
      <c r="U49" s="474">
        <f>'Company Gas Prices'!C68</f>
        <v>3.8354166699999999</v>
      </c>
      <c r="V49" s="474">
        <f>(U49*'Revenues &amp; Expenses'!$S$2)/1000</f>
        <v>36.739456281929996</v>
      </c>
      <c r="W49" s="474">
        <f>'Revenues &amp; Expenses'!O55*'Revenues &amp; Expenses'!$AM$5*1000</f>
        <v>2.2298516648560405</v>
      </c>
      <c r="X49" s="473">
        <f t="shared" si="1"/>
        <v>38.969307946786039</v>
      </c>
    </row>
    <row r="50" spans="1:24">
      <c r="A50" s="470"/>
      <c r="L50" s="730">
        <f ca="1">M8</f>
        <v>125699173.57010761</v>
      </c>
      <c r="T50" s="54">
        <v>38018</v>
      </c>
      <c r="U50" s="474">
        <f>'Company Gas Prices'!C69</f>
        <v>3.8354166699999999</v>
      </c>
      <c r="V50" s="474">
        <f>(U50*'Revenues &amp; Expenses'!$S$2)/1000</f>
        <v>36.739456281929996</v>
      </c>
      <c r="W50" s="474">
        <f>'Revenues &amp; Expenses'!O56*'Revenues &amp; Expenses'!$AM$5*1000</f>
        <v>2.2348077940287174</v>
      </c>
      <c r="X50" s="473">
        <f t="shared" si="1"/>
        <v>38.974264075958715</v>
      </c>
    </row>
    <row r="51" spans="1:24">
      <c r="T51" s="54">
        <v>38047</v>
      </c>
      <c r="U51" s="474">
        <f>'Company Gas Prices'!C70</f>
        <v>3.8354166699999999</v>
      </c>
      <c r="V51" s="474">
        <f>(U51*'Revenues &amp; Expenses'!$S$2)/1000</f>
        <v>36.739456281929996</v>
      </c>
      <c r="W51" s="474">
        <f>'Revenues &amp; Expenses'!O57*'Revenues &amp; Expenses'!$AM$5*1000</f>
        <v>2.2397749388293673</v>
      </c>
      <c r="X51" s="473">
        <f t="shared" si="1"/>
        <v>38.979231220759367</v>
      </c>
    </row>
    <row r="52" spans="1:24">
      <c r="B52" s="472" t="s">
        <v>256</v>
      </c>
      <c r="F52" s="471"/>
      <c r="T52" s="54">
        <v>38078</v>
      </c>
      <c r="U52" s="474">
        <f>'Company Gas Prices'!C71</f>
        <v>3.98020833</v>
      </c>
      <c r="V52" s="474">
        <f>(U52*'Revenues &amp; Expenses'!$S$2)/1000</f>
        <v>38.12641559307</v>
      </c>
      <c r="W52" s="474">
        <f>'Revenues &amp; Expenses'!O58*'Revenues &amp; Expenses'!$AM$5*1000</f>
        <v>2.2447531237416265</v>
      </c>
      <c r="X52" s="473">
        <f t="shared" si="1"/>
        <v>40.371168716811624</v>
      </c>
    </row>
    <row r="53" spans="1:24">
      <c r="B53" s="470">
        <v>2000</v>
      </c>
      <c r="C53" s="471" t="s">
        <v>252</v>
      </c>
      <c r="F53" s="464" t="str">
        <f t="shared" ref="F53:F73" si="2">I8</f>
        <v>n/a</v>
      </c>
      <c r="T53" s="54">
        <v>38108</v>
      </c>
      <c r="U53" s="474">
        <f>'Company Gas Prices'!C72</f>
        <v>3.8177083299999999</v>
      </c>
      <c r="V53" s="474">
        <f>(U53*'Revenues &amp; Expenses'!$S$2)/1000</f>
        <v>36.569828093070001</v>
      </c>
      <c r="W53" s="474">
        <f>'Revenues &amp; Expenses'!O59*'Revenues &amp; Expenses'!$AM$5*1000</f>
        <v>2.2497423733035484</v>
      </c>
      <c r="X53" s="473">
        <f t="shared" si="1"/>
        <v>38.819570466373548</v>
      </c>
    </row>
    <row r="54" spans="1:24">
      <c r="B54" s="470">
        <f>B53+1</f>
        <v>2001</v>
      </c>
      <c r="C54" s="464">
        <v>2.25</v>
      </c>
      <c r="F54" s="464">
        <f t="shared" ca="1" si="2"/>
        <v>0.38781142524897433</v>
      </c>
      <c r="T54" s="54">
        <v>38139</v>
      </c>
      <c r="U54" s="474">
        <f>'Company Gas Prices'!C73</f>
        <v>3.8093750000000002</v>
      </c>
      <c r="V54" s="474">
        <f>(U54*'Revenues &amp; Expenses'!$S$2)/1000</f>
        <v>36.490003125000001</v>
      </c>
      <c r="W54" s="474">
        <f>'Revenues &amp; Expenses'!O60*'Revenues &amp; Expenses'!$AM$5*1000</f>
        <v>2.2547427121077246</v>
      </c>
      <c r="X54" s="473">
        <f t="shared" si="1"/>
        <v>38.744745837107729</v>
      </c>
    </row>
    <row r="55" spans="1:24">
      <c r="B55" s="470">
        <f t="shared" ref="B55:B73" si="3">B54+1</f>
        <v>2002</v>
      </c>
      <c r="C55" s="464">
        <v>2.2599999999999998</v>
      </c>
      <c r="F55" s="464">
        <f t="shared" ca="1" si="2"/>
        <v>0.38329541065497996</v>
      </c>
      <c r="T55" s="54">
        <v>38169</v>
      </c>
      <c r="U55" s="474">
        <f>'Company Gas Prices'!C74</f>
        <v>3.7718750000000001</v>
      </c>
      <c r="V55" s="474">
        <f>(U55*'Revenues &amp; Expenses'!$S$2)/1000</f>
        <v>36.130790625000003</v>
      </c>
      <c r="W55" s="474">
        <f>'Revenues &amp; Expenses'!O61*'Revenues &amp; Expenses'!$AM$5*1000</f>
        <v>2.2597541648014081</v>
      </c>
      <c r="X55" s="473">
        <f t="shared" si="1"/>
        <v>38.39054478980141</v>
      </c>
    </row>
    <row r="56" spans="1:24">
      <c r="B56" s="470">
        <f t="shared" si="3"/>
        <v>2003</v>
      </c>
      <c r="C56" s="464">
        <v>2.25</v>
      </c>
      <c r="F56" s="464">
        <f t="shared" ca="1" si="2"/>
        <v>0.40281353052696295</v>
      </c>
      <c r="T56" s="54">
        <v>38200</v>
      </c>
      <c r="U56" s="474">
        <f>'Company Gas Prices'!C75</f>
        <v>3.7718750000000001</v>
      </c>
      <c r="V56" s="474">
        <f>(U56*'Revenues &amp; Expenses'!$S$2)/1000</f>
        <v>36.130790625000003</v>
      </c>
      <c r="W56" s="474">
        <f>'Revenues &amp; Expenses'!O62*'Revenues &amp; Expenses'!$AM$5*1000</f>
        <v>2.2647767560866332</v>
      </c>
      <c r="X56" s="473">
        <f t="shared" si="1"/>
        <v>38.395567381086636</v>
      </c>
    </row>
    <row r="57" spans="1:24">
      <c r="B57" s="470">
        <f t="shared" si="3"/>
        <v>2004</v>
      </c>
      <c r="C57" s="464">
        <v>2.25</v>
      </c>
      <c r="F57" s="464">
        <f t="shared" ca="1" si="2"/>
        <v>0.41114843012933455</v>
      </c>
      <c r="T57" s="54">
        <v>38231</v>
      </c>
      <c r="U57" s="474">
        <f>'Company Gas Prices'!C76</f>
        <v>3.8177083299999999</v>
      </c>
      <c r="V57" s="474">
        <f>(U57*'Revenues &amp; Expenses'!$S$2)/1000</f>
        <v>36.569828093070001</v>
      </c>
      <c r="W57" s="474">
        <f>'Revenues &amp; Expenses'!O63*'Revenues &amp; Expenses'!$AM$5*1000</f>
        <v>2.2698105107203368</v>
      </c>
      <c r="X57" s="473">
        <f t="shared" si="1"/>
        <v>38.839638603790334</v>
      </c>
    </row>
    <row r="58" spans="1:24">
      <c r="B58" s="470">
        <f t="shared" si="3"/>
        <v>2005</v>
      </c>
      <c r="C58" s="464">
        <v>2.25</v>
      </c>
      <c r="F58" s="464">
        <f t="shared" ca="1" si="2"/>
        <v>0.44109408711634829</v>
      </c>
      <c r="T58" s="54">
        <v>38261</v>
      </c>
      <c r="U58" s="474">
        <f>'Company Gas Prices'!C77</f>
        <v>3.7781250000000002</v>
      </c>
      <c r="V58" s="474">
        <f>(U58*'Revenues &amp; Expenses'!$S$2)/1000</f>
        <v>36.190659375000003</v>
      </c>
      <c r="W58" s="474">
        <f>'Revenues &amp; Expenses'!O64*'Revenues &amp; Expenses'!$AM$5*1000</f>
        <v>2.274855453514482</v>
      </c>
      <c r="X58" s="473">
        <f t="shared" si="1"/>
        <v>38.465514828514486</v>
      </c>
    </row>
    <row r="59" spans="1:24">
      <c r="B59" s="470">
        <f t="shared" si="3"/>
        <v>2006</v>
      </c>
      <c r="C59" s="464">
        <v>2.2599999999999998</v>
      </c>
      <c r="F59" s="464">
        <f t="shared" ca="1" si="2"/>
        <v>0.4752229065730772</v>
      </c>
      <c r="T59" s="54">
        <v>38292</v>
      </c>
      <c r="U59" s="474">
        <f>'Company Gas Prices'!C78</f>
        <v>3.7781250000000002</v>
      </c>
      <c r="V59" s="474">
        <f>(U59*'Revenues &amp; Expenses'!$S$2)/1000</f>
        <v>36.190659375000003</v>
      </c>
      <c r="W59" s="474">
        <f>'Revenues &amp; Expenses'!O65*'Revenues &amp; Expenses'!$AM$5*1000</f>
        <v>2.2799116093361809</v>
      </c>
      <c r="X59" s="473">
        <f t="shared" si="1"/>
        <v>38.470570984336184</v>
      </c>
    </row>
    <row r="60" spans="1:24">
      <c r="B60" s="470">
        <f t="shared" si="3"/>
        <v>2007</v>
      </c>
      <c r="C60" s="464">
        <v>2.25</v>
      </c>
      <c r="F60" s="464">
        <f t="shared" ca="1" si="2"/>
        <v>0.49412761994843413</v>
      </c>
      <c r="T60" s="54">
        <v>38322</v>
      </c>
      <c r="U60" s="474">
        <f>'Company Gas Prices'!C79</f>
        <v>3.7781250000000002</v>
      </c>
      <c r="V60" s="474">
        <f>(U60*'Revenues &amp; Expenses'!$S$2)/1000</f>
        <v>36.190659375000003</v>
      </c>
      <c r="W60" s="474">
        <f>'Revenues &amp; Expenses'!O66*'Revenues &amp; Expenses'!$AM$5*1000</f>
        <v>2.284979003107813</v>
      </c>
      <c r="X60" s="473">
        <f t="shared" si="1"/>
        <v>38.475638378107817</v>
      </c>
    </row>
    <row r="61" spans="1:24">
      <c r="B61" s="470">
        <f t="shared" si="3"/>
        <v>2008</v>
      </c>
      <c r="C61" s="464">
        <v>2.25</v>
      </c>
      <c r="F61" s="464">
        <f t="shared" ca="1" si="2"/>
        <v>0.52145606891854657</v>
      </c>
      <c r="T61" s="54">
        <v>38353</v>
      </c>
      <c r="U61" s="474">
        <f>'Company Gas Prices'!C80</f>
        <v>3.8354166699999999</v>
      </c>
      <c r="V61" s="474">
        <f>(U61*'Revenues &amp; Expenses'!$S$2)/1000</f>
        <v>36.739456281929996</v>
      </c>
      <c r="W61" s="474">
        <f>'Revenues &amp; Expenses'!O67*'Revenues &amp; Expenses'!$AM$5*1000</f>
        <v>2.2900576598071534</v>
      </c>
      <c r="X61" s="473">
        <f t="shared" si="1"/>
        <v>39.02951394173715</v>
      </c>
    </row>
    <row r="62" spans="1:24">
      <c r="B62" s="470">
        <f t="shared" si="3"/>
        <v>2009</v>
      </c>
      <c r="C62" s="464">
        <v>2.3199999999999998</v>
      </c>
      <c r="F62" s="464">
        <f t="shared" ca="1" si="2"/>
        <v>0.56955453062379047</v>
      </c>
      <c r="T62" s="54">
        <v>38384</v>
      </c>
      <c r="U62" s="474">
        <f>'Company Gas Prices'!C81</f>
        <v>3.8354166699999999</v>
      </c>
      <c r="V62" s="474">
        <f>(U62*'Revenues &amp; Expenses'!$S$2)/1000</f>
        <v>36.739456281929996</v>
      </c>
      <c r="W62" s="474">
        <f>'Revenues &amp; Expenses'!O68*'Revenues &amp; Expenses'!$AM$5*1000</f>
        <v>2.2951476044674926</v>
      </c>
      <c r="X62" s="473">
        <f t="shared" si="1"/>
        <v>39.034603886397491</v>
      </c>
    </row>
    <row r="63" spans="1:24">
      <c r="B63" s="470">
        <f t="shared" si="3"/>
        <v>2010</v>
      </c>
      <c r="C63" s="464">
        <v>2.52</v>
      </c>
      <c r="F63" s="464">
        <f t="shared" ca="1" si="2"/>
        <v>0.60507678630198303</v>
      </c>
      <c r="T63" s="54">
        <v>38412</v>
      </c>
      <c r="U63" s="474">
        <f>'Company Gas Prices'!C82</f>
        <v>3.8354166699999999</v>
      </c>
      <c r="V63" s="474">
        <f>(U63*'Revenues &amp; Expenses'!$S$2)/1000</f>
        <v>36.739456281929996</v>
      </c>
      <c r="W63" s="474">
        <f>'Revenues &amp; Expenses'!O69*'Revenues &amp; Expenses'!$AM$5*1000</f>
        <v>2.3002488621777601</v>
      </c>
      <c r="X63" s="473">
        <f t="shared" si="1"/>
        <v>39.039705144107756</v>
      </c>
    </row>
    <row r="64" spans="1:24">
      <c r="B64" s="470">
        <f t="shared" si="3"/>
        <v>2011</v>
      </c>
      <c r="C64" s="464">
        <v>2.65</v>
      </c>
      <c r="F64" s="464">
        <f t="shared" ca="1" si="2"/>
        <v>0.62473473246597278</v>
      </c>
      <c r="T64" s="54">
        <v>38443</v>
      </c>
      <c r="U64" s="474">
        <f>'Company Gas Prices'!C83</f>
        <v>3.98020833</v>
      </c>
      <c r="V64" s="474">
        <f>(U64*'Revenues &amp; Expenses'!$S$2)/1000</f>
        <v>38.12641559307</v>
      </c>
      <c r="W64" s="474">
        <f>'Revenues &amp; Expenses'!O70*'Revenues &amp; Expenses'!$AM$5*1000</f>
        <v>2.3053614580826505</v>
      </c>
      <c r="X64" s="473">
        <f t="shared" si="1"/>
        <v>40.43177705115265</v>
      </c>
    </row>
    <row r="65" spans="2:24">
      <c r="B65" s="470">
        <f t="shared" si="3"/>
        <v>2012</v>
      </c>
      <c r="C65" s="464">
        <v>2.84</v>
      </c>
      <c r="F65" s="464">
        <f t="shared" ca="1" si="2"/>
        <v>0.65752062096212816</v>
      </c>
      <c r="T65" s="54">
        <v>38473</v>
      </c>
      <c r="U65" s="474">
        <f>'Company Gas Prices'!C84</f>
        <v>3.8177083299999999</v>
      </c>
      <c r="V65" s="474">
        <f>(U65*'Revenues &amp; Expenses'!$S$2)/1000</f>
        <v>36.569828093070001</v>
      </c>
      <c r="W65" s="474">
        <f>'Revenues &amp; Expenses'!O71*'Revenues &amp; Expenses'!$AM$5*1000</f>
        <v>2.3104854173827438</v>
      </c>
      <c r="X65" s="473">
        <f t="shared" si="1"/>
        <v>38.880313510452744</v>
      </c>
    </row>
    <row r="66" spans="2:24">
      <c r="B66" s="470">
        <f t="shared" si="3"/>
        <v>2013</v>
      </c>
      <c r="C66" s="464">
        <v>2.89</v>
      </c>
      <c r="F66" s="464">
        <f t="shared" ca="1" si="2"/>
        <v>0.70195215327140303</v>
      </c>
      <c r="T66" s="54">
        <v>38504</v>
      </c>
      <c r="U66" s="474">
        <f>'Company Gas Prices'!C85</f>
        <v>3.8093750000000002</v>
      </c>
      <c r="V66" s="474">
        <f>(U66*'Revenues &amp; Expenses'!$S$2)/1000</f>
        <v>36.490003125000001</v>
      </c>
      <c r="W66" s="474">
        <f>'Revenues &amp; Expenses'!O72*'Revenues &amp; Expenses'!$AM$5*1000</f>
        <v>2.315620765334633</v>
      </c>
      <c r="X66" s="473">
        <f t="shared" si="1"/>
        <v>38.805623890334637</v>
      </c>
    </row>
    <row r="67" spans="2:24">
      <c r="B67" s="470">
        <f t="shared" si="3"/>
        <v>2014</v>
      </c>
      <c r="C67" s="464">
        <v>3.94</v>
      </c>
      <c r="F67" s="464">
        <f t="shared" ca="1" si="2"/>
        <v>0.73079245210027322</v>
      </c>
      <c r="T67" s="54">
        <v>38534</v>
      </c>
      <c r="U67" s="474">
        <f>'Company Gas Prices'!C86</f>
        <v>3.7718750000000001</v>
      </c>
      <c r="V67" s="474">
        <f>(U67*'Revenues &amp; Expenses'!$S$2)/1000</f>
        <v>36.130790625000003</v>
      </c>
      <c r="W67" s="474">
        <f>'Revenues &amp; Expenses'!O73*'Revenues &amp; Expenses'!$AM$5*1000</f>
        <v>2.320767527251046</v>
      </c>
      <c r="X67" s="473">
        <f t="shared" si="1"/>
        <v>38.451558152251046</v>
      </c>
    </row>
    <row r="68" spans="2:24">
      <c r="B68" s="470">
        <f t="shared" si="3"/>
        <v>2015</v>
      </c>
      <c r="C68" s="464">
        <v>5.71</v>
      </c>
      <c r="F68" s="464">
        <f t="shared" ca="1" si="2"/>
        <v>0.74653729755464737</v>
      </c>
      <c r="T68" s="54">
        <v>38565</v>
      </c>
      <c r="U68" s="474">
        <f>'Company Gas Prices'!C87</f>
        <v>3.7718750000000001</v>
      </c>
      <c r="V68" s="474">
        <f>(U68*'Revenues &amp; Expenses'!$S$2)/1000</f>
        <v>36.130790625000003</v>
      </c>
      <c r="W68" s="474">
        <f>'Revenues &amp; Expenses'!O74*'Revenues &amp; Expenses'!$AM$5*1000</f>
        <v>2.3259257285009718</v>
      </c>
      <c r="X68" s="473">
        <f t="shared" si="1"/>
        <v>38.456716353500973</v>
      </c>
    </row>
    <row r="69" spans="2:24">
      <c r="B69" s="470">
        <f t="shared" si="3"/>
        <v>2016</v>
      </c>
      <c r="C69" s="471" t="s">
        <v>252</v>
      </c>
      <c r="F69" s="464">
        <f t="shared" ca="1" si="2"/>
        <v>0.77872033999721901</v>
      </c>
      <c r="T69" s="54">
        <v>38596</v>
      </c>
      <c r="U69" s="474">
        <f>'Company Gas Prices'!C88</f>
        <v>3.8177083299999999</v>
      </c>
      <c r="V69" s="474">
        <f>(U69*'Revenues &amp; Expenses'!$S$2)/1000</f>
        <v>36.569828093070001</v>
      </c>
      <c r="W69" s="474">
        <f>'Revenues &amp; Expenses'!O75*'Revenues &amp; Expenses'!$AM$5*1000</f>
        <v>2.3310953945097856</v>
      </c>
      <c r="X69" s="473">
        <f t="shared" si="1"/>
        <v>38.900923487579789</v>
      </c>
    </row>
    <row r="70" spans="2:24">
      <c r="B70" s="470">
        <f t="shared" si="3"/>
        <v>2017</v>
      </c>
      <c r="C70" s="471" t="s">
        <v>252</v>
      </c>
      <c r="F70" s="464">
        <f t="shared" ca="1" si="2"/>
        <v>0.82542858391311313</v>
      </c>
      <c r="T70" s="54">
        <v>38626</v>
      </c>
      <c r="U70" s="474">
        <f>'Company Gas Prices'!C89</f>
        <v>3.7781250000000002</v>
      </c>
      <c r="V70" s="474">
        <f>(U70*'Revenues &amp; Expenses'!$S$2)/1000</f>
        <v>36.190659375000003</v>
      </c>
      <c r="W70" s="474">
        <f>'Revenues &amp; Expenses'!O76*'Revenues &amp; Expenses'!$AM$5*1000</f>
        <v>2.336276550759373</v>
      </c>
      <c r="X70" s="473">
        <f t="shared" si="1"/>
        <v>38.526935925759375</v>
      </c>
    </row>
    <row r="71" spans="2:24">
      <c r="B71" s="470">
        <f t="shared" si="3"/>
        <v>2018</v>
      </c>
      <c r="C71" s="471" t="s">
        <v>252</v>
      </c>
      <c r="F71" s="464">
        <f t="shared" ca="1" si="2"/>
        <v>0.85213888493154044</v>
      </c>
      <c r="T71" s="54">
        <v>38657</v>
      </c>
      <c r="U71" s="474">
        <f>'Company Gas Prices'!C90</f>
        <v>3.7781250000000002</v>
      </c>
      <c r="V71" s="474">
        <f>(U71*'Revenues &amp; Expenses'!$S$2)/1000</f>
        <v>36.190659375000003</v>
      </c>
      <c r="W71" s="474">
        <f>'Revenues &amp; Expenses'!O77*'Revenues &amp; Expenses'!$AM$5*1000</f>
        <v>2.3414692227882576</v>
      </c>
      <c r="X71" s="473">
        <f t="shared" ref="X71:X134" si="4">V71+W71</f>
        <v>38.532128597788258</v>
      </c>
    </row>
    <row r="72" spans="2:24">
      <c r="B72" s="470">
        <f t="shared" si="3"/>
        <v>2019</v>
      </c>
      <c r="C72" s="471" t="s">
        <v>252</v>
      </c>
      <c r="F72" s="464">
        <f t="shared" ca="1" si="2"/>
        <v>0.82119832296289741</v>
      </c>
      <c r="T72" s="54">
        <v>38687</v>
      </c>
      <c r="U72" s="474">
        <f>'Company Gas Prices'!C91</f>
        <v>3.7781250000000002</v>
      </c>
      <c r="V72" s="474">
        <f>(U72*'Revenues &amp; Expenses'!$S$2)/1000</f>
        <v>36.190659375000003</v>
      </c>
      <c r="W72" s="474">
        <f>'Revenues &amp; Expenses'!O78*'Revenues &amp; Expenses'!$AM$5*1000</f>
        <v>2.3466734361917241</v>
      </c>
      <c r="X72" s="473">
        <f t="shared" si="4"/>
        <v>38.537332811191725</v>
      </c>
    </row>
    <row r="73" spans="2:24">
      <c r="B73" s="470">
        <f t="shared" si="3"/>
        <v>2020</v>
      </c>
      <c r="C73" s="471" t="s">
        <v>252</v>
      </c>
      <c r="F73" s="464">
        <f t="shared" ca="1" si="2"/>
        <v>0.8533164588275195</v>
      </c>
      <c r="T73" s="54">
        <v>38718</v>
      </c>
      <c r="U73" s="474">
        <f>'Company Gas Prices'!C92</f>
        <v>3.8354166699999999</v>
      </c>
      <c r="V73" s="474">
        <f>(U73*'Revenues &amp; Expenses'!$S$2)/1000</f>
        <v>36.739456281929996</v>
      </c>
      <c r="W73" s="474">
        <f>'Revenues &amp; Expenses'!O79*'Revenues &amp; Expenses'!$AM$5*1000</f>
        <v>2.3518892166219465</v>
      </c>
      <c r="X73" s="473">
        <f t="shared" si="4"/>
        <v>39.091345498551945</v>
      </c>
    </row>
    <row r="74" spans="2:24">
      <c r="T74" s="54">
        <v>38749</v>
      </c>
      <c r="U74" s="474">
        <f>'Company Gas Prices'!C93</f>
        <v>3.8354166699999999</v>
      </c>
      <c r="V74" s="474">
        <f>(U74*'Revenues &amp; Expenses'!$S$2)/1000</f>
        <v>36.739456281929996</v>
      </c>
      <c r="W74" s="474">
        <f>'Revenues &amp; Expenses'!O80*'Revenues &amp; Expenses'!$AM$5*1000</f>
        <v>2.3571165897881143</v>
      </c>
      <c r="X74" s="473">
        <f t="shared" si="4"/>
        <v>39.096572871718109</v>
      </c>
    </row>
    <row r="75" spans="2:24">
      <c r="T75" s="54">
        <v>38777</v>
      </c>
      <c r="U75" s="474">
        <f>'Company Gas Prices'!C94</f>
        <v>3.8354166699999999</v>
      </c>
      <c r="V75" s="474">
        <f>(U75*'Revenues &amp; Expenses'!$S$2)/1000</f>
        <v>36.739456281929996</v>
      </c>
      <c r="W75" s="474">
        <f>'Revenues &amp; Expenses'!O81*'Revenues &amp; Expenses'!$AM$5*1000</f>
        <v>2.3623555814565602</v>
      </c>
      <c r="X75" s="473">
        <f t="shared" si="4"/>
        <v>39.101811863386558</v>
      </c>
    </row>
    <row r="76" spans="2:24">
      <c r="T76" s="54">
        <v>38808</v>
      </c>
      <c r="U76" s="474">
        <f>'Company Gas Prices'!C95</f>
        <v>3.98020833</v>
      </c>
      <c r="V76" s="474">
        <f>(U76*'Revenues &amp; Expenses'!$S$2)/1000</f>
        <v>38.12641559307</v>
      </c>
      <c r="W76" s="474">
        <f>'Revenues &amp; Expenses'!O82*'Revenues &amp; Expenses'!$AM$5*1000</f>
        <v>2.3676062174508816</v>
      </c>
      <c r="X76" s="473">
        <f t="shared" si="4"/>
        <v>40.494021810520884</v>
      </c>
    </row>
    <row r="77" spans="2:24">
      <c r="T77" s="54">
        <v>38838</v>
      </c>
      <c r="U77" s="474">
        <f>'Company Gas Prices'!C96</f>
        <v>3.8177083299999999</v>
      </c>
      <c r="V77" s="474">
        <f>(U77*'Revenues &amp; Expenses'!$S$2)/1000</f>
        <v>36.569828093070001</v>
      </c>
      <c r="W77" s="474">
        <f>'Revenues &amp; Expenses'!O83*'Revenues &amp; Expenses'!$AM$5*1000</f>
        <v>2.3728685236520777</v>
      </c>
      <c r="X77" s="473">
        <f t="shared" si="4"/>
        <v>38.942696616722081</v>
      </c>
    </row>
    <row r="78" spans="2:24">
      <c r="T78" s="54">
        <v>38869</v>
      </c>
      <c r="U78" s="474">
        <f>'Company Gas Prices'!C97</f>
        <v>3.8093750000000002</v>
      </c>
      <c r="V78" s="474">
        <f>(U78*'Revenues &amp; Expenses'!$S$2)/1000</f>
        <v>36.490003125000001</v>
      </c>
      <c r="W78" s="474">
        <f>'Revenues &amp; Expenses'!O84*'Revenues &amp; Expenses'!$AM$5*1000</f>
        <v>2.3781425259986677</v>
      </c>
      <c r="X78" s="473">
        <f t="shared" si="4"/>
        <v>38.86814565099867</v>
      </c>
    </row>
    <row r="79" spans="2:24">
      <c r="T79" s="54">
        <v>38899</v>
      </c>
      <c r="U79" s="474">
        <f>'Company Gas Prices'!C98</f>
        <v>3.7718750000000001</v>
      </c>
      <c r="V79" s="474">
        <f>(U79*'Revenues &amp; Expenses'!$S$2)/1000</f>
        <v>36.130790625000003</v>
      </c>
      <c r="W79" s="474">
        <f>'Revenues &amp; Expenses'!O85*'Revenues &amp; Expenses'!$AM$5*1000</f>
        <v>2.3834282504868241</v>
      </c>
      <c r="X79" s="473">
        <f t="shared" si="4"/>
        <v>38.514218875486826</v>
      </c>
    </row>
    <row r="80" spans="2:24">
      <c r="T80" s="54">
        <v>38930</v>
      </c>
      <c r="U80" s="474">
        <f>'Company Gas Prices'!C99</f>
        <v>3.7718750000000001</v>
      </c>
      <c r="V80" s="474">
        <f>(U80*'Revenues &amp; Expenses'!$S$2)/1000</f>
        <v>36.130790625000003</v>
      </c>
      <c r="W80" s="474">
        <f>'Revenues &amp; Expenses'!O86*'Revenues &amp; Expenses'!$AM$5*1000</f>
        <v>2.3887257231704977</v>
      </c>
      <c r="X80" s="473">
        <f t="shared" si="4"/>
        <v>38.519516348170498</v>
      </c>
    </row>
    <row r="81" spans="20:24">
      <c r="T81" s="54">
        <v>38961</v>
      </c>
      <c r="U81" s="474">
        <f>'Company Gas Prices'!C100</f>
        <v>3.8177083299999999</v>
      </c>
      <c r="V81" s="474">
        <f>(U81*'Revenues &amp; Expenses'!$S$2)/1000</f>
        <v>36.569828093070001</v>
      </c>
      <c r="W81" s="474">
        <f>'Revenues &amp; Expenses'!O87*'Revenues &amp; Expenses'!$AM$5*1000</f>
        <v>2.3940349701615493</v>
      </c>
      <c r="X81" s="473">
        <f t="shared" si="4"/>
        <v>38.96386306323155</v>
      </c>
    </row>
    <row r="82" spans="20:24">
      <c r="T82" s="54">
        <v>38991</v>
      </c>
      <c r="U82" s="474">
        <f>'Company Gas Prices'!C101</f>
        <v>3.7781250000000002</v>
      </c>
      <c r="V82" s="474">
        <f>(U82*'Revenues &amp; Expenses'!$S$2)/1000</f>
        <v>36.190659375000003</v>
      </c>
      <c r="W82" s="474">
        <f>'Revenues &amp; Expenses'!O88*'Revenues &amp; Expenses'!$AM$5*1000</f>
        <v>2.3993560176298758</v>
      </c>
      <c r="X82" s="473">
        <f t="shared" si="4"/>
        <v>38.59001539262988</v>
      </c>
    </row>
    <row r="83" spans="20:24">
      <c r="T83" s="54">
        <v>39022</v>
      </c>
      <c r="U83" s="474">
        <f>'Company Gas Prices'!C102</f>
        <v>3.7781250000000002</v>
      </c>
      <c r="V83" s="474">
        <f>(U83*'Revenues &amp; Expenses'!$S$2)/1000</f>
        <v>36.190659375000003</v>
      </c>
      <c r="W83" s="474">
        <f>'Revenues &amp; Expenses'!O89*'Revenues &amp; Expenses'!$AM$5*1000</f>
        <v>2.4046888918035401</v>
      </c>
      <c r="X83" s="473">
        <f t="shared" si="4"/>
        <v>38.595348266803541</v>
      </c>
    </row>
    <row r="84" spans="20:24">
      <c r="T84" s="54">
        <v>39052</v>
      </c>
      <c r="U84" s="474">
        <f>'Company Gas Prices'!C103</f>
        <v>3.7781250000000002</v>
      </c>
      <c r="V84" s="474">
        <f>(U84*'Revenues &amp; Expenses'!$S$2)/1000</f>
        <v>36.190659375000003</v>
      </c>
      <c r="W84" s="474">
        <f>'Revenues &amp; Expenses'!O90*'Revenues &amp; Expenses'!$AM$5*1000</f>
        <v>2.4100336189689004</v>
      </c>
      <c r="X84" s="473">
        <f t="shared" si="4"/>
        <v>38.600692993968906</v>
      </c>
    </row>
    <row r="85" spans="20:24">
      <c r="T85" s="54">
        <v>39083</v>
      </c>
      <c r="U85" s="474">
        <f>'Company Gas Prices'!C104</f>
        <v>3.8354166699999999</v>
      </c>
      <c r="V85" s="474">
        <f>(U85*'Revenues &amp; Expenses'!$S$2)/1000</f>
        <v>36.739456281929996</v>
      </c>
      <c r="W85" s="474">
        <f>'Revenues &amp; Expenses'!O91*'Revenues &amp; Expenses'!$AM$5*1000</f>
        <v>2.4153902254707389</v>
      </c>
      <c r="X85" s="473">
        <f t="shared" si="4"/>
        <v>39.154846507400734</v>
      </c>
    </row>
    <row r="86" spans="20:24">
      <c r="T86" s="54">
        <v>39114</v>
      </c>
      <c r="U86" s="474">
        <f>'Company Gas Prices'!C105</f>
        <v>3.8354166699999999</v>
      </c>
      <c r="V86" s="474">
        <f>(U86*'Revenues &amp; Expenses'!$S$2)/1000</f>
        <v>36.739456281929996</v>
      </c>
      <c r="W86" s="474">
        <f>'Revenues &amp; Expenses'!O92*'Revenues &amp; Expenses'!$AM$5*1000</f>
        <v>2.4207587377123936</v>
      </c>
      <c r="X86" s="473">
        <f t="shared" si="4"/>
        <v>39.160215019642393</v>
      </c>
    </row>
    <row r="87" spans="20:24">
      <c r="T87" s="54">
        <v>39142</v>
      </c>
      <c r="U87" s="474">
        <f>'Company Gas Prices'!C106</f>
        <v>3.8354166699999999</v>
      </c>
      <c r="V87" s="474">
        <f>(U87*'Revenues &amp; Expenses'!$S$2)/1000</f>
        <v>36.739456281929996</v>
      </c>
      <c r="W87" s="474">
        <f>'Revenues &amp; Expenses'!O93*'Revenues &amp; Expenses'!$AM$5*1000</f>
        <v>2.4261391821558864</v>
      </c>
      <c r="X87" s="473">
        <f t="shared" si="4"/>
        <v>39.165595464085882</v>
      </c>
    </row>
    <row r="88" spans="20:24">
      <c r="T88" s="54">
        <v>39173</v>
      </c>
      <c r="U88" s="474">
        <f>'Company Gas Prices'!C107</f>
        <v>3.98020833</v>
      </c>
      <c r="V88" s="474">
        <f>(U88*'Revenues &amp; Expenses'!$S$2)/1000</f>
        <v>38.12641559307</v>
      </c>
      <c r="W88" s="474">
        <f>'Revenues &amp; Expenses'!O94*'Revenues &amp; Expenses'!$AM$5*1000</f>
        <v>2.4315315853220554</v>
      </c>
      <c r="X88" s="473">
        <f t="shared" si="4"/>
        <v>40.557947178392055</v>
      </c>
    </row>
    <row r="89" spans="20:24">
      <c r="T89" s="54">
        <v>39203</v>
      </c>
      <c r="U89" s="474">
        <f>'Company Gas Prices'!C108</f>
        <v>3.8177083299999999</v>
      </c>
      <c r="V89" s="474">
        <f>(U89*'Revenues &amp; Expenses'!$S$2)/1000</f>
        <v>36.569828093070001</v>
      </c>
      <c r="W89" s="474">
        <f>'Revenues &amp; Expenses'!O95*'Revenues &amp; Expenses'!$AM$5*1000</f>
        <v>2.4369359737906837</v>
      </c>
      <c r="X89" s="473">
        <f t="shared" si="4"/>
        <v>39.006764066860683</v>
      </c>
    </row>
    <row r="90" spans="20:24">
      <c r="T90" s="54">
        <v>39234</v>
      </c>
      <c r="U90" s="474">
        <f>'Company Gas Prices'!C109</f>
        <v>3.8093750000000002</v>
      </c>
      <c r="V90" s="474">
        <f>(U90*'Revenues &amp; Expenses'!$S$2)/1000</f>
        <v>36.490003125000001</v>
      </c>
      <c r="W90" s="474">
        <f>'Revenues &amp; Expenses'!O96*'Revenues &amp; Expenses'!$AM$5*1000</f>
        <v>2.4423523742006314</v>
      </c>
      <c r="X90" s="473">
        <f t="shared" si="4"/>
        <v>38.932355499200632</v>
      </c>
    </row>
    <row r="91" spans="20:24">
      <c r="T91" s="54">
        <v>39264</v>
      </c>
      <c r="U91" s="474">
        <f>'Company Gas Prices'!C110</f>
        <v>3.7718750000000001</v>
      </c>
      <c r="V91" s="474">
        <f>(U91*'Revenues &amp; Expenses'!$S$2)/1000</f>
        <v>36.130790625000003</v>
      </c>
      <c r="W91" s="474">
        <f>'Revenues &amp; Expenses'!O97*'Revenues &amp; Expenses'!$AM$5*1000</f>
        <v>2.4477808132499681</v>
      </c>
      <c r="X91" s="473">
        <f t="shared" si="4"/>
        <v>38.578571438249973</v>
      </c>
    </row>
    <row r="92" spans="20:24">
      <c r="T92" s="54">
        <v>39295</v>
      </c>
      <c r="U92" s="474">
        <f>'Company Gas Prices'!C111</f>
        <v>3.7718750000000001</v>
      </c>
      <c r="V92" s="474">
        <f>(U92*'Revenues &amp; Expenses'!$S$2)/1000</f>
        <v>36.130790625000003</v>
      </c>
      <c r="W92" s="474">
        <f>'Revenues &amp; Expenses'!O98*'Revenues &amp; Expenses'!$AM$5*1000</f>
        <v>2.4532213176961011</v>
      </c>
      <c r="X92" s="473">
        <f t="shared" si="4"/>
        <v>38.584011942696101</v>
      </c>
    </row>
    <row r="93" spans="20:24">
      <c r="T93" s="54">
        <v>39326</v>
      </c>
      <c r="U93" s="474">
        <f>'Company Gas Prices'!C112</f>
        <v>3.8177083299999999</v>
      </c>
      <c r="V93" s="474">
        <f>(U93*'Revenues &amp; Expenses'!$S$2)/1000</f>
        <v>36.569828093070001</v>
      </c>
      <c r="W93" s="474">
        <f>'Revenues &amp; Expenses'!O99*'Revenues &amp; Expenses'!$AM$5*1000</f>
        <v>2.4586739143559111</v>
      </c>
      <c r="X93" s="473">
        <f t="shared" si="4"/>
        <v>39.028502007425914</v>
      </c>
    </row>
    <row r="94" spans="20:24">
      <c r="T94" s="54">
        <v>39356</v>
      </c>
      <c r="U94" s="474">
        <f>'Company Gas Prices'!C113</f>
        <v>3.7781250000000002</v>
      </c>
      <c r="V94" s="474">
        <f>(U94*'Revenues &amp; Expenses'!$S$2)/1000</f>
        <v>36.190659375000003</v>
      </c>
      <c r="W94" s="474">
        <f>'Revenues &amp; Expenses'!O100*'Revenues &amp; Expenses'!$AM$5*1000</f>
        <v>2.4641386301058823</v>
      </c>
      <c r="X94" s="473">
        <f t="shared" si="4"/>
        <v>38.654798005105889</v>
      </c>
    </row>
    <row r="95" spans="20:24">
      <c r="T95" s="54">
        <v>39387</v>
      </c>
      <c r="U95" s="474">
        <f>'Company Gas Prices'!C114</f>
        <v>3.7781250000000002</v>
      </c>
      <c r="V95" s="474">
        <f>(U95*'Revenues &amp; Expenses'!$S$2)/1000</f>
        <v>36.190659375000003</v>
      </c>
      <c r="W95" s="474">
        <f>'Revenues &amp; Expenses'!O101*'Revenues &amp; Expenses'!$AM$5*1000</f>
        <v>2.4696154918822355</v>
      </c>
      <c r="X95" s="473">
        <f t="shared" si="4"/>
        <v>38.66027486688224</v>
      </c>
    </row>
    <row r="96" spans="20:24">
      <c r="T96" s="54">
        <v>39417</v>
      </c>
      <c r="U96" s="474">
        <f>'Company Gas Prices'!C115</f>
        <v>3.7781250000000002</v>
      </c>
      <c r="V96" s="474">
        <f>(U96*'Revenues &amp; Expenses'!$S$2)/1000</f>
        <v>36.190659375000003</v>
      </c>
      <c r="W96" s="474">
        <f>'Revenues &amp; Expenses'!O102*'Revenues &amp; Expenses'!$AM$5*1000</f>
        <v>2.4751045266810601</v>
      </c>
      <c r="X96" s="473">
        <f t="shared" si="4"/>
        <v>38.665763901681061</v>
      </c>
    </row>
    <row r="97" spans="20:24">
      <c r="T97" s="54">
        <v>39448</v>
      </c>
      <c r="U97" s="474">
        <f>'Company Gas Prices'!C116</f>
        <v>3.8354166699999999</v>
      </c>
      <c r="V97" s="474">
        <f>(U97*'Revenues &amp; Expenses'!$S$2)/1000</f>
        <v>36.739456281929996</v>
      </c>
      <c r="W97" s="474">
        <f>'Revenues &amp; Expenses'!O103*'Revenues &amp; Expenses'!$AM$5*1000</f>
        <v>2.4806057615584485</v>
      </c>
      <c r="X97" s="473">
        <f t="shared" si="4"/>
        <v>39.220062043488447</v>
      </c>
    </row>
    <row r="98" spans="20:24">
      <c r="T98" s="54">
        <v>39479</v>
      </c>
      <c r="U98" s="474">
        <f>'Company Gas Prices'!C117</f>
        <v>3.8354166699999999</v>
      </c>
      <c r="V98" s="474">
        <f>(U98*'Revenues &amp; Expenses'!$S$2)/1000</f>
        <v>36.739456281929996</v>
      </c>
      <c r="W98" s="474">
        <f>'Revenues &amp; Expenses'!O104*'Revenues &amp; Expenses'!$AM$5*1000</f>
        <v>2.4861192236306278</v>
      </c>
      <c r="X98" s="473">
        <f t="shared" si="4"/>
        <v>39.225575505560627</v>
      </c>
    </row>
    <row r="99" spans="20:24">
      <c r="T99" s="54">
        <v>39508</v>
      </c>
      <c r="U99" s="474">
        <f>'Company Gas Prices'!C118</f>
        <v>3.8354166699999999</v>
      </c>
      <c r="V99" s="474">
        <f>(U99*'Revenues &amp; Expenses'!$S$2)/1000</f>
        <v>36.739456281929996</v>
      </c>
      <c r="W99" s="474">
        <f>'Revenues &amp; Expenses'!O105*'Revenues &amp; Expenses'!$AM$5*1000</f>
        <v>2.491644940074095</v>
      </c>
      <c r="X99" s="473">
        <f t="shared" si="4"/>
        <v>39.231101222004092</v>
      </c>
    </row>
    <row r="100" spans="20:24">
      <c r="T100" s="54">
        <v>39539</v>
      </c>
      <c r="U100" s="474">
        <f>'Company Gas Prices'!C119</f>
        <v>3.98020833</v>
      </c>
      <c r="V100" s="474">
        <f>(U100*'Revenues &amp; Expenses'!$S$2)/1000</f>
        <v>38.12641559307</v>
      </c>
      <c r="W100" s="474">
        <f>'Revenues &amp; Expenses'!O106*'Revenues &amp; Expenses'!$AM$5*1000</f>
        <v>2.4971829381257509</v>
      </c>
      <c r="X100" s="473">
        <f t="shared" si="4"/>
        <v>40.623598531195753</v>
      </c>
    </row>
    <row r="101" spans="20:24">
      <c r="T101" s="54">
        <v>39569</v>
      </c>
      <c r="U101" s="474">
        <f>'Company Gas Prices'!C120</f>
        <v>3.8177083299999999</v>
      </c>
      <c r="V101" s="474">
        <f>(U101*'Revenues &amp; Expenses'!$S$2)/1000</f>
        <v>36.569828093070001</v>
      </c>
      <c r="W101" s="474">
        <f>'Revenues &amp; Expenses'!O107*'Revenues &amp; Expenses'!$AM$5*1000</f>
        <v>2.5027332450830317</v>
      </c>
      <c r="X101" s="473">
        <f t="shared" si="4"/>
        <v>39.072561338153029</v>
      </c>
    </row>
    <row r="102" spans="20:24">
      <c r="T102" s="54">
        <v>39600</v>
      </c>
      <c r="U102" s="474">
        <f>'Company Gas Prices'!C121</f>
        <v>3.8093750000000002</v>
      </c>
      <c r="V102" s="474">
        <f>(U102*'Revenues &amp; Expenses'!$S$2)/1000</f>
        <v>36.490003125000001</v>
      </c>
      <c r="W102" s="474">
        <f>'Revenues &amp; Expenses'!O108*'Revenues &amp; Expenses'!$AM$5*1000</f>
        <v>2.5082958883040485</v>
      </c>
      <c r="X102" s="473">
        <f t="shared" si="4"/>
        <v>38.998299013304049</v>
      </c>
    </row>
    <row r="103" spans="20:24">
      <c r="T103" s="54">
        <v>39630</v>
      </c>
      <c r="U103" s="474">
        <f>'Company Gas Prices'!C122</f>
        <v>3.7718750000000001</v>
      </c>
      <c r="V103" s="474">
        <f>(U103*'Revenues &amp; Expenses'!$S$2)/1000</f>
        <v>36.130790625000003</v>
      </c>
      <c r="W103" s="474">
        <f>'Revenues &amp; Expenses'!O109*'Revenues &amp; Expenses'!$AM$5*1000</f>
        <v>2.5138708952077167</v>
      </c>
      <c r="X103" s="473">
        <f t="shared" si="4"/>
        <v>38.64466152020772</v>
      </c>
    </row>
    <row r="104" spans="20:24">
      <c r="T104" s="54">
        <v>39661</v>
      </c>
      <c r="U104" s="474">
        <f>'Company Gas Prices'!C123</f>
        <v>3.7718750000000001</v>
      </c>
      <c r="V104" s="474">
        <f>(U104*'Revenues &amp; Expenses'!$S$2)/1000</f>
        <v>36.130790625000003</v>
      </c>
      <c r="W104" s="474">
        <f>'Revenues &amp; Expenses'!O110*'Revenues &amp; Expenses'!$AM$5*1000</f>
        <v>2.5194582932738956</v>
      </c>
      <c r="X104" s="473">
        <f t="shared" si="4"/>
        <v>38.650248918273896</v>
      </c>
    </row>
    <row r="105" spans="20:24">
      <c r="T105" s="54">
        <v>39692</v>
      </c>
      <c r="U105" s="474">
        <f>'Company Gas Prices'!C124</f>
        <v>3.8177083299999999</v>
      </c>
      <c r="V105" s="474">
        <f>(U105*'Revenues &amp; Expenses'!$S$2)/1000</f>
        <v>36.569828093070001</v>
      </c>
      <c r="W105" s="474">
        <f>'Revenues &amp; Expenses'!O111*'Revenues &amp; Expenses'!$AM$5*1000</f>
        <v>2.5250581100435205</v>
      </c>
      <c r="X105" s="473">
        <f t="shared" si="4"/>
        <v>39.094886203113518</v>
      </c>
    </row>
    <row r="106" spans="20:24">
      <c r="T106" s="54">
        <v>39722</v>
      </c>
      <c r="U106" s="474">
        <f>'Company Gas Prices'!C125</f>
        <v>3.7781250000000002</v>
      </c>
      <c r="V106" s="474">
        <f>(U106*'Revenues &amp; Expenses'!$S$2)/1000</f>
        <v>36.190659375000003</v>
      </c>
      <c r="W106" s="474">
        <f>'Revenues &amp; Expenses'!O112*'Revenues &amp; Expenses'!$AM$5*1000</f>
        <v>2.5306703731187414</v>
      </c>
      <c r="X106" s="473">
        <f t="shared" si="4"/>
        <v>38.721329748118741</v>
      </c>
    </row>
    <row r="107" spans="20:24">
      <c r="T107" s="54">
        <v>39753</v>
      </c>
      <c r="U107" s="474">
        <f>'Company Gas Prices'!C126</f>
        <v>3.7781250000000002</v>
      </c>
      <c r="V107" s="474">
        <f>(U107*'Revenues &amp; Expenses'!$S$2)/1000</f>
        <v>36.190659375000003</v>
      </c>
      <c r="W107" s="474">
        <f>'Revenues &amp; Expenses'!O113*'Revenues &amp; Expenses'!$AM$5*1000</f>
        <v>2.5362951101630555</v>
      </c>
      <c r="X107" s="473">
        <f t="shared" si="4"/>
        <v>38.726954485163056</v>
      </c>
    </row>
    <row r="108" spans="20:24">
      <c r="T108" s="54">
        <v>39783</v>
      </c>
      <c r="U108" s="474">
        <f>'Company Gas Prices'!C127</f>
        <v>3.7781250000000002</v>
      </c>
      <c r="V108" s="474">
        <f>(U108*'Revenues &amp; Expenses'!$S$2)/1000</f>
        <v>36.190659375000003</v>
      </c>
      <c r="W108" s="474">
        <f>'Revenues &amp; Expenses'!O114*'Revenues &amp; Expenses'!$AM$5*1000</f>
        <v>2.5419323489014483</v>
      </c>
      <c r="X108" s="473">
        <f t="shared" si="4"/>
        <v>38.73259172390145</v>
      </c>
    </row>
    <row r="109" spans="20:24">
      <c r="T109" s="54">
        <v>39814</v>
      </c>
      <c r="U109" s="474">
        <f>'Company Gas Prices'!C128</f>
        <v>3.8354166699999999</v>
      </c>
      <c r="V109" s="474">
        <f>(U109*'Revenues &amp; Expenses'!$S$2)/1000</f>
        <v>36.739456281929996</v>
      </c>
      <c r="W109" s="474">
        <f>'Revenues &amp; Expenses'!O115*'Revenues &amp; Expenses'!$AM$5*1000</f>
        <v>2.5475821171205264</v>
      </c>
      <c r="X109" s="473">
        <f t="shared" si="4"/>
        <v>39.287038399050523</v>
      </c>
    </row>
    <row r="110" spans="20:24">
      <c r="T110" s="54">
        <v>39845</v>
      </c>
      <c r="U110" s="474">
        <f>'Company Gas Prices'!C129</f>
        <v>3.8354166699999999</v>
      </c>
      <c r="V110" s="474">
        <f>(U110*'Revenues &amp; Expenses'!$S$2)/1000</f>
        <v>36.739456281929996</v>
      </c>
      <c r="W110" s="474">
        <f>'Revenues &amp; Expenses'!O116*'Revenues &amp; Expenses'!$AM$5*1000</f>
        <v>2.5532444426686545</v>
      </c>
      <c r="X110" s="473">
        <f t="shared" si="4"/>
        <v>39.292700724598653</v>
      </c>
    </row>
    <row r="111" spans="20:24">
      <c r="T111" s="54">
        <v>39873</v>
      </c>
      <c r="U111" s="474">
        <f>'Company Gas Prices'!C130</f>
        <v>3.8354166699999999</v>
      </c>
      <c r="V111" s="474">
        <f>(U111*'Revenues &amp; Expenses'!$S$2)/1000</f>
        <v>36.739456281929996</v>
      </c>
      <c r="W111" s="474">
        <f>'Revenues &amp; Expenses'!O117*'Revenues &amp; Expenses'!$AM$5*1000</f>
        <v>2.5589193534560954</v>
      </c>
      <c r="X111" s="473">
        <f t="shared" si="4"/>
        <v>39.298375635386094</v>
      </c>
    </row>
    <row r="112" spans="20:24">
      <c r="T112" s="54">
        <v>39904</v>
      </c>
      <c r="U112" s="474">
        <f>'Company Gas Prices'!C131</f>
        <v>3.98020833</v>
      </c>
      <c r="V112" s="474">
        <f>(U112*'Revenues &amp; Expenses'!$S$2)/1000</f>
        <v>38.12641559307</v>
      </c>
      <c r="W112" s="474">
        <f>'Revenues &amp; Expenses'!O118*'Revenues &amp; Expenses'!$AM$5*1000</f>
        <v>2.5646068774551458</v>
      </c>
      <c r="X112" s="473">
        <f t="shared" si="4"/>
        <v>40.691022470525148</v>
      </c>
    </row>
    <row r="113" spans="20:24">
      <c r="T113" s="54">
        <v>39934</v>
      </c>
      <c r="U113" s="474">
        <f>'Company Gas Prices'!C132</f>
        <v>3.8177083299999999</v>
      </c>
      <c r="V113" s="474">
        <f>(U113*'Revenues &amp; Expenses'!$S$2)/1000</f>
        <v>36.569828093070001</v>
      </c>
      <c r="W113" s="474">
        <f>'Revenues &amp; Expenses'!O119*'Revenues &amp; Expenses'!$AM$5*1000</f>
        <v>2.5703070427002737</v>
      </c>
      <c r="X113" s="473">
        <f t="shared" si="4"/>
        <v>39.140135135770272</v>
      </c>
    </row>
    <row r="114" spans="20:24">
      <c r="T114" s="54">
        <v>39965</v>
      </c>
      <c r="U114" s="474">
        <f>'Company Gas Prices'!C133</f>
        <v>3.8093750000000002</v>
      </c>
      <c r="V114" s="474">
        <f>(U114*'Revenues &amp; Expenses'!$S$2)/1000</f>
        <v>36.490003125000001</v>
      </c>
      <c r="W114" s="474">
        <f>'Revenues &amp; Expenses'!O120*'Revenues &amp; Expenses'!$AM$5*1000</f>
        <v>2.5760198772882577</v>
      </c>
      <c r="X114" s="473">
        <f t="shared" si="4"/>
        <v>39.066023002288262</v>
      </c>
    </row>
    <row r="115" spans="20:24">
      <c r="T115" s="54">
        <v>39995</v>
      </c>
      <c r="U115" s="474">
        <f>'Company Gas Prices'!C134</f>
        <v>3.7718750000000001</v>
      </c>
      <c r="V115" s="474">
        <f>(U115*'Revenues &amp; Expenses'!$S$2)/1000</f>
        <v>36.130790625000003</v>
      </c>
      <c r="W115" s="474">
        <f>'Revenues &amp; Expenses'!O121*'Revenues &amp; Expenses'!$AM$5*1000</f>
        <v>2.5817454093783248</v>
      </c>
      <c r="X115" s="473">
        <f t="shared" si="4"/>
        <v>38.712536034378331</v>
      </c>
    </row>
    <row r="116" spans="20:24">
      <c r="T116" s="54">
        <v>40026</v>
      </c>
      <c r="U116" s="474">
        <f>'Company Gas Prices'!C135</f>
        <v>3.7718750000000001</v>
      </c>
      <c r="V116" s="474">
        <f>(U116*'Revenues &amp; Expenses'!$S$2)/1000</f>
        <v>36.130790625000003</v>
      </c>
      <c r="W116" s="474">
        <f>'Revenues &amp; Expenses'!O122*'Revenues &amp; Expenses'!$AM$5*1000</f>
        <v>2.5874836671922905</v>
      </c>
      <c r="X116" s="473">
        <f t="shared" si="4"/>
        <v>38.718274292192291</v>
      </c>
    </row>
    <row r="117" spans="20:24">
      <c r="T117" s="54">
        <v>40057</v>
      </c>
      <c r="U117" s="474">
        <f>'Company Gas Prices'!C136</f>
        <v>3.8177083299999999</v>
      </c>
      <c r="V117" s="474">
        <f>(U117*'Revenues &amp; Expenses'!$S$2)/1000</f>
        <v>36.569828093070001</v>
      </c>
      <c r="W117" s="474">
        <f>'Revenues &amp; Expenses'!O123*'Revenues &amp; Expenses'!$AM$5*1000</f>
        <v>2.5932346790146954</v>
      </c>
      <c r="X117" s="473">
        <f t="shared" si="4"/>
        <v>39.163062772084693</v>
      </c>
    </row>
    <row r="118" spans="20:24">
      <c r="T118" s="54">
        <v>40087</v>
      </c>
      <c r="U118" s="474">
        <f>'Company Gas Prices'!C137</f>
        <v>3.7781250000000002</v>
      </c>
      <c r="V118" s="474">
        <f>(U118*'Revenues &amp; Expenses'!$S$2)/1000</f>
        <v>36.190659375000003</v>
      </c>
      <c r="W118" s="474">
        <f>'Revenues &amp; Expenses'!O124*'Revenues &amp; Expenses'!$AM$5*1000</f>
        <v>2.598998473192947</v>
      </c>
      <c r="X118" s="473">
        <f t="shared" si="4"/>
        <v>38.789657848192952</v>
      </c>
    </row>
    <row r="119" spans="20:24">
      <c r="T119" s="54">
        <v>40118</v>
      </c>
      <c r="U119" s="474">
        <f>'Company Gas Prices'!C138</f>
        <v>3.7781250000000002</v>
      </c>
      <c r="V119" s="474">
        <f>(U119*'Revenues &amp; Expenses'!$S$2)/1000</f>
        <v>36.190659375000003</v>
      </c>
      <c r="W119" s="474">
        <f>'Revenues &amp; Expenses'!O125*'Revenues &amp; Expenses'!$AM$5*1000</f>
        <v>2.6047750781374579</v>
      </c>
      <c r="X119" s="473">
        <f t="shared" si="4"/>
        <v>38.79543445313746</v>
      </c>
    </row>
    <row r="120" spans="20:24">
      <c r="T120" s="54">
        <v>40148</v>
      </c>
      <c r="U120" s="474">
        <f>'Company Gas Prices'!C139</f>
        <v>3.7781250000000002</v>
      </c>
      <c r="V120" s="474">
        <f>(U120*'Revenues &amp; Expenses'!$S$2)/1000</f>
        <v>36.190659375000003</v>
      </c>
      <c r="W120" s="474">
        <f>'Revenues &amp; Expenses'!O126*'Revenues &amp; Expenses'!$AM$5*1000</f>
        <v>2.6105645223217877</v>
      </c>
      <c r="X120" s="473">
        <f t="shared" si="4"/>
        <v>38.80122389732179</v>
      </c>
    </row>
    <row r="121" spans="20:24">
      <c r="T121" s="54">
        <v>40179</v>
      </c>
      <c r="U121" s="474">
        <f>'Company Gas Prices'!C140</f>
        <v>3.8354166699999999</v>
      </c>
      <c r="V121" s="474">
        <f>(U121*'Revenues &amp; Expenses'!$S$2)/1000</f>
        <v>36.739456281929996</v>
      </c>
      <c r="W121" s="474">
        <f>'Revenues &amp; Expenses'!O127*'Revenues &amp; Expenses'!$AM$5*1000</f>
        <v>2.6163668342827808</v>
      </c>
      <c r="X121" s="473">
        <f t="shared" si="4"/>
        <v>39.355823116212775</v>
      </c>
    </row>
    <row r="122" spans="20:24">
      <c r="T122" s="54">
        <v>40210</v>
      </c>
      <c r="U122" s="474">
        <f>'Company Gas Prices'!C141</f>
        <v>3.8354166699999999</v>
      </c>
      <c r="V122" s="474">
        <f>(U122*'Revenues &amp; Expenses'!$S$2)/1000</f>
        <v>36.739456281929996</v>
      </c>
      <c r="W122" s="474">
        <f>'Revenues &amp; Expenses'!O128*'Revenues &amp; Expenses'!$AM$5*1000</f>
        <v>2.6221820426207079</v>
      </c>
      <c r="X122" s="473">
        <f t="shared" si="4"/>
        <v>39.361638324550704</v>
      </c>
    </row>
    <row r="123" spans="20:24">
      <c r="T123" s="54">
        <v>40238</v>
      </c>
      <c r="U123" s="474">
        <f>'Company Gas Prices'!C142</f>
        <v>3.8354166699999999</v>
      </c>
      <c r="V123" s="474">
        <f>(U123*'Revenues &amp; Expenses'!$S$2)/1000</f>
        <v>36.739456281929996</v>
      </c>
      <c r="W123" s="474">
        <f>'Revenues &amp; Expenses'!O129*'Revenues &amp; Expenses'!$AM$5*1000</f>
        <v>2.6280101759994099</v>
      </c>
      <c r="X123" s="473">
        <f t="shared" si="4"/>
        <v>39.367466457929403</v>
      </c>
    </row>
    <row r="124" spans="20:24">
      <c r="T124" s="54">
        <v>40269</v>
      </c>
      <c r="U124" s="474">
        <f>'Company Gas Prices'!C143</f>
        <v>3.98020833</v>
      </c>
      <c r="V124" s="474">
        <f>(U124*'Revenues &amp; Expenses'!$S$2)/1000</f>
        <v>38.12641559307</v>
      </c>
      <c r="W124" s="474">
        <f>'Revenues &amp; Expenses'!O130*'Revenues &amp; Expenses'!$AM$5*1000</f>
        <v>2.6338512631464344</v>
      </c>
      <c r="X124" s="473">
        <f t="shared" si="4"/>
        <v>40.760266856216433</v>
      </c>
    </row>
    <row r="125" spans="20:24">
      <c r="T125" s="54">
        <v>40299</v>
      </c>
      <c r="U125" s="474">
        <f>'Company Gas Prices'!C144</f>
        <v>3.8177083299999999</v>
      </c>
      <c r="V125" s="474">
        <f>(U125*'Revenues &amp; Expenses'!$S$2)/1000</f>
        <v>36.569828093070001</v>
      </c>
      <c r="W125" s="474">
        <f>'Revenues &amp; Expenses'!O131*'Revenues &amp; Expenses'!$AM$5*1000</f>
        <v>2.6397053328531808</v>
      </c>
      <c r="X125" s="473">
        <f t="shared" si="4"/>
        <v>39.209533425923183</v>
      </c>
    </row>
    <row r="126" spans="20:24">
      <c r="T126" s="54">
        <v>40330</v>
      </c>
      <c r="U126" s="474">
        <f>'Company Gas Prices'!C145</f>
        <v>3.8093750000000002</v>
      </c>
      <c r="V126" s="474">
        <f>(U126*'Revenues &amp; Expenses'!$S$2)/1000</f>
        <v>36.490003125000001</v>
      </c>
      <c r="W126" s="474">
        <f>'Revenues &amp; Expenses'!O132*'Revenues &amp; Expenses'!$AM$5*1000</f>
        <v>2.6455724139750405</v>
      </c>
      <c r="X126" s="473">
        <f t="shared" si="4"/>
        <v>39.13557553897504</v>
      </c>
    </row>
    <row r="127" spans="20:24">
      <c r="T127" s="54">
        <v>40360</v>
      </c>
      <c r="U127" s="474">
        <f>'Company Gas Prices'!C146</f>
        <v>3.7718750000000001</v>
      </c>
      <c r="V127" s="474">
        <f>(U127*'Revenues &amp; Expenses'!$S$2)/1000</f>
        <v>36.130790625000003</v>
      </c>
      <c r="W127" s="474">
        <f>'Revenues &amp; Expenses'!O133*'Revenues &amp; Expenses'!$AM$5*1000</f>
        <v>2.6514525354315399</v>
      </c>
      <c r="X127" s="473">
        <f t="shared" si="4"/>
        <v>38.782243160431541</v>
      </c>
    </row>
    <row r="128" spans="20:24">
      <c r="T128" s="54">
        <v>40391</v>
      </c>
      <c r="U128" s="474">
        <f>'Company Gas Prices'!C147</f>
        <v>3.7718750000000001</v>
      </c>
      <c r="V128" s="474">
        <f>(U128*'Revenues &amp; Expenses'!$S$2)/1000</f>
        <v>36.130790625000003</v>
      </c>
      <c r="W128" s="474">
        <f>'Revenues &amp; Expenses'!O134*'Revenues &amp; Expenses'!$AM$5*1000</f>
        <v>2.6573457262064819</v>
      </c>
      <c r="X128" s="473">
        <f t="shared" si="4"/>
        <v>38.788136351206482</v>
      </c>
    </row>
    <row r="129" spans="20:24">
      <c r="T129" s="54">
        <v>40422</v>
      </c>
      <c r="U129" s="474">
        <f>'Company Gas Prices'!C148</f>
        <v>3.8177083299999999</v>
      </c>
      <c r="V129" s="474">
        <f>(U129*'Revenues &amp; Expenses'!$S$2)/1000</f>
        <v>36.569828093070001</v>
      </c>
      <c r="W129" s="474">
        <f>'Revenues &amp; Expenses'!O135*'Revenues &amp; Expenses'!$AM$5*1000</f>
        <v>2.6632520153480916</v>
      </c>
      <c r="X129" s="473">
        <f t="shared" si="4"/>
        <v>39.233080108418093</v>
      </c>
    </row>
    <row r="130" spans="20:24">
      <c r="T130" s="54">
        <v>40452</v>
      </c>
      <c r="U130" s="474">
        <f>'Company Gas Prices'!C149</f>
        <v>3.7781250000000002</v>
      </c>
      <c r="V130" s="474">
        <f>(U130*'Revenues &amp; Expenses'!$S$2)/1000</f>
        <v>36.190659375000003</v>
      </c>
      <c r="W130" s="474">
        <f>'Revenues &amp; Expenses'!O136*'Revenues &amp; Expenses'!$AM$5*1000</f>
        <v>2.669171431969156</v>
      </c>
      <c r="X130" s="473">
        <f t="shared" si="4"/>
        <v>38.859830806969157</v>
      </c>
    </row>
    <row r="131" spans="20:24">
      <c r="T131" s="54">
        <v>40483</v>
      </c>
      <c r="U131" s="474">
        <f>'Company Gas Prices'!C150</f>
        <v>3.7781250000000002</v>
      </c>
      <c r="V131" s="474">
        <f>(U131*'Revenues &amp; Expenses'!$S$2)/1000</f>
        <v>36.190659375000003</v>
      </c>
      <c r="W131" s="474">
        <f>'Revenues &amp; Expenses'!O137*'Revenues &amp; Expenses'!$AM$5*1000</f>
        <v>2.6751040052471691</v>
      </c>
      <c r="X131" s="473">
        <f t="shared" si="4"/>
        <v>38.865763380247174</v>
      </c>
    </row>
    <row r="132" spans="20:24">
      <c r="T132" s="54">
        <v>40513</v>
      </c>
      <c r="U132" s="474">
        <f>'Company Gas Prices'!C151</f>
        <v>3.7781250000000002</v>
      </c>
      <c r="V132" s="474">
        <f>(U132*'Revenues &amp; Expenses'!$S$2)/1000</f>
        <v>36.190659375000003</v>
      </c>
      <c r="W132" s="474">
        <f>'Revenues &amp; Expenses'!O138*'Revenues &amp; Expenses'!$AM$5*1000</f>
        <v>2.6810497644244755</v>
      </c>
      <c r="X132" s="473">
        <f t="shared" si="4"/>
        <v>38.871709139424482</v>
      </c>
    </row>
    <row r="133" spans="20:24">
      <c r="T133" s="54">
        <v>40544</v>
      </c>
      <c r="U133" s="474">
        <f>'Company Gas Prices'!C152</f>
        <v>3.8354166699999999</v>
      </c>
      <c r="V133" s="474">
        <f>(U133*'Revenues &amp; Expenses'!$S$2)/1000</f>
        <v>36.739456281929996</v>
      </c>
      <c r="W133" s="474">
        <f>'Revenues &amp; Expenses'!O139*'Revenues &amp; Expenses'!$AM$5*1000</f>
        <v>2.687008738808415</v>
      </c>
      <c r="X133" s="473">
        <f t="shared" si="4"/>
        <v>39.426465020738412</v>
      </c>
    </row>
    <row r="134" spans="20:24">
      <c r="T134" s="54">
        <v>40575</v>
      </c>
      <c r="U134" s="474">
        <f>'Company Gas Prices'!C153</f>
        <v>3.8354166699999999</v>
      </c>
      <c r="V134" s="474">
        <f>(U134*'Revenues &amp; Expenses'!$S$2)/1000</f>
        <v>36.739456281929996</v>
      </c>
      <c r="W134" s="474">
        <f>'Revenues &amp; Expenses'!O140*'Revenues &amp; Expenses'!$AM$5*1000</f>
        <v>2.6929809577714665</v>
      </c>
      <c r="X134" s="473">
        <f t="shared" si="4"/>
        <v>39.432437239701464</v>
      </c>
    </row>
    <row r="135" spans="20:24">
      <c r="T135" s="54">
        <v>40603</v>
      </c>
      <c r="U135" s="474">
        <f>'Company Gas Prices'!C154</f>
        <v>3.8354166699999999</v>
      </c>
      <c r="V135" s="474">
        <f>(U135*'Revenues &amp; Expenses'!$S$2)/1000</f>
        <v>36.739456281929996</v>
      </c>
      <c r="W135" s="474">
        <f>'Revenues &amp; Expenses'!O141*'Revenues &amp; Expenses'!$AM$5*1000</f>
        <v>2.6989664507513935</v>
      </c>
      <c r="X135" s="473">
        <f t="shared" ref="X135:X198" si="5">V135+W135</f>
        <v>39.438422732681389</v>
      </c>
    </row>
    <row r="136" spans="20:24">
      <c r="T136" s="54">
        <v>40634</v>
      </c>
      <c r="U136" s="474">
        <f>'Company Gas Prices'!C155</f>
        <v>3.98020833</v>
      </c>
      <c r="V136" s="474">
        <f>(U136*'Revenues &amp; Expenses'!$S$2)/1000</f>
        <v>38.12641559307</v>
      </c>
      <c r="W136" s="474">
        <f>'Revenues &amp; Expenses'!O142*'Revenues &amp; Expenses'!$AM$5*1000</f>
        <v>2.7049652472513879</v>
      </c>
      <c r="X136" s="473">
        <f t="shared" si="5"/>
        <v>40.831380840321387</v>
      </c>
    </row>
    <row r="137" spans="20:24">
      <c r="T137" s="54">
        <v>40664</v>
      </c>
      <c r="U137" s="474">
        <f>'Company Gas Prices'!C156</f>
        <v>3.8177083299999999</v>
      </c>
      <c r="V137" s="474">
        <f>(U137*'Revenues &amp; Expenses'!$S$2)/1000</f>
        <v>36.569828093070001</v>
      </c>
      <c r="W137" s="474">
        <f>'Revenues &amp; Expenses'!O143*'Revenues &amp; Expenses'!$AM$5*1000</f>
        <v>2.7109773768402161</v>
      </c>
      <c r="X137" s="473">
        <f t="shared" si="5"/>
        <v>39.28080546991022</v>
      </c>
    </row>
    <row r="138" spans="20:24">
      <c r="T138" s="54">
        <v>40695</v>
      </c>
      <c r="U138" s="474">
        <f>'Company Gas Prices'!C157</f>
        <v>3.8093750000000002</v>
      </c>
      <c r="V138" s="474">
        <f>(U138*'Revenues &amp; Expenses'!$S$2)/1000</f>
        <v>36.490003125000001</v>
      </c>
      <c r="W138" s="474">
        <f>'Revenues &amp; Expenses'!O144*'Revenues &amp; Expenses'!$AM$5*1000</f>
        <v>2.717002869152366</v>
      </c>
      <c r="X138" s="473">
        <f t="shared" si="5"/>
        <v>39.207005994152368</v>
      </c>
    </row>
    <row r="139" spans="20:24">
      <c r="T139" s="54">
        <v>40725</v>
      </c>
      <c r="U139" s="474">
        <f>'Company Gas Prices'!C158</f>
        <v>3.7718750000000001</v>
      </c>
      <c r="V139" s="474">
        <f>(U139*'Revenues &amp; Expenses'!$S$2)/1000</f>
        <v>36.130790625000003</v>
      </c>
      <c r="W139" s="474">
        <f>'Revenues &amp; Expenses'!O145*'Revenues &amp; Expenses'!$AM$5*1000</f>
        <v>2.7230417538881908</v>
      </c>
      <c r="X139" s="473">
        <f t="shared" si="5"/>
        <v>38.853832378888193</v>
      </c>
    </row>
    <row r="140" spans="20:24">
      <c r="T140" s="54">
        <v>40756</v>
      </c>
      <c r="U140" s="474">
        <f>'Company Gas Prices'!C159</f>
        <v>3.7718750000000001</v>
      </c>
      <c r="V140" s="474">
        <f>(U140*'Revenues &amp; Expenses'!$S$2)/1000</f>
        <v>36.130790625000003</v>
      </c>
      <c r="W140" s="474">
        <f>'Revenues &amp; Expenses'!O146*'Revenues &amp; Expenses'!$AM$5*1000</f>
        <v>2.7290940608140568</v>
      </c>
      <c r="X140" s="473">
        <f t="shared" si="5"/>
        <v>38.859884685814059</v>
      </c>
    </row>
    <row r="141" spans="20:24">
      <c r="T141" s="54">
        <v>40787</v>
      </c>
      <c r="U141" s="474">
        <f>'Company Gas Prices'!C160</f>
        <v>3.8177083299999999</v>
      </c>
      <c r="V141" s="474">
        <f>(U141*'Revenues &amp; Expenses'!$S$2)/1000</f>
        <v>36.569828093070001</v>
      </c>
      <c r="W141" s="474">
        <f>'Revenues &amp; Expenses'!O147*'Revenues &amp; Expenses'!$AM$5*1000</f>
        <v>2.7351598197624902</v>
      </c>
      <c r="X141" s="473">
        <f t="shared" si="5"/>
        <v>39.304987912832487</v>
      </c>
    </row>
    <row r="142" spans="20:24">
      <c r="T142" s="54">
        <v>40817</v>
      </c>
      <c r="U142" s="474">
        <f>'Company Gas Prices'!C161</f>
        <v>3.7781250000000002</v>
      </c>
      <c r="V142" s="474">
        <f>(U142*'Revenues &amp; Expenses'!$S$2)/1000</f>
        <v>36.190659375000003</v>
      </c>
      <c r="W142" s="474">
        <f>'Revenues &amp; Expenses'!O148*'Revenues &amp; Expenses'!$AM$5*1000</f>
        <v>2.7412390606323229</v>
      </c>
      <c r="X142" s="473">
        <f t="shared" si="5"/>
        <v>38.931898435632327</v>
      </c>
    </row>
    <row r="143" spans="20:24">
      <c r="T143" s="54">
        <v>40848</v>
      </c>
      <c r="U143" s="474">
        <f>'Company Gas Prices'!C162</f>
        <v>3.7781250000000002</v>
      </c>
      <c r="V143" s="474">
        <f>(U143*'Revenues &amp; Expenses'!$S$2)/1000</f>
        <v>36.190659375000003</v>
      </c>
      <c r="W143" s="474">
        <f>'Revenues &amp; Expenses'!O149*'Revenues &amp; Expenses'!$AM$5*1000</f>
        <v>2.7473318133888425</v>
      </c>
      <c r="X143" s="473">
        <f t="shared" si="5"/>
        <v>38.937991188388843</v>
      </c>
    </row>
    <row r="144" spans="20:24">
      <c r="T144" s="54">
        <v>40878</v>
      </c>
      <c r="U144" s="474">
        <f>'Company Gas Prices'!C163</f>
        <v>3.7781250000000002</v>
      </c>
      <c r="V144" s="474">
        <f>(U144*'Revenues &amp; Expenses'!$S$2)/1000</f>
        <v>36.190659375000003</v>
      </c>
      <c r="W144" s="474">
        <f>'Revenues &amp; Expenses'!O150*'Revenues &amp; Expenses'!$AM$5*1000</f>
        <v>2.7534381080639361</v>
      </c>
      <c r="X144" s="473">
        <f t="shared" si="5"/>
        <v>38.944097483063942</v>
      </c>
    </row>
    <row r="145" spans="20:24">
      <c r="T145" s="54">
        <v>40909</v>
      </c>
      <c r="U145" s="474">
        <f>'Company Gas Prices'!C164</f>
        <v>3.8354166699999999</v>
      </c>
      <c r="V145" s="474">
        <f>(U145*'Revenues &amp; Expenses'!$S$2)/1000</f>
        <v>36.739456281929996</v>
      </c>
      <c r="W145" s="474">
        <f>'Revenues &amp; Expenses'!O151*'Revenues &amp; Expenses'!$AM$5*1000</f>
        <v>2.759557974756242</v>
      </c>
      <c r="X145" s="473">
        <f t="shared" si="5"/>
        <v>39.499014256686237</v>
      </c>
    </row>
    <row r="146" spans="20:24">
      <c r="T146" s="54">
        <v>40940</v>
      </c>
      <c r="U146" s="474">
        <f>'Company Gas Prices'!C165</f>
        <v>3.8354166699999999</v>
      </c>
      <c r="V146" s="474">
        <f>(U146*'Revenues &amp; Expenses'!$S$2)/1000</f>
        <v>36.739456281929996</v>
      </c>
      <c r="W146" s="474">
        <f>'Revenues &amp; Expenses'!O152*'Revenues &amp; Expenses'!$AM$5*1000</f>
        <v>2.765691443631296</v>
      </c>
      <c r="X146" s="473">
        <f t="shared" si="5"/>
        <v>39.505147725561294</v>
      </c>
    </row>
    <row r="147" spans="20:24">
      <c r="T147" s="54">
        <v>40969</v>
      </c>
      <c r="U147" s="474">
        <f>'Company Gas Prices'!C166</f>
        <v>3.8354166699999999</v>
      </c>
      <c r="V147" s="474">
        <f>(U147*'Revenues &amp; Expenses'!$S$2)/1000</f>
        <v>36.739456281929996</v>
      </c>
      <c r="W147" s="474">
        <f>'Revenues &amp; Expenses'!O153*'Revenues &amp; Expenses'!$AM$5*1000</f>
        <v>2.7718385449216809</v>
      </c>
      <c r="X147" s="473">
        <f t="shared" si="5"/>
        <v>39.511294826851675</v>
      </c>
    </row>
    <row r="148" spans="20:24">
      <c r="T148" s="54">
        <v>41000</v>
      </c>
      <c r="U148" s="474">
        <f>'Company Gas Prices'!C167</f>
        <v>3.98020833</v>
      </c>
      <c r="V148" s="474">
        <f>(U148*'Revenues &amp; Expenses'!$S$2)/1000</f>
        <v>38.12641559307</v>
      </c>
      <c r="W148" s="474">
        <f>'Revenues &amp; Expenses'!O154*'Revenues &amp; Expenses'!$AM$5*1000</f>
        <v>2.7779993089271753</v>
      </c>
      <c r="X148" s="473">
        <f t="shared" si="5"/>
        <v>40.904414901997178</v>
      </c>
    </row>
    <row r="149" spans="20:24">
      <c r="T149" s="54">
        <v>41030</v>
      </c>
      <c r="U149" s="474">
        <f>'Company Gas Prices'!C168</f>
        <v>3.8177083299999999</v>
      </c>
      <c r="V149" s="474">
        <f>(U149*'Revenues &amp; Expenses'!$S$2)/1000</f>
        <v>36.569828093070001</v>
      </c>
      <c r="W149" s="474">
        <f>'Revenues &amp; Expenses'!O155*'Revenues &amp; Expenses'!$AM$5*1000</f>
        <v>2.7841737660149017</v>
      </c>
      <c r="X149" s="473">
        <f t="shared" si="5"/>
        <v>39.354001859084903</v>
      </c>
    </row>
    <row r="150" spans="20:24">
      <c r="T150" s="54">
        <v>41061</v>
      </c>
      <c r="U150" s="474">
        <f>'Company Gas Prices'!C169</f>
        <v>3.8093750000000002</v>
      </c>
      <c r="V150" s="474">
        <f>(U150*'Revenues &amp; Expenses'!$S$2)/1000</f>
        <v>36.490003125000001</v>
      </c>
      <c r="W150" s="474">
        <f>'Revenues &amp; Expenses'!O156*'Revenues &amp; Expenses'!$AM$5*1000</f>
        <v>2.79036194661948</v>
      </c>
      <c r="X150" s="473">
        <f t="shared" si="5"/>
        <v>39.280365071619478</v>
      </c>
    </row>
    <row r="151" spans="20:24">
      <c r="T151" s="54">
        <v>41091</v>
      </c>
      <c r="U151" s="474">
        <f>'Company Gas Prices'!C170</f>
        <v>3.7718750000000001</v>
      </c>
      <c r="V151" s="474">
        <f>(U151*'Revenues &amp; Expenses'!$S$2)/1000</f>
        <v>36.130790625000003</v>
      </c>
      <c r="W151" s="474">
        <f>'Revenues &amp; Expenses'!O157*'Revenues &amp; Expenses'!$AM$5*1000</f>
        <v>2.7965638812431721</v>
      </c>
      <c r="X151" s="473">
        <f t="shared" si="5"/>
        <v>38.927354506243177</v>
      </c>
    </row>
    <row r="152" spans="20:24">
      <c r="T152" s="54">
        <v>41122</v>
      </c>
      <c r="U152" s="474">
        <f>'Company Gas Prices'!C171</f>
        <v>3.7718750000000001</v>
      </c>
      <c r="V152" s="474">
        <f>(U152*'Revenues &amp; Expenses'!$S$2)/1000</f>
        <v>36.130790625000003</v>
      </c>
      <c r="W152" s="474">
        <f>'Revenues &amp; Expenses'!O158*'Revenues &amp; Expenses'!$AM$5*1000</f>
        <v>2.8027796004560361</v>
      </c>
      <c r="X152" s="473">
        <f t="shared" si="5"/>
        <v>38.933570225456037</v>
      </c>
    </row>
    <row r="153" spans="20:24">
      <c r="T153" s="54">
        <v>41153</v>
      </c>
      <c r="U153" s="474">
        <f>'Company Gas Prices'!C172</f>
        <v>3.8177083299999999</v>
      </c>
      <c r="V153" s="474">
        <f>(U153*'Revenues &amp; Expenses'!$S$2)/1000</f>
        <v>36.569828093070001</v>
      </c>
      <c r="W153" s="474">
        <f>'Revenues &amp; Expenses'!O159*'Revenues &amp; Expenses'!$AM$5*1000</f>
        <v>2.8090091348960771</v>
      </c>
      <c r="X153" s="473">
        <f t="shared" si="5"/>
        <v>39.378837227966081</v>
      </c>
    </row>
    <row r="154" spans="20:24">
      <c r="T154" s="54">
        <v>41183</v>
      </c>
      <c r="U154" s="474">
        <f>'Company Gas Prices'!C173</f>
        <v>3.7781250000000002</v>
      </c>
      <c r="V154" s="474">
        <f>(U154*'Revenues &amp; Expenses'!$S$2)/1000</f>
        <v>36.190659375000003</v>
      </c>
      <c r="W154" s="474">
        <f>'Revenues &amp; Expenses'!O160*'Revenues &amp; Expenses'!$AM$5*1000</f>
        <v>2.8152525152693957</v>
      </c>
      <c r="X154" s="473">
        <f t="shared" si="5"/>
        <v>39.005911890269395</v>
      </c>
    </row>
    <row r="155" spans="20:24">
      <c r="T155" s="54">
        <v>41214</v>
      </c>
      <c r="U155" s="474">
        <f>'Company Gas Prices'!C174</f>
        <v>3.7781250000000002</v>
      </c>
      <c r="V155" s="474">
        <f>(U155*'Revenues &amp; Expenses'!$S$2)/1000</f>
        <v>36.190659375000003</v>
      </c>
      <c r="W155" s="474">
        <f>'Revenues &amp; Expenses'!O161*'Revenues &amp; Expenses'!$AM$5*1000</f>
        <v>2.8215097723503408</v>
      </c>
      <c r="X155" s="473">
        <f t="shared" si="5"/>
        <v>39.012169147350342</v>
      </c>
    </row>
    <row r="156" spans="20:24">
      <c r="T156" s="54">
        <v>41244</v>
      </c>
      <c r="U156" s="474">
        <f>'Company Gas Prices'!C175</f>
        <v>3.7781250000000002</v>
      </c>
      <c r="V156" s="474">
        <f>(U156*'Revenues &amp; Expenses'!$S$2)/1000</f>
        <v>36.190659375000003</v>
      </c>
      <c r="W156" s="474">
        <f>'Revenues &amp; Expenses'!O162*'Revenues &amp; Expenses'!$AM$5*1000</f>
        <v>2.8277809369816618</v>
      </c>
      <c r="X156" s="473">
        <f t="shared" si="5"/>
        <v>39.018440311981664</v>
      </c>
    </row>
    <row r="157" spans="20:24">
      <c r="T157" s="54">
        <v>41275</v>
      </c>
      <c r="U157" s="474">
        <f>'Company Gas Prices'!C176</f>
        <v>3.8354166699999999</v>
      </c>
      <c r="V157" s="474">
        <f>(U157*'Revenues &amp; Expenses'!$S$2)/1000</f>
        <v>36.739456281929996</v>
      </c>
      <c r="W157" s="474">
        <f>'Revenues &amp; Expenses'!O163*'Revenues &amp; Expenses'!$AM$5*1000</f>
        <v>2.8340660400746609</v>
      </c>
      <c r="X157" s="473">
        <f t="shared" si="5"/>
        <v>39.573522322004656</v>
      </c>
    </row>
    <row r="158" spans="20:24">
      <c r="T158" s="54">
        <v>41306</v>
      </c>
      <c r="U158" s="474">
        <f>'Company Gas Prices'!C177</f>
        <v>3.8354166699999999</v>
      </c>
      <c r="V158" s="474">
        <f>(U158*'Revenues &amp; Expenses'!$S$2)/1000</f>
        <v>36.739456281929996</v>
      </c>
      <c r="W158" s="474">
        <f>'Revenues &amp; Expenses'!O164*'Revenues &amp; Expenses'!$AM$5*1000</f>
        <v>2.8403651126093408</v>
      </c>
      <c r="X158" s="473">
        <f t="shared" si="5"/>
        <v>39.579821394539337</v>
      </c>
    </row>
    <row r="159" spans="20:24">
      <c r="T159" s="54">
        <v>41334</v>
      </c>
      <c r="U159" s="474">
        <f>'Company Gas Prices'!C178</f>
        <v>3.8354166699999999</v>
      </c>
      <c r="V159" s="474">
        <f>(U159*'Revenues &amp; Expenses'!$S$2)/1000</f>
        <v>36.739456281929996</v>
      </c>
      <c r="W159" s="474">
        <f>'Revenues &amp; Expenses'!O165*'Revenues &amp; Expenses'!$AM$5*1000</f>
        <v>2.8466781856345662</v>
      </c>
      <c r="X159" s="473">
        <f t="shared" si="5"/>
        <v>39.586134467564563</v>
      </c>
    </row>
    <row r="160" spans="20:24">
      <c r="T160" s="54">
        <v>41365</v>
      </c>
      <c r="U160" s="474">
        <f>'Company Gas Prices'!C179</f>
        <v>3.98020833</v>
      </c>
      <c r="V160" s="474">
        <f>(U160*'Revenues &amp; Expenses'!$S$2)/1000</f>
        <v>38.12641559307</v>
      </c>
      <c r="W160" s="474">
        <f>'Revenues &amp; Expenses'!O166*'Revenues &amp; Expenses'!$AM$5*1000</f>
        <v>2.8530052902682086</v>
      </c>
      <c r="X160" s="473">
        <f t="shared" si="5"/>
        <v>40.979420883338207</v>
      </c>
    </row>
    <row r="161" spans="20:24">
      <c r="T161" s="54">
        <v>41395</v>
      </c>
      <c r="U161" s="474">
        <f>'Company Gas Prices'!C180</f>
        <v>3.8177083299999999</v>
      </c>
      <c r="V161" s="474">
        <f>(U161*'Revenues &amp; Expenses'!$S$2)/1000</f>
        <v>36.569828093070001</v>
      </c>
      <c r="W161" s="474">
        <f>'Revenues &amp; Expenses'!O167*'Revenues &amp; Expenses'!$AM$5*1000</f>
        <v>2.859346457697304</v>
      </c>
      <c r="X161" s="473">
        <f t="shared" si="5"/>
        <v>39.429174550767307</v>
      </c>
    </row>
    <row r="162" spans="20:24">
      <c r="T162" s="54">
        <v>41426</v>
      </c>
      <c r="U162" s="474">
        <f>'Company Gas Prices'!C181</f>
        <v>3.8093750000000002</v>
      </c>
      <c r="V162" s="474">
        <f>(U162*'Revenues &amp; Expenses'!$S$2)/1000</f>
        <v>36.490003125000001</v>
      </c>
      <c r="W162" s="474">
        <f>'Revenues &amp; Expenses'!O168*'Revenues &amp; Expenses'!$AM$5*1000</f>
        <v>2.8657017191782059</v>
      </c>
      <c r="X162" s="473">
        <f t="shared" si="5"/>
        <v>39.355704844178206</v>
      </c>
    </row>
    <row r="163" spans="20:24">
      <c r="T163" s="54">
        <v>41456</v>
      </c>
      <c r="U163" s="474">
        <f>'Company Gas Prices'!C182</f>
        <v>3.7718750000000001</v>
      </c>
      <c r="V163" s="474">
        <f>(U163*'Revenues &amp; Expenses'!$S$2)/1000</f>
        <v>36.130790625000003</v>
      </c>
      <c r="W163" s="474">
        <f>'Revenues &amp; Expenses'!O169*'Revenues &amp; Expenses'!$AM$5*1000</f>
        <v>2.8720711060367377</v>
      </c>
      <c r="X163" s="473">
        <f t="shared" si="5"/>
        <v>39.002861731036738</v>
      </c>
    </row>
    <row r="164" spans="20:24">
      <c r="T164" s="54">
        <v>41487</v>
      </c>
      <c r="U164" s="474">
        <f>'Company Gas Prices'!C183</f>
        <v>3.7718750000000001</v>
      </c>
      <c r="V164" s="474">
        <f>(U164*'Revenues &amp; Expenses'!$S$2)/1000</f>
        <v>36.130790625000003</v>
      </c>
      <c r="W164" s="474">
        <f>'Revenues &amp; Expenses'!O170*'Revenues &amp; Expenses'!$AM$5*1000</f>
        <v>2.878454649668349</v>
      </c>
      <c r="X164" s="473">
        <f t="shared" si="5"/>
        <v>39.009245274668352</v>
      </c>
    </row>
    <row r="165" spans="20:24">
      <c r="T165" s="54">
        <v>41518</v>
      </c>
      <c r="U165" s="474">
        <f>'Company Gas Prices'!C184</f>
        <v>3.8177083299999999</v>
      </c>
      <c r="V165" s="474">
        <f>(U165*'Revenues &amp; Expenses'!$S$2)/1000</f>
        <v>36.569828093070001</v>
      </c>
      <c r="W165" s="474">
        <f>'Revenues &amp; Expenses'!O171*'Revenues &amp; Expenses'!$AM$5*1000</f>
        <v>2.8848523815382707</v>
      </c>
      <c r="X165" s="473">
        <f t="shared" si="5"/>
        <v>39.454680474608274</v>
      </c>
    </row>
    <row r="166" spans="20:24">
      <c r="T166" s="54">
        <v>41548</v>
      </c>
      <c r="U166" s="474">
        <f>'Company Gas Prices'!C185</f>
        <v>3.7781250000000002</v>
      </c>
      <c r="V166" s="474">
        <f>(U166*'Revenues &amp; Expenses'!$S$2)/1000</f>
        <v>36.190659375000003</v>
      </c>
      <c r="W166" s="474">
        <f>'Revenues &amp; Expenses'!O172*'Revenues &amp; Expenses'!$AM$5*1000</f>
        <v>2.891264333181669</v>
      </c>
      <c r="X166" s="473">
        <f t="shared" si="5"/>
        <v>39.081923708181669</v>
      </c>
    </row>
    <row r="167" spans="20:24">
      <c r="T167" s="54">
        <v>41579</v>
      </c>
      <c r="U167" s="474">
        <f>'Company Gas Prices'!C186</f>
        <v>3.7781250000000002</v>
      </c>
      <c r="V167" s="474">
        <f>(U167*'Revenues &amp; Expenses'!$S$2)/1000</f>
        <v>36.190659375000003</v>
      </c>
      <c r="W167" s="474">
        <f>'Revenues &amp; Expenses'!O173*'Revenues &amp; Expenses'!$AM$5*1000</f>
        <v>2.8976905362037999</v>
      </c>
      <c r="X167" s="473">
        <f t="shared" si="5"/>
        <v>39.0883499112038</v>
      </c>
    </row>
    <row r="168" spans="20:24">
      <c r="T168" s="54">
        <v>41609</v>
      </c>
      <c r="U168" s="474">
        <f>'Company Gas Prices'!C187</f>
        <v>3.7781250000000002</v>
      </c>
      <c r="V168" s="474">
        <f>(U168*'Revenues &amp; Expenses'!$S$2)/1000</f>
        <v>36.190659375000003</v>
      </c>
      <c r="W168" s="474">
        <f>'Revenues &amp; Expenses'!O174*'Revenues &amp; Expenses'!$AM$5*1000</f>
        <v>2.9041310222801666</v>
      </c>
      <c r="X168" s="473">
        <f t="shared" si="5"/>
        <v>39.094790397280171</v>
      </c>
    </row>
    <row r="169" spans="20:24">
      <c r="T169" s="54">
        <v>41640</v>
      </c>
      <c r="U169" s="474">
        <f>'Company Gas Prices'!C188</f>
        <v>3.8354166699999999</v>
      </c>
      <c r="V169" s="474">
        <f>(U169*'Revenues &amp; Expenses'!$S$2)/1000</f>
        <v>36.739456281929996</v>
      </c>
      <c r="W169" s="474">
        <f>'Revenues &amp; Expenses'!O175*'Revenues &amp; Expenses'!$AM$5*1000</f>
        <v>2.9105858231566759</v>
      </c>
      <c r="X169" s="473">
        <f t="shared" si="5"/>
        <v>39.650042105086669</v>
      </c>
    </row>
    <row r="170" spans="20:24">
      <c r="T170" s="54">
        <v>41671</v>
      </c>
      <c r="U170" s="474">
        <f>'Company Gas Prices'!C189</f>
        <v>3.8354166699999999</v>
      </c>
      <c r="V170" s="474">
        <f>(U170*'Revenues &amp; Expenses'!$S$2)/1000</f>
        <v>36.739456281929996</v>
      </c>
      <c r="W170" s="474">
        <f>'Revenues &amp; Expenses'!O176*'Revenues &amp; Expenses'!$AM$5*1000</f>
        <v>2.9170549706497928</v>
      </c>
      <c r="X170" s="473">
        <f t="shared" si="5"/>
        <v>39.65651125257979</v>
      </c>
    </row>
    <row r="171" spans="20:24">
      <c r="T171" s="54">
        <v>41699</v>
      </c>
      <c r="U171" s="474">
        <f>'Company Gas Prices'!C190</f>
        <v>3.8354166699999999</v>
      </c>
      <c r="V171" s="474">
        <f>(U171*'Revenues &amp; Expenses'!$S$2)/1000</f>
        <v>36.739456281929996</v>
      </c>
      <c r="W171" s="474">
        <f>'Revenues &amp; Expenses'!O177*'Revenues &amp; Expenses'!$AM$5*1000</f>
        <v>2.9235384966466995</v>
      </c>
      <c r="X171" s="473">
        <f t="shared" si="5"/>
        <v>39.662994778576696</v>
      </c>
    </row>
    <row r="172" spans="20:24">
      <c r="T172" s="54">
        <v>41730</v>
      </c>
      <c r="U172" s="474">
        <f>'Company Gas Prices'!C191</f>
        <v>3.98020833</v>
      </c>
      <c r="V172" s="474">
        <f>(U172*'Revenues &amp; Expenses'!$S$2)/1000</f>
        <v>38.12641559307</v>
      </c>
      <c r="W172" s="474">
        <f>'Revenues &amp; Expenses'!O178*'Revenues &amp; Expenses'!$AM$5*1000</f>
        <v>2.93003643310545</v>
      </c>
      <c r="X172" s="473">
        <f t="shared" si="5"/>
        <v>41.05645202617545</v>
      </c>
    </row>
    <row r="173" spans="20:24">
      <c r="T173" s="54">
        <v>41760</v>
      </c>
      <c r="U173" s="474">
        <f>'Company Gas Prices'!C192</f>
        <v>3.8177083299999999</v>
      </c>
      <c r="V173" s="474">
        <f>(U173*'Revenues &amp; Expenses'!$S$2)/1000</f>
        <v>36.569828093070001</v>
      </c>
      <c r="W173" s="474">
        <f>'Revenues &amp; Expenses'!O179*'Revenues &amp; Expenses'!$AM$5*1000</f>
        <v>2.9365488120551309</v>
      </c>
      <c r="X173" s="473">
        <f t="shared" si="5"/>
        <v>39.50637690512513</v>
      </c>
    </row>
    <row r="174" spans="20:24">
      <c r="T174" s="54">
        <v>41791</v>
      </c>
      <c r="U174" s="474">
        <f>'Company Gas Prices'!C193</f>
        <v>3.8093750000000002</v>
      </c>
      <c r="V174" s="474">
        <f>(U174*'Revenues &amp; Expenses'!$S$2)/1000</f>
        <v>36.490003125000001</v>
      </c>
      <c r="W174" s="474">
        <f>'Revenues &amp; Expenses'!O180*'Revenues &amp; Expenses'!$AM$5*1000</f>
        <v>2.9430756655960169</v>
      </c>
      <c r="X174" s="473">
        <f t="shared" si="5"/>
        <v>39.433078790596021</v>
      </c>
    </row>
    <row r="175" spans="20:24">
      <c r="T175" s="54">
        <v>41821</v>
      </c>
      <c r="U175" s="474">
        <f>'Company Gas Prices'!C194</f>
        <v>3.7718750000000001</v>
      </c>
      <c r="V175" s="474">
        <f>(U175*'Revenues &amp; Expenses'!$S$2)/1000</f>
        <v>36.130790625000003</v>
      </c>
      <c r="W175" s="474">
        <f>'Revenues &amp; Expenses'!O181*'Revenues &amp; Expenses'!$AM$5*1000</f>
        <v>2.949617025899729</v>
      </c>
      <c r="X175" s="473">
        <f t="shared" si="5"/>
        <v>39.08040765089973</v>
      </c>
    </row>
    <row r="176" spans="20:24">
      <c r="T176" s="54">
        <v>41852</v>
      </c>
      <c r="U176" s="474">
        <f>'Company Gas Prices'!C195</f>
        <v>3.7718750000000001</v>
      </c>
      <c r="V176" s="474">
        <f>(U176*'Revenues &amp; Expenses'!$S$2)/1000</f>
        <v>36.130790625000003</v>
      </c>
      <c r="W176" s="474">
        <f>'Revenues &amp; Expenses'!O182*'Revenues &amp; Expenses'!$AM$5*1000</f>
        <v>2.956172925209394</v>
      </c>
      <c r="X176" s="473">
        <f t="shared" si="5"/>
        <v>39.086963550209397</v>
      </c>
    </row>
    <row r="177" spans="20:24">
      <c r="T177" s="54">
        <v>41883</v>
      </c>
      <c r="U177" s="474">
        <f>'Company Gas Prices'!C196</f>
        <v>3.8177083299999999</v>
      </c>
      <c r="V177" s="474">
        <f>(U177*'Revenues &amp; Expenses'!$S$2)/1000</f>
        <v>36.569828093070001</v>
      </c>
      <c r="W177" s="474">
        <f>'Revenues &amp; Expenses'!O183*'Revenues &amp; Expenses'!$AM$5*1000</f>
        <v>2.9627433958398042</v>
      </c>
      <c r="X177" s="473">
        <f t="shared" si="5"/>
        <v>39.532571488909802</v>
      </c>
    </row>
    <row r="178" spans="20:24">
      <c r="T178" s="54">
        <v>41913</v>
      </c>
      <c r="U178" s="474">
        <f>'Company Gas Prices'!C197</f>
        <v>3.7781250000000002</v>
      </c>
      <c r="V178" s="474">
        <f>(U178*'Revenues &amp; Expenses'!$S$2)/1000</f>
        <v>36.190659375000003</v>
      </c>
      <c r="W178" s="474">
        <f>'Revenues &amp; Expenses'!O184*'Revenues &amp; Expenses'!$AM$5*1000</f>
        <v>2.9693284701775737</v>
      </c>
      <c r="X178" s="473">
        <f t="shared" si="5"/>
        <v>39.159987845177575</v>
      </c>
    </row>
    <row r="179" spans="20:24">
      <c r="T179" s="54">
        <v>41944</v>
      </c>
      <c r="U179" s="474">
        <f>'Company Gas Prices'!C198</f>
        <v>3.7781250000000002</v>
      </c>
      <c r="V179" s="474">
        <f>(U179*'Revenues &amp; Expenses'!$S$2)/1000</f>
        <v>36.190659375000003</v>
      </c>
      <c r="W179" s="474">
        <f>'Revenues &amp; Expenses'!O185*'Revenues &amp; Expenses'!$AM$5*1000</f>
        <v>2.975928180681302</v>
      </c>
      <c r="X179" s="473">
        <f t="shared" si="5"/>
        <v>39.166587555681303</v>
      </c>
    </row>
    <row r="180" spans="20:24">
      <c r="T180" s="54">
        <v>41974</v>
      </c>
      <c r="U180" s="474">
        <f>'Company Gas Prices'!C199</f>
        <v>3.7781250000000002</v>
      </c>
      <c r="V180" s="474">
        <f>(U180*'Revenues &amp; Expenses'!$S$2)/1000</f>
        <v>36.190659375000003</v>
      </c>
      <c r="W180" s="474">
        <f>'Revenues &amp; Expenses'!O186*'Revenues &amp; Expenses'!$AM$5*1000</f>
        <v>2.9825425598817308</v>
      </c>
      <c r="X180" s="473">
        <f t="shared" si="5"/>
        <v>39.173201934881732</v>
      </c>
    </row>
    <row r="181" spans="20:24">
      <c r="T181" s="54">
        <v>42005</v>
      </c>
      <c r="U181" s="474">
        <f>'Company Gas Prices'!C200</f>
        <v>3.9375</v>
      </c>
      <c r="V181" s="474">
        <f>(U181*'Revenues &amp; Expenses'!$S$2)/1000</f>
        <v>37.717312499999998</v>
      </c>
      <c r="W181" s="474">
        <f>'Revenues &amp; Expenses'!O187*'Revenues &amp; Expenses'!$AM$5*1000</f>
        <v>2.989171640381906</v>
      </c>
      <c r="X181" s="473">
        <f t="shared" si="5"/>
        <v>40.706484140381903</v>
      </c>
    </row>
    <row r="182" spans="20:24">
      <c r="T182" s="54">
        <v>42036</v>
      </c>
      <c r="U182" s="474">
        <f>'Company Gas Prices'!C201</f>
        <v>3.9375</v>
      </c>
      <c r="V182" s="474">
        <f>(U182*'Revenues &amp; Expenses'!$S$2)/1000</f>
        <v>37.717312499999998</v>
      </c>
      <c r="W182" s="474">
        <f>'Revenues &amp; Expenses'!O188*'Revenues &amp; Expenses'!$AM$5*1000</f>
        <v>2.995815454857337</v>
      </c>
      <c r="X182" s="473">
        <f t="shared" si="5"/>
        <v>40.713127954857335</v>
      </c>
    </row>
    <row r="183" spans="20:24">
      <c r="T183" s="54">
        <v>42064</v>
      </c>
      <c r="U183" s="474">
        <f>'Company Gas Prices'!C202</f>
        <v>3.9375</v>
      </c>
      <c r="V183" s="474">
        <f>(U183*'Revenues &amp; Expenses'!$S$2)/1000</f>
        <v>37.717312499999998</v>
      </c>
      <c r="W183" s="474">
        <f>'Revenues &amp; Expenses'!O189*'Revenues &amp; Expenses'!$AM$5*1000</f>
        <v>3.0024740360561597</v>
      </c>
      <c r="X183" s="473">
        <f t="shared" si="5"/>
        <v>40.719786536056155</v>
      </c>
    </row>
    <row r="184" spans="20:24">
      <c r="T184" s="54">
        <v>42095</v>
      </c>
      <c r="U184" s="474">
        <f>'Company Gas Prices'!C203</f>
        <v>4.08229167</v>
      </c>
      <c r="V184" s="474">
        <f>(U184*'Revenues &amp; Expenses'!$S$2)/1000</f>
        <v>39.104271906930002</v>
      </c>
      <c r="W184" s="474">
        <f>'Revenues &amp; Expenses'!O190*'Revenues &amp; Expenses'!$AM$5*1000</f>
        <v>3.0091474167992973</v>
      </c>
      <c r="X184" s="473">
        <f t="shared" si="5"/>
        <v>42.113419323729296</v>
      </c>
    </row>
    <row r="185" spans="20:24">
      <c r="T185" s="54">
        <v>42125</v>
      </c>
      <c r="U185" s="474">
        <f>'Company Gas Prices'!C204</f>
        <v>3.91979167</v>
      </c>
      <c r="V185" s="474">
        <f>(U185*'Revenues &amp; Expenses'!$S$2)/1000</f>
        <v>37.547684406929996</v>
      </c>
      <c r="W185" s="474">
        <f>'Revenues &amp; Expenses'!O191*'Revenues &amp; Expenses'!$AM$5*1000</f>
        <v>3.0158356299806193</v>
      </c>
      <c r="X185" s="473">
        <f t="shared" si="5"/>
        <v>40.563520036910617</v>
      </c>
    </row>
    <row r="186" spans="20:24">
      <c r="T186" s="54">
        <v>42156</v>
      </c>
      <c r="U186" s="474">
        <f>'Company Gas Prices'!C205</f>
        <v>3.9125000000000001</v>
      </c>
      <c r="V186" s="474">
        <f>(U186*'Revenues &amp; Expenses'!$S$2)/1000</f>
        <v>37.4778375</v>
      </c>
      <c r="W186" s="474">
        <f>'Revenues &amp; Expenses'!O192*'Revenues &amp; Expenses'!$AM$5*1000</f>
        <v>3.0225387085671089</v>
      </c>
      <c r="X186" s="473">
        <f t="shared" si="5"/>
        <v>40.500376208567111</v>
      </c>
    </row>
    <row r="187" spans="20:24">
      <c r="T187" s="54">
        <v>42186</v>
      </c>
      <c r="U187" s="474">
        <f>'Company Gas Prices'!C206</f>
        <v>3.8739583299999998</v>
      </c>
      <c r="V187" s="474">
        <f>(U187*'Revenues &amp; Expenses'!$S$2)/1000</f>
        <v>37.108646843069998</v>
      </c>
      <c r="W187" s="474">
        <f>'Revenues &amp; Expenses'!O193*'Revenues &amp; Expenses'!$AM$5*1000</f>
        <v>3.0292566855990213</v>
      </c>
      <c r="X187" s="473">
        <f t="shared" si="5"/>
        <v>40.137903528669021</v>
      </c>
    </row>
    <row r="188" spans="20:24">
      <c r="T188" s="54">
        <v>42217</v>
      </c>
      <c r="U188" s="474">
        <f>'Company Gas Prices'!C207</f>
        <v>3.8739583299999998</v>
      </c>
      <c r="V188" s="474">
        <f>(U188*'Revenues &amp; Expenses'!$S$2)/1000</f>
        <v>37.108646843069998</v>
      </c>
      <c r="W188" s="474">
        <f>'Revenues &amp; Expenses'!O194*'Revenues &amp; Expenses'!$AM$5*1000</f>
        <v>3.0359895941900472</v>
      </c>
      <c r="X188" s="473">
        <f t="shared" si="5"/>
        <v>40.144636437260047</v>
      </c>
    </row>
    <row r="189" spans="20:24">
      <c r="T189" s="54">
        <v>42248</v>
      </c>
      <c r="U189" s="474">
        <f>'Company Gas Prices'!C208</f>
        <v>3.91979167</v>
      </c>
      <c r="V189" s="474">
        <f>(U189*'Revenues &amp; Expenses'!$S$2)/1000</f>
        <v>37.547684406929996</v>
      </c>
      <c r="W189" s="474">
        <f>'Revenues &amp; Expenses'!O195*'Revenues &amp; Expenses'!$AM$5*1000</f>
        <v>3.0427374675274783</v>
      </c>
      <c r="X189" s="473">
        <f t="shared" si="5"/>
        <v>40.590421874457476</v>
      </c>
    </row>
    <row r="190" spans="20:24">
      <c r="T190" s="54">
        <v>42278</v>
      </c>
      <c r="U190" s="474">
        <f>'Company Gas Prices'!C209</f>
        <v>3.8802083299999999</v>
      </c>
      <c r="V190" s="474">
        <f>(U190*'Revenues &amp; Expenses'!$S$2)/1000</f>
        <v>37.168515593069998</v>
      </c>
      <c r="W190" s="474">
        <f>'Revenues &amp; Expenses'!O196*'Revenues &amp; Expenses'!$AM$5*1000</f>
        <v>3.049500338872368</v>
      </c>
      <c r="X190" s="473">
        <f t="shared" si="5"/>
        <v>40.218015931942368</v>
      </c>
    </row>
    <row r="191" spans="20:24">
      <c r="T191" s="54">
        <v>42309</v>
      </c>
      <c r="U191" s="474">
        <f>'Company Gas Prices'!C210</f>
        <v>3.8802083299999999</v>
      </c>
      <c r="V191" s="474">
        <f>(U191*'Revenues &amp; Expenses'!$S$2)/1000</f>
        <v>37.168515593069998</v>
      </c>
      <c r="W191" s="474">
        <f>'Revenues &amp; Expenses'!O197*'Revenues &amp; Expenses'!$AM$5*1000</f>
        <v>3.056278241559697</v>
      </c>
      <c r="X191" s="473">
        <f t="shared" si="5"/>
        <v>40.224793834629693</v>
      </c>
    </row>
    <row r="192" spans="20:24">
      <c r="T192" s="54">
        <v>42339</v>
      </c>
      <c r="U192" s="474">
        <f>'Company Gas Prices'!C211</f>
        <v>3.8802083299999999</v>
      </c>
      <c r="V192" s="474">
        <f>(U192*'Revenues &amp; Expenses'!$S$2)/1000</f>
        <v>37.168515593069998</v>
      </c>
      <c r="W192" s="474">
        <f>'Revenues &amp; Expenses'!O198*'Revenues &amp; Expenses'!$AM$5*1000</f>
        <v>3.063071208998537</v>
      </c>
      <c r="X192" s="473">
        <f t="shared" si="5"/>
        <v>40.231586802068534</v>
      </c>
    </row>
    <row r="193" spans="20:24">
      <c r="T193" s="54">
        <v>42370</v>
      </c>
      <c r="U193" s="474">
        <f>'Company Gas Prices'!C212</f>
        <v>3.9375</v>
      </c>
      <c r="V193" s="474">
        <f>(U193*'Revenues &amp; Expenses'!$S$2)/1000</f>
        <v>37.717312499999998</v>
      </c>
      <c r="W193" s="474">
        <f>'Revenues &amp; Expenses'!O199*'Revenues &amp; Expenses'!$AM$5*1000</f>
        <v>3.0698792746722177</v>
      </c>
      <c r="X193" s="473">
        <f t="shared" si="5"/>
        <v>40.787191774672216</v>
      </c>
    </row>
    <row r="194" spans="20:24">
      <c r="T194" s="54">
        <v>42401</v>
      </c>
      <c r="U194" s="474">
        <f>'Company Gas Prices'!C213</f>
        <v>3.9375</v>
      </c>
      <c r="V194" s="474">
        <f>(U194*'Revenues &amp; Expenses'!$S$2)/1000</f>
        <v>37.717312499999998</v>
      </c>
      <c r="W194" s="474">
        <f>'Revenues &amp; Expenses'!O200*'Revenues &amp; Expenses'!$AM$5*1000</f>
        <v>3.0767024721384852</v>
      </c>
      <c r="X194" s="473">
        <f t="shared" si="5"/>
        <v>40.794014972138484</v>
      </c>
    </row>
    <row r="195" spans="20:24">
      <c r="T195" s="54">
        <v>42430</v>
      </c>
      <c r="U195" s="474">
        <f>'Company Gas Prices'!C214</f>
        <v>3.9375</v>
      </c>
      <c r="V195" s="474">
        <f>(U195*'Revenues &amp; Expenses'!$S$2)/1000</f>
        <v>37.717312499999998</v>
      </c>
      <c r="W195" s="474">
        <f>'Revenues &amp; Expenses'!O201*'Revenues &amp; Expenses'!$AM$5*1000</f>
        <v>3.0835408350296758</v>
      </c>
      <c r="X195" s="473">
        <f t="shared" si="5"/>
        <v>40.800853335029672</v>
      </c>
    </row>
    <row r="196" spans="20:24">
      <c r="T196" s="54">
        <v>42461</v>
      </c>
      <c r="U196" s="474">
        <f>'Company Gas Prices'!C215</f>
        <v>4.08229167</v>
      </c>
      <c r="V196" s="474">
        <f>(U196*'Revenues &amp; Expenses'!$S$2)/1000</f>
        <v>39.104271906930002</v>
      </c>
      <c r="W196" s="474">
        <f>'Revenues &amp; Expenses'!O202*'Revenues &amp; Expenses'!$AM$5*1000</f>
        <v>3.0903943970528776</v>
      </c>
      <c r="X196" s="473">
        <f t="shared" si="5"/>
        <v>42.194666303982878</v>
      </c>
    </row>
    <row r="197" spans="20:24">
      <c r="T197" s="54">
        <v>42491</v>
      </c>
      <c r="U197" s="474">
        <f>'Company Gas Prices'!C216</f>
        <v>3.91979167</v>
      </c>
      <c r="V197" s="474">
        <f>(U197*'Revenues &amp; Expenses'!$S$2)/1000</f>
        <v>37.547684406929996</v>
      </c>
      <c r="W197" s="474">
        <f>'Revenues &amp; Expenses'!O203*'Revenues &amp; Expenses'!$AM$5*1000</f>
        <v>3.0972631919900961</v>
      </c>
      <c r="X197" s="473">
        <f t="shared" si="5"/>
        <v>40.644947598920091</v>
      </c>
    </row>
    <row r="198" spans="20:24">
      <c r="T198" s="54">
        <v>42522</v>
      </c>
      <c r="U198" s="474">
        <f>'Company Gas Prices'!C217</f>
        <v>3.9125000000000001</v>
      </c>
      <c r="V198" s="474">
        <f>(U198*'Revenues &amp; Expenses'!$S$2)/1000</f>
        <v>37.4778375</v>
      </c>
      <c r="W198" s="474">
        <f>'Revenues &amp; Expenses'!O204*'Revenues &amp; Expenses'!$AM$5*1000</f>
        <v>3.1041472536984207</v>
      </c>
      <c r="X198" s="473">
        <f t="shared" si="5"/>
        <v>40.581984753698421</v>
      </c>
    </row>
    <row r="199" spans="20:24">
      <c r="T199" s="54">
        <v>42552</v>
      </c>
      <c r="U199" s="474">
        <f>'Company Gas Prices'!C218</f>
        <v>3.8739583299999998</v>
      </c>
      <c r="V199" s="474">
        <f>(U199*'Revenues &amp; Expenses'!$S$2)/1000</f>
        <v>37.108646843069998</v>
      </c>
      <c r="W199" s="474">
        <f>'Revenues &amp; Expenses'!O205*'Revenues &amp; Expenses'!$AM$5*1000</f>
        <v>3.1110466161101948</v>
      </c>
      <c r="X199" s="473">
        <f t="shared" ref="X199:X240" si="6">V199+W199</f>
        <v>40.219693459180192</v>
      </c>
    </row>
    <row r="200" spans="20:24">
      <c r="T200" s="54">
        <v>42583</v>
      </c>
      <c r="U200" s="474">
        <f>'Company Gas Prices'!C219</f>
        <v>3.8739583299999998</v>
      </c>
      <c r="V200" s="474">
        <f>(U200*'Revenues &amp; Expenses'!$S$2)/1000</f>
        <v>37.108646843069998</v>
      </c>
      <c r="W200" s="474">
        <f>'Revenues &amp; Expenses'!O206*'Revenues &amp; Expenses'!$AM$5*1000</f>
        <v>3.1179613132331787</v>
      </c>
      <c r="X200" s="473">
        <f t="shared" si="6"/>
        <v>40.226608156303179</v>
      </c>
    </row>
    <row r="201" spans="20:24">
      <c r="T201" s="54">
        <v>42614</v>
      </c>
      <c r="U201" s="474">
        <f>'Company Gas Prices'!C220</f>
        <v>3.91979167</v>
      </c>
      <c r="V201" s="474">
        <f>(U201*'Revenues &amp; Expenses'!$S$2)/1000</f>
        <v>37.547684406929996</v>
      </c>
      <c r="W201" s="474">
        <f>'Revenues &amp; Expenses'!O207*'Revenues &amp; Expenses'!$AM$5*1000</f>
        <v>3.12489137915072</v>
      </c>
      <c r="X201" s="473">
        <f t="shared" si="6"/>
        <v>40.672575786080714</v>
      </c>
    </row>
    <row r="202" spans="20:24">
      <c r="T202" s="54">
        <v>42644</v>
      </c>
      <c r="U202" s="474">
        <f>'Company Gas Prices'!C221</f>
        <v>3.8802083299999999</v>
      </c>
      <c r="V202" s="474">
        <f>(U202*'Revenues &amp; Expenses'!$S$2)/1000</f>
        <v>37.168515593069998</v>
      </c>
      <c r="W202" s="474">
        <f>'Revenues &amp; Expenses'!O208*'Revenues &amp; Expenses'!$AM$5*1000</f>
        <v>3.1318368480219214</v>
      </c>
      <c r="X202" s="473">
        <f t="shared" si="6"/>
        <v>40.300352441091917</v>
      </c>
    </row>
    <row r="203" spans="20:24">
      <c r="T203" s="54">
        <v>42675</v>
      </c>
      <c r="U203" s="474">
        <f>'Company Gas Prices'!C222</f>
        <v>3.8802083299999999</v>
      </c>
      <c r="V203" s="474">
        <f>(U203*'Revenues &amp; Expenses'!$S$2)/1000</f>
        <v>37.168515593069998</v>
      </c>
      <c r="W203" s="474">
        <f>'Revenues &amp; Expenses'!O209*'Revenues &amp; Expenses'!$AM$5*1000</f>
        <v>3.1387977540818088</v>
      </c>
      <c r="X203" s="473">
        <f t="shared" si="6"/>
        <v>40.307313347151805</v>
      </c>
    </row>
    <row r="204" spans="20:24">
      <c r="T204" s="54">
        <v>42705</v>
      </c>
      <c r="U204" s="474">
        <f>'Company Gas Prices'!C223</f>
        <v>3.8802083299999999</v>
      </c>
      <c r="V204" s="474">
        <f>(U204*'Revenues &amp; Expenses'!$S$2)/1000</f>
        <v>37.168515593069998</v>
      </c>
      <c r="W204" s="474">
        <f>'Revenues &amp; Expenses'!O210*'Revenues &amp; Expenses'!$AM$5*1000</f>
        <v>3.1457741316414971</v>
      </c>
      <c r="X204" s="473">
        <f t="shared" si="6"/>
        <v>40.314289724711493</v>
      </c>
    </row>
    <row r="205" spans="20:24">
      <c r="T205" s="54">
        <v>42736</v>
      </c>
      <c r="U205" s="474">
        <f>'Company Gas Prices'!C224</f>
        <v>3.9375</v>
      </c>
      <c r="V205" s="474">
        <f>(U205*'Revenues &amp; Expenses'!$S$2)/1000</f>
        <v>37.717312499999998</v>
      </c>
      <c r="W205" s="474">
        <f>'Revenues &amp; Expenses'!O211*'Revenues &amp; Expenses'!$AM$5*1000</f>
        <v>3.1527660150883667</v>
      </c>
      <c r="X205" s="473">
        <f t="shared" si="6"/>
        <v>40.870078515088366</v>
      </c>
    </row>
    <row r="206" spans="20:24">
      <c r="T206" s="54">
        <v>42767</v>
      </c>
      <c r="U206" s="474">
        <f>'Company Gas Prices'!C225</f>
        <v>3.9375</v>
      </c>
      <c r="V206" s="474">
        <f>(U206*'Revenues &amp; Expenses'!$S$2)/1000</f>
        <v>37.717312499999998</v>
      </c>
      <c r="W206" s="474">
        <f>'Revenues &amp; Expenses'!O212*'Revenues &amp; Expenses'!$AM$5*1000</f>
        <v>3.1597734388862238</v>
      </c>
      <c r="X206" s="473">
        <f t="shared" si="6"/>
        <v>40.877085938886225</v>
      </c>
    </row>
    <row r="207" spans="20:24">
      <c r="T207" s="54">
        <v>42795</v>
      </c>
      <c r="U207" s="474">
        <f>'Company Gas Prices'!C226</f>
        <v>3.9375</v>
      </c>
      <c r="V207" s="474">
        <f>(U207*'Revenues &amp; Expenses'!$S$2)/1000</f>
        <v>37.717312499999998</v>
      </c>
      <c r="W207" s="474">
        <f>'Revenues &amp; Expenses'!O213*'Revenues &amp; Expenses'!$AM$5*1000</f>
        <v>3.1667964375754769</v>
      </c>
      <c r="X207" s="473">
        <f t="shared" si="6"/>
        <v>40.884108937575476</v>
      </c>
    </row>
    <row r="208" spans="20:24">
      <c r="T208" s="54">
        <v>42826</v>
      </c>
      <c r="U208" s="474">
        <f>'Company Gas Prices'!C227</f>
        <v>4.08229167</v>
      </c>
      <c r="V208" s="474">
        <f>(U208*'Revenues &amp; Expenses'!$S$2)/1000</f>
        <v>39.104271906930002</v>
      </c>
      <c r="W208" s="474">
        <f>'Revenues &amp; Expenses'!O214*'Revenues &amp; Expenses'!$AM$5*1000</f>
        <v>3.1738350457733051</v>
      </c>
      <c r="X208" s="473">
        <f t="shared" si="6"/>
        <v>42.278106952703304</v>
      </c>
    </row>
    <row r="209" spans="20:24">
      <c r="T209" s="54">
        <v>42856</v>
      </c>
      <c r="U209" s="474">
        <f>'Company Gas Prices'!C228</f>
        <v>3.91979167</v>
      </c>
      <c r="V209" s="474">
        <f>(U209*'Revenues &amp; Expenses'!$S$2)/1000</f>
        <v>37.547684406929996</v>
      </c>
      <c r="W209" s="474">
        <f>'Revenues &amp; Expenses'!O215*'Revenues &amp; Expenses'!$AM$5*1000</f>
        <v>3.1808892981738284</v>
      </c>
      <c r="X209" s="473">
        <f t="shared" si="6"/>
        <v>40.728573705103827</v>
      </c>
    </row>
    <row r="210" spans="20:24">
      <c r="T210" s="54">
        <v>42887</v>
      </c>
      <c r="U210" s="474">
        <f>'Company Gas Prices'!C229</f>
        <v>3.9125000000000001</v>
      </c>
      <c r="V210" s="474">
        <f>(U210*'Revenues &amp; Expenses'!$S$2)/1000</f>
        <v>37.4778375</v>
      </c>
      <c r="W210" s="474">
        <f>'Revenues &amp; Expenses'!O216*'Revenues &amp; Expenses'!$AM$5*1000</f>
        <v>3.1879592295482779</v>
      </c>
      <c r="X210" s="473">
        <f t="shared" si="6"/>
        <v>40.665796729548276</v>
      </c>
    </row>
    <row r="211" spans="20:24">
      <c r="T211" s="54">
        <v>42917</v>
      </c>
      <c r="U211" s="474">
        <f>'Company Gas Prices'!C230</f>
        <v>3.8739583299999998</v>
      </c>
      <c r="V211" s="474">
        <f>(U211*'Revenues &amp; Expenses'!$S$2)/1000</f>
        <v>37.108646843069998</v>
      </c>
      <c r="W211" s="474">
        <f>'Revenues &amp; Expenses'!O217*'Revenues &amp; Expenses'!$AM$5*1000</f>
        <v>3.1950448747451694</v>
      </c>
      <c r="X211" s="473">
        <f t="shared" si="6"/>
        <v>40.30369171781517</v>
      </c>
    </row>
    <row r="212" spans="20:24">
      <c r="T212" s="54">
        <v>42948</v>
      </c>
      <c r="U212" s="474">
        <f>'Company Gas Prices'!C231</f>
        <v>3.8739583299999998</v>
      </c>
      <c r="V212" s="474">
        <f>(U212*'Revenues &amp; Expenses'!$S$2)/1000</f>
        <v>37.108646843069998</v>
      </c>
      <c r="W212" s="474">
        <f>'Revenues &amp; Expenses'!O218*'Revenues &amp; Expenses'!$AM$5*1000</f>
        <v>3.2021462686904743</v>
      </c>
      <c r="X212" s="473">
        <f t="shared" si="6"/>
        <v>40.310793111760475</v>
      </c>
    </row>
    <row r="213" spans="20:24">
      <c r="T213" s="54">
        <v>42979</v>
      </c>
      <c r="U213" s="474">
        <f>'Company Gas Prices'!C232</f>
        <v>3.91979167</v>
      </c>
      <c r="V213" s="474">
        <f>(U213*'Revenues &amp; Expenses'!$S$2)/1000</f>
        <v>37.547684406929996</v>
      </c>
      <c r="W213" s="474">
        <f>'Revenues &amp; Expenses'!O219*'Revenues &amp; Expenses'!$AM$5*1000</f>
        <v>3.2092634463877894</v>
      </c>
      <c r="X213" s="473">
        <f t="shared" si="6"/>
        <v>40.756947853317783</v>
      </c>
    </row>
    <row r="214" spans="20:24">
      <c r="T214" s="54">
        <v>43009</v>
      </c>
      <c r="U214" s="474">
        <f>'Company Gas Prices'!C233</f>
        <v>3.8802083299999999</v>
      </c>
      <c r="V214" s="474">
        <f>(U214*'Revenues &amp; Expenses'!$S$2)/1000</f>
        <v>37.168515593069998</v>
      </c>
      <c r="W214" s="474">
        <f>'Revenues &amp; Expenses'!O220*'Revenues &amp; Expenses'!$AM$5*1000</f>
        <v>3.2163964429185135</v>
      </c>
      <c r="X214" s="473">
        <f t="shared" si="6"/>
        <v>40.384912035988513</v>
      </c>
    </row>
    <row r="215" spans="20:24">
      <c r="T215" s="54">
        <v>43040</v>
      </c>
      <c r="U215" s="474">
        <f>'Company Gas Prices'!C234</f>
        <v>3.8802083299999999</v>
      </c>
      <c r="V215" s="474">
        <f>(U215*'Revenues &amp; Expenses'!$S$2)/1000</f>
        <v>37.168515593069998</v>
      </c>
      <c r="W215" s="474">
        <f>'Revenues &amp; Expenses'!O221*'Revenues &amp; Expenses'!$AM$5*1000</f>
        <v>3.2235452934420175</v>
      </c>
      <c r="X215" s="473">
        <f t="shared" si="6"/>
        <v>40.392060886512013</v>
      </c>
    </row>
    <row r="216" spans="20:24">
      <c r="T216" s="54">
        <v>43070</v>
      </c>
      <c r="U216" s="474">
        <f>'Company Gas Prices'!C235</f>
        <v>3.8802083299999999</v>
      </c>
      <c r="V216" s="474">
        <f>(U216*'Revenues &amp; Expenses'!$S$2)/1000</f>
        <v>37.168515593069998</v>
      </c>
      <c r="W216" s="474">
        <f>'Revenues &amp; Expenses'!O222*'Revenues &amp; Expenses'!$AM$5*1000</f>
        <v>3.2307100331958174</v>
      </c>
      <c r="X216" s="473">
        <f t="shared" si="6"/>
        <v>40.399225626265817</v>
      </c>
    </row>
    <row r="217" spans="20:24">
      <c r="T217" s="54">
        <v>43101</v>
      </c>
      <c r="U217" s="474">
        <f>'Company Gas Prices'!C236</f>
        <v>3.9375</v>
      </c>
      <c r="V217" s="474">
        <f>(U217*'Revenues &amp; Expenses'!$S$2)/1000</f>
        <v>37.717312499999998</v>
      </c>
      <c r="W217" s="474">
        <f>'Revenues &amp; Expenses'!O223*'Revenues &amp; Expenses'!$AM$5*1000</f>
        <v>3.2378906974957524</v>
      </c>
      <c r="X217" s="473">
        <f t="shared" si="6"/>
        <v>40.955203197495749</v>
      </c>
    </row>
    <row r="218" spans="20:24">
      <c r="T218" s="54">
        <v>43132</v>
      </c>
      <c r="U218" s="474">
        <f>'Company Gas Prices'!C237</f>
        <v>3.9375</v>
      </c>
      <c r="V218" s="474">
        <f>(U218*'Revenues &amp; Expenses'!$S$2)/1000</f>
        <v>37.717312499999998</v>
      </c>
      <c r="W218" s="474">
        <f>'Revenues &amp; Expenses'!O224*'Revenues &amp; Expenses'!$AM$5*1000</f>
        <v>3.2450873217361518</v>
      </c>
      <c r="X218" s="473">
        <f t="shared" si="6"/>
        <v>40.962399821736149</v>
      </c>
    </row>
    <row r="219" spans="20:24">
      <c r="T219" s="54">
        <v>43160</v>
      </c>
      <c r="U219" s="474">
        <f>'Company Gas Prices'!C238</f>
        <v>3.9375</v>
      </c>
      <c r="V219" s="474">
        <f>(U219*'Revenues &amp; Expenses'!$S$2)/1000</f>
        <v>37.717312499999998</v>
      </c>
      <c r="W219" s="474">
        <f>'Revenues &amp; Expenses'!O225*'Revenues &amp; Expenses'!$AM$5*1000</f>
        <v>3.2522999413900147</v>
      </c>
      <c r="X219" s="473">
        <f t="shared" si="6"/>
        <v>40.969612441390012</v>
      </c>
    </row>
    <row r="220" spans="20:24">
      <c r="T220" s="54">
        <v>43191</v>
      </c>
      <c r="U220" s="474">
        <f>'Company Gas Prices'!C239</f>
        <v>4.08229167</v>
      </c>
      <c r="V220" s="474">
        <f>(U220*'Revenues &amp; Expenses'!$S$2)/1000</f>
        <v>39.104271906930002</v>
      </c>
      <c r="W220" s="474">
        <f>'Revenues &amp; Expenses'!O226*'Revenues &amp; Expenses'!$AM$5*1000</f>
        <v>3.2595285920091843</v>
      </c>
      <c r="X220" s="473">
        <f t="shared" si="6"/>
        <v>42.363800498939185</v>
      </c>
    </row>
    <row r="221" spans="20:24">
      <c r="T221" s="54">
        <v>43221</v>
      </c>
      <c r="U221" s="474">
        <f>'Company Gas Prices'!C240</f>
        <v>3.91979167</v>
      </c>
      <c r="V221" s="474">
        <f>(U221*'Revenues &amp; Expenses'!$S$2)/1000</f>
        <v>37.547684406929996</v>
      </c>
      <c r="W221" s="474">
        <f>'Revenues &amp; Expenses'!O227*'Revenues &amp; Expenses'!$AM$5*1000</f>
        <v>3.2667733092245212</v>
      </c>
      <c r="X221" s="473">
        <f t="shared" si="6"/>
        <v>40.814457716154514</v>
      </c>
    </row>
    <row r="222" spans="20:24">
      <c r="T222" s="54">
        <v>43252</v>
      </c>
      <c r="U222" s="474">
        <f>'Company Gas Prices'!C241</f>
        <v>3.9125000000000001</v>
      </c>
      <c r="V222" s="474">
        <f>(U222*'Revenues &amp; Expenses'!$S$2)/1000</f>
        <v>37.4778375</v>
      </c>
      <c r="W222" s="474">
        <f>'Revenues &amp; Expenses'!O228*'Revenues &amp; Expenses'!$AM$5*1000</f>
        <v>3.2740341287460808</v>
      </c>
      <c r="X222" s="473">
        <f t="shared" si="6"/>
        <v>40.75187162874608</v>
      </c>
    </row>
    <row r="223" spans="20:24">
      <c r="T223" s="54">
        <v>43282</v>
      </c>
      <c r="U223" s="474">
        <f>'Company Gas Prices'!C242</f>
        <v>3.8739583299999998</v>
      </c>
      <c r="V223" s="474">
        <f>(U223*'Revenues &amp; Expenses'!$S$2)/1000</f>
        <v>37.108646843069998</v>
      </c>
      <c r="W223" s="474">
        <f>'Revenues &amp; Expenses'!O229*'Revenues &amp; Expenses'!$AM$5*1000</f>
        <v>3.2813110863632886</v>
      </c>
      <c r="X223" s="473">
        <f t="shared" si="6"/>
        <v>40.389957929433287</v>
      </c>
    </row>
    <row r="224" spans="20:24">
      <c r="T224" s="54">
        <v>43313</v>
      </c>
      <c r="U224" s="474">
        <f>'Company Gas Prices'!C243</f>
        <v>3.8739583299999998</v>
      </c>
      <c r="V224" s="474">
        <f>(U224*'Revenues &amp; Expenses'!$S$2)/1000</f>
        <v>37.108646843069998</v>
      </c>
      <c r="W224" s="474">
        <f>'Revenues &amp; Expenses'!O230*'Revenues &amp; Expenses'!$AM$5*1000</f>
        <v>3.2886042179451165</v>
      </c>
      <c r="X224" s="473">
        <f t="shared" si="6"/>
        <v>40.397251061015112</v>
      </c>
    </row>
    <row r="225" spans="20:24">
      <c r="T225" s="54">
        <v>43344</v>
      </c>
      <c r="U225" s="474">
        <f>'Company Gas Prices'!C244</f>
        <v>3.91979167</v>
      </c>
      <c r="V225" s="474">
        <f>(U225*'Revenues &amp; Expenses'!$S$2)/1000</f>
        <v>37.547684406929996</v>
      </c>
      <c r="W225" s="474">
        <f>'Revenues &amp; Expenses'!O231*'Revenues &amp; Expenses'!$AM$5*1000</f>
        <v>3.2959135594402591</v>
      </c>
      <c r="X225" s="473">
        <f t="shared" si="6"/>
        <v>40.843597966370254</v>
      </c>
    </row>
    <row r="226" spans="20:24">
      <c r="T226" s="54">
        <v>43374</v>
      </c>
      <c r="U226" s="474">
        <f>'Company Gas Prices'!C245</f>
        <v>3.8802083299999999</v>
      </c>
      <c r="V226" s="474">
        <f>(U226*'Revenues &amp; Expenses'!$S$2)/1000</f>
        <v>37.168515593069998</v>
      </c>
      <c r="W226" s="474">
        <f>'Revenues &amp; Expenses'!O232*'Revenues &amp; Expenses'!$AM$5*1000</f>
        <v>3.303239146877313</v>
      </c>
      <c r="X226" s="473">
        <f t="shared" si="6"/>
        <v>40.471754739947308</v>
      </c>
    </row>
    <row r="227" spans="20:24">
      <c r="T227" s="54">
        <v>43405</v>
      </c>
      <c r="U227" s="474">
        <f>'Company Gas Prices'!C246</f>
        <v>3.8802083299999999</v>
      </c>
      <c r="V227" s="474">
        <f>(U227*'Revenues &amp; Expenses'!$S$2)/1000</f>
        <v>37.168515593069998</v>
      </c>
      <c r="W227" s="474">
        <f>'Revenues &amp; Expenses'!O233*'Revenues &amp; Expenses'!$AM$5*1000</f>
        <v>3.3105810163649521</v>
      </c>
      <c r="X227" s="473">
        <f t="shared" si="6"/>
        <v>40.479096609434947</v>
      </c>
    </row>
    <row r="228" spans="20:24">
      <c r="T228" s="54">
        <v>43435</v>
      </c>
      <c r="U228" s="474">
        <f>'Company Gas Prices'!C247</f>
        <v>3.8802083299999999</v>
      </c>
      <c r="V228" s="474">
        <f>(U228*'Revenues &amp; Expenses'!$S$2)/1000</f>
        <v>37.168515593069998</v>
      </c>
      <c r="W228" s="474">
        <f>'Revenues &amp; Expenses'!O234*'Revenues &amp; Expenses'!$AM$5*1000</f>
        <v>3.3179392040921045</v>
      </c>
      <c r="X228" s="473">
        <f t="shared" si="6"/>
        <v>40.486454797162104</v>
      </c>
    </row>
    <row r="229" spans="20:24">
      <c r="T229" s="54">
        <v>43466</v>
      </c>
      <c r="U229" s="474">
        <f>'Company Gas Prices'!C248</f>
        <v>3.9375</v>
      </c>
      <c r="V229" s="474">
        <f>(U229*'Revenues &amp; Expenses'!$S$2)/1000</f>
        <v>37.717312499999998</v>
      </c>
      <c r="W229" s="474">
        <f>'Revenues &amp; Expenses'!O235*'Revenues &amp; Expenses'!$AM$5*1000</f>
        <v>3.325313746328137</v>
      </c>
      <c r="X229" s="473">
        <f t="shared" si="6"/>
        <v>41.042626246328133</v>
      </c>
    </row>
    <row r="230" spans="20:24">
      <c r="T230" s="54">
        <v>43497</v>
      </c>
      <c r="U230" s="474">
        <f>'Company Gas Prices'!C249</f>
        <v>3.9375</v>
      </c>
      <c r="V230" s="474">
        <f>(U230*'Revenues &amp; Expenses'!$S$2)/1000</f>
        <v>37.717312499999998</v>
      </c>
      <c r="W230" s="474">
        <f>'Revenues &amp; Expenses'!O236*'Revenues &amp; Expenses'!$AM$5*1000</f>
        <v>3.3327046794230277</v>
      </c>
      <c r="X230" s="473">
        <f t="shared" si="6"/>
        <v>41.050017179423023</v>
      </c>
    </row>
    <row r="231" spans="20:24">
      <c r="T231" s="54">
        <v>43525</v>
      </c>
      <c r="U231" s="474">
        <f>'Company Gas Prices'!C250</f>
        <v>3.9375</v>
      </c>
      <c r="V231" s="474">
        <f>(U231*'Revenues &amp; Expenses'!$S$2)/1000</f>
        <v>37.717312499999998</v>
      </c>
      <c r="W231" s="474">
        <f>'Revenues &amp; Expenses'!O237*'Revenues &amp; Expenses'!$AM$5*1000</f>
        <v>3.3401120398075448</v>
      </c>
      <c r="X231" s="473">
        <f t="shared" si="6"/>
        <v>41.057424539807542</v>
      </c>
    </row>
    <row r="232" spans="20:24">
      <c r="T232" s="54">
        <v>43556</v>
      </c>
      <c r="U232" s="474">
        <f>'Company Gas Prices'!C251</f>
        <v>4.08229167</v>
      </c>
      <c r="V232" s="474">
        <f>(U232*'Revenues &amp; Expenses'!$S$2)/1000</f>
        <v>39.104271906930002</v>
      </c>
      <c r="W232" s="474">
        <f>'Revenues &amp; Expenses'!O238*'Revenues &amp; Expenses'!$AM$5*1000</f>
        <v>3.3475358639934316</v>
      </c>
      <c r="X232" s="473">
        <f t="shared" si="6"/>
        <v>42.45180777092343</v>
      </c>
    </row>
    <row r="233" spans="20:24">
      <c r="T233" s="54">
        <v>43586</v>
      </c>
      <c r="U233" s="474">
        <f>'Company Gas Prices'!C252</f>
        <v>3.91979167</v>
      </c>
      <c r="V233" s="474">
        <f>(U233*'Revenues &amp; Expenses'!$S$2)/1000</f>
        <v>37.547684406929996</v>
      </c>
      <c r="W233" s="474">
        <f>'Revenues &amp; Expenses'!O239*'Revenues &amp; Expenses'!$AM$5*1000</f>
        <v>3.3549761885735832</v>
      </c>
      <c r="X233" s="473">
        <f t="shared" si="6"/>
        <v>40.902660595503576</v>
      </c>
    </row>
    <row r="234" spans="20:24">
      <c r="T234" s="54">
        <v>43617</v>
      </c>
      <c r="U234" s="474">
        <f>'Company Gas Prices'!C253</f>
        <v>3.9125000000000001</v>
      </c>
      <c r="V234" s="474">
        <f>(U234*'Revenues &amp; Expenses'!$S$2)/1000</f>
        <v>37.4778375</v>
      </c>
      <c r="W234" s="474">
        <f>'Revenues &amp; Expenses'!O240*'Revenues &amp; Expenses'!$AM$5*1000</f>
        <v>3.3624330502222248</v>
      </c>
      <c r="X234" s="473">
        <f t="shared" si="6"/>
        <v>40.840270550222222</v>
      </c>
    </row>
    <row r="235" spans="20:24">
      <c r="T235" s="54">
        <v>43647</v>
      </c>
      <c r="U235" s="474">
        <f>'Company Gas Prices'!C254</f>
        <v>3.8739583299999998</v>
      </c>
      <c r="V235" s="474">
        <f>(U235*'Revenues &amp; Expenses'!$S$2)/1000</f>
        <v>37.108646843069998</v>
      </c>
      <c r="W235" s="474">
        <f>'Revenues &amp; Expenses'!O241*'Revenues &amp; Expenses'!$AM$5*1000</f>
        <v>3.3699064856950973</v>
      </c>
      <c r="X235" s="473">
        <f t="shared" si="6"/>
        <v>40.478553328765095</v>
      </c>
    </row>
    <row r="236" spans="20:24">
      <c r="T236" s="54">
        <v>43678</v>
      </c>
      <c r="U236" s="474">
        <f>'Company Gas Prices'!C255</f>
        <v>3.8739583299999998</v>
      </c>
      <c r="V236" s="474">
        <f>(U236*'Revenues &amp; Expenses'!$S$2)/1000</f>
        <v>37.108646843069998</v>
      </c>
      <c r="W236" s="474">
        <f>'Revenues &amp; Expenses'!O242*'Revenues &amp; Expenses'!$AM$5*1000</f>
        <v>3.3773965318296346</v>
      </c>
      <c r="X236" s="473">
        <f t="shared" si="6"/>
        <v>40.48604337489963</v>
      </c>
    </row>
    <row r="237" spans="20:24">
      <c r="T237" s="54">
        <v>43709</v>
      </c>
      <c r="U237" s="474">
        <f>'Company Gas Prices'!C256</f>
        <v>3.91979167</v>
      </c>
      <c r="V237" s="474">
        <f>(U237*'Revenues &amp; Expenses'!$S$2)/1000</f>
        <v>37.547684406929996</v>
      </c>
      <c r="W237" s="474">
        <f>'Revenues &amp; Expenses'!O243*'Revenues &amp; Expenses'!$AM$5*1000</f>
        <v>3.3849032255451457</v>
      </c>
      <c r="X237" s="473">
        <f t="shared" si="6"/>
        <v>40.932587632475141</v>
      </c>
    </row>
    <row r="238" spans="20:24">
      <c r="T238" s="54">
        <v>43739</v>
      </c>
      <c r="U238" s="474">
        <f>'Company Gas Prices'!C257</f>
        <v>3.8802083299999999</v>
      </c>
      <c r="V238" s="474">
        <f>(U238*'Revenues &amp; Expenses'!$S$2)/1000</f>
        <v>37.168515593069998</v>
      </c>
      <c r="W238" s="474">
        <f>'Revenues &amp; Expenses'!O244*'Revenues &amp; Expenses'!$AM$5*1000</f>
        <v>3.392426603843</v>
      </c>
      <c r="X238" s="473">
        <f t="shared" si="6"/>
        <v>40.560942196912997</v>
      </c>
    </row>
    <row r="239" spans="20:24">
      <c r="T239" s="54">
        <v>43770</v>
      </c>
      <c r="U239" s="474">
        <f>'Company Gas Prices'!C258</f>
        <v>3.8802083299999999</v>
      </c>
      <c r="V239" s="474">
        <f>(U239*'Revenues &amp; Expenses'!$S$2)/1000</f>
        <v>37.168515593069998</v>
      </c>
      <c r="W239" s="474">
        <f>'Revenues &amp; Expenses'!O245*'Revenues &amp; Expenses'!$AM$5*1000</f>
        <v>3.3999667038068049</v>
      </c>
      <c r="X239" s="473">
        <f t="shared" si="6"/>
        <v>40.568482296876802</v>
      </c>
    </row>
    <row r="240" spans="20:24">
      <c r="T240" s="54">
        <v>43800</v>
      </c>
      <c r="U240" s="474">
        <f>'Company Gas Prices'!C259</f>
        <v>3.8802083299999999</v>
      </c>
      <c r="V240" s="474">
        <f>(U240*'Revenues &amp; Expenses'!$S$2)/1000</f>
        <v>37.168515593069998</v>
      </c>
      <c r="W240" s="474">
        <f>'Revenues &amp; Expenses'!O246*'Revenues &amp; Expenses'!$AM$5*1000</f>
        <v>3.4075235626025906</v>
      </c>
      <c r="X240" s="473">
        <f t="shared" si="6"/>
        <v>40.576039155672589</v>
      </c>
    </row>
    <row r="241" spans="21:24">
      <c r="U241" s="466"/>
      <c r="V241" s="466"/>
      <c r="W241" s="466"/>
      <c r="X241" s="466"/>
    </row>
    <row r="242" spans="21:24">
      <c r="U242" s="466"/>
      <c r="V242" s="466"/>
      <c r="W242" s="466"/>
      <c r="X242" s="466"/>
    </row>
    <row r="243" spans="21:24">
      <c r="U243" s="466"/>
      <c r="V243" s="466"/>
      <c r="W243" s="466"/>
      <c r="X243" s="466"/>
    </row>
    <row r="244" spans="21:24">
      <c r="U244" s="466"/>
      <c r="V244" s="466"/>
      <c r="W244" s="466"/>
      <c r="X244" s="466"/>
    </row>
    <row r="245" spans="21:24">
      <c r="U245" s="466"/>
      <c r="V245" s="466"/>
      <c r="W245" s="466"/>
      <c r="X245" s="466"/>
    </row>
    <row r="246" spans="21:24">
      <c r="U246" s="466"/>
      <c r="V246" s="466"/>
      <c r="W246" s="466"/>
      <c r="X246" s="466"/>
    </row>
  </sheetData>
  <mergeCells count="2">
    <mergeCell ref="B2:R2"/>
    <mergeCell ref="H31:L31"/>
  </mergeCells>
  <printOptions horizontalCentered="1" verticalCentered="1"/>
  <pageMargins left="0.25" right="0.25" top="0.25" bottom="0.25" header="0.5" footer="0.5"/>
  <pageSetup scale="71" orientation="portrait" horizontalDpi="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9"/>
  <sheetViews>
    <sheetView topLeftCell="E1" workbookViewId="0">
      <selection activeCell="E8" sqref="E8"/>
    </sheetView>
  </sheetViews>
  <sheetFormatPr defaultColWidth="11.88671875" defaultRowHeight="13.8"/>
  <cols>
    <col min="1" max="3" width="11.88671875" style="592" customWidth="1"/>
    <col min="4" max="4" width="16.88671875" style="600" customWidth="1"/>
    <col min="5" max="5" width="18.109375" style="595" customWidth="1"/>
    <col min="6" max="6" width="13.6640625" style="596" customWidth="1"/>
    <col min="7" max="8" width="14.6640625" style="595" customWidth="1"/>
    <col min="9" max="9" width="1.6640625" style="595" customWidth="1"/>
    <col min="10" max="10" width="1.6640625" style="597" customWidth="1"/>
    <col min="11" max="11" width="16" style="618" customWidth="1"/>
    <col min="12" max="12" width="12.33203125" style="618" bestFit="1" customWidth="1"/>
    <col min="13" max="13" width="12.33203125" style="596" bestFit="1" customWidth="1"/>
    <col min="14" max="14" width="11.88671875" style="596" customWidth="1"/>
    <col min="15" max="15" width="11.88671875" style="595" customWidth="1"/>
    <col min="16" max="16384" width="11.88671875" style="596"/>
  </cols>
  <sheetData>
    <row r="1" spans="1:15">
      <c r="B1" s="592" t="s">
        <v>268</v>
      </c>
      <c r="C1" s="593">
        <v>36578</v>
      </c>
      <c r="D1" s="594" t="s">
        <v>291</v>
      </c>
      <c r="E1" s="594" t="s">
        <v>292</v>
      </c>
    </row>
    <row r="2" spans="1:15" ht="14.4" thickBot="1">
      <c r="B2" s="592" t="s">
        <v>269</v>
      </c>
      <c r="C2" s="598">
        <v>0</v>
      </c>
      <c r="D2" s="634">
        <f ca="1">MAX(G11:G257)</f>
        <v>19868393.692407414</v>
      </c>
      <c r="E2" s="634">
        <f ca="1">MAX(H11:H257)</f>
        <v>943871.33164142934</v>
      </c>
      <c r="G2" s="599"/>
      <c r="H2" s="599"/>
      <c r="K2" s="628">
        <f ca="1">'Debt Amortization'!AS21</f>
        <v>40.348188201388069</v>
      </c>
    </row>
    <row r="3" spans="1:15">
      <c r="G3" s="601"/>
      <c r="H3" s="601"/>
    </row>
    <row r="4" spans="1:15">
      <c r="D4" s="602"/>
      <c r="G4" s="603"/>
      <c r="H4" s="603"/>
    </row>
    <row r="5" spans="1:15" hidden="1">
      <c r="C5" s="592" t="s">
        <v>270</v>
      </c>
      <c r="E5" s="604"/>
      <c r="G5" s="599"/>
      <c r="H5" s="599"/>
      <c r="I5" s="604"/>
      <c r="J5" s="605"/>
      <c r="O5" s="604"/>
    </row>
    <row r="6" spans="1:15" ht="24" hidden="1" customHeight="1">
      <c r="C6" s="592" t="s">
        <v>271</v>
      </c>
      <c r="G6" s="599"/>
      <c r="H6" s="599"/>
    </row>
    <row r="7" spans="1:15">
      <c r="D7" s="606"/>
      <c r="G7" s="607"/>
      <c r="H7" s="607"/>
    </row>
    <row r="8" spans="1:15">
      <c r="D8" s="608"/>
      <c r="E8" s="608"/>
      <c r="G8" s="617"/>
      <c r="H8" s="602"/>
      <c r="O8" s="608"/>
    </row>
    <row r="9" spans="1:15" ht="28.2" thickBot="1">
      <c r="A9" s="609"/>
      <c r="B9" s="610" t="s">
        <v>272</v>
      </c>
      <c r="C9" s="610" t="s">
        <v>60</v>
      </c>
      <c r="D9" s="611" t="s">
        <v>273</v>
      </c>
      <c r="E9" s="611" t="s">
        <v>274</v>
      </c>
      <c r="F9" s="611" t="s">
        <v>287</v>
      </c>
      <c r="G9" s="611" t="s">
        <v>288</v>
      </c>
      <c r="H9" s="611" t="s">
        <v>289</v>
      </c>
      <c r="I9" s="612"/>
      <c r="J9" s="613"/>
      <c r="K9" s="629" t="s">
        <v>293</v>
      </c>
      <c r="L9" s="630" t="s">
        <v>294</v>
      </c>
      <c r="M9" s="631" t="s">
        <v>295</v>
      </c>
      <c r="O9" s="611" t="s">
        <v>275</v>
      </c>
    </row>
    <row r="10" spans="1:15">
      <c r="C10" s="609"/>
      <c r="D10" s="609">
        <v>1</v>
      </c>
      <c r="E10" s="592"/>
      <c r="G10" s="592"/>
      <c r="H10" s="592"/>
      <c r="I10" s="592"/>
      <c r="J10" s="614"/>
      <c r="O10" s="592"/>
    </row>
    <row r="11" spans="1:15">
      <c r="A11" s="615">
        <v>1</v>
      </c>
      <c r="B11" s="602">
        <v>30</v>
      </c>
      <c r="C11" s="616">
        <v>36707</v>
      </c>
      <c r="D11" s="617">
        <f t="shared" ref="D11:D16" si="0">$D$17</f>
        <v>0</v>
      </c>
      <c r="E11" s="602">
        <f>SUM('Revenues &amp; Expenses'!BJ12:$BJ$258)</f>
        <v>146728833.38546032</v>
      </c>
      <c r="F11" s="618">
        <f ca="1">$M$18</f>
        <v>125699173.57010761</v>
      </c>
      <c r="G11" s="635">
        <f ca="1">IF(AND(D11=1,E11-F11&gt;0),E11-F11,0)</f>
        <v>0</v>
      </c>
      <c r="H11" s="635">
        <f ca="1">IF(AND(D11=1,F11-E11&gt;0),F11-E11,0)</f>
        <v>0</v>
      </c>
      <c r="I11" s="602"/>
      <c r="J11" s="619"/>
      <c r="O11" s="602">
        <f t="shared" ref="O11:O16" si="1">$O$17</f>
        <v>118125000</v>
      </c>
    </row>
    <row r="12" spans="1:15">
      <c r="A12" s="615">
        <f>A11+1</f>
        <v>2</v>
      </c>
      <c r="B12" s="602">
        <v>31</v>
      </c>
      <c r="C12" s="616">
        <v>36738</v>
      </c>
      <c r="D12" s="617">
        <f t="shared" si="0"/>
        <v>0</v>
      </c>
      <c r="E12" s="602">
        <f>SUM('Revenues &amp; Expenses'!BJ13:$BJ$258)</f>
        <v>145942333.54556245</v>
      </c>
      <c r="F12" s="618">
        <f t="shared" ref="F12:F17" ca="1" si="2">$M$18</f>
        <v>125699173.57010761</v>
      </c>
      <c r="G12" s="635">
        <f t="shared" ref="G12:G75" ca="1" si="3">IF(AND(D12=1,E12-F12&gt;0),E12-F12,0)</f>
        <v>0</v>
      </c>
      <c r="H12" s="635">
        <f t="shared" ref="H12:H75" ca="1" si="4">IF(AND(D12=1,F12-E12&gt;0),F12-E12,0)</f>
        <v>0</v>
      </c>
      <c r="I12" s="602"/>
      <c r="J12" s="619"/>
      <c r="O12" s="602">
        <f t="shared" si="1"/>
        <v>118125000</v>
      </c>
    </row>
    <row r="13" spans="1:15">
      <c r="A13" s="615">
        <f t="shared" ref="A13:A76" si="5">A12+1</f>
        <v>3</v>
      </c>
      <c r="B13" s="602">
        <v>31</v>
      </c>
      <c r="C13" s="616">
        <v>36769</v>
      </c>
      <c r="D13" s="617">
        <f t="shared" si="0"/>
        <v>0</v>
      </c>
      <c r="E13" s="602">
        <f>SUM('Revenues &amp; Expenses'!BJ14:$BJ$258)</f>
        <v>140734509.34989214</v>
      </c>
      <c r="F13" s="618">
        <f t="shared" ca="1" si="2"/>
        <v>125699173.57010761</v>
      </c>
      <c r="G13" s="635">
        <f t="shared" ca="1" si="3"/>
        <v>0</v>
      </c>
      <c r="H13" s="635">
        <f t="shared" ca="1" si="4"/>
        <v>0</v>
      </c>
      <c r="I13" s="602"/>
      <c r="J13" s="619"/>
      <c r="O13" s="602">
        <f t="shared" si="1"/>
        <v>118125000</v>
      </c>
    </row>
    <row r="14" spans="1:15">
      <c r="A14" s="615">
        <f t="shared" si="5"/>
        <v>4</v>
      </c>
      <c r="B14" s="602">
        <v>30</v>
      </c>
      <c r="C14" s="616">
        <v>36799</v>
      </c>
      <c r="D14" s="617">
        <f t="shared" si="0"/>
        <v>0</v>
      </c>
      <c r="E14" s="602">
        <f>SUM('Revenues &amp; Expenses'!BJ15:$BJ$258)</f>
        <v>136480707.99908632</v>
      </c>
      <c r="F14" s="618">
        <f t="shared" ca="1" si="2"/>
        <v>125699173.57010761</v>
      </c>
      <c r="G14" s="635">
        <f t="shared" ca="1" si="3"/>
        <v>0</v>
      </c>
      <c r="H14" s="635">
        <f t="shared" ca="1" si="4"/>
        <v>0</v>
      </c>
      <c r="I14" s="602"/>
      <c r="J14" s="619"/>
      <c r="O14" s="602">
        <f t="shared" si="1"/>
        <v>118125000</v>
      </c>
    </row>
    <row r="15" spans="1:15">
      <c r="A15" s="615">
        <f t="shared" si="5"/>
        <v>5</v>
      </c>
      <c r="B15" s="602">
        <v>31</v>
      </c>
      <c r="C15" s="616">
        <v>36830</v>
      </c>
      <c r="D15" s="617">
        <f t="shared" si="0"/>
        <v>0</v>
      </c>
      <c r="E15" s="602">
        <f>SUM('Revenues &amp; Expenses'!BJ16:$BJ$258)</f>
        <v>136480707.99908632</v>
      </c>
      <c r="F15" s="618">
        <f t="shared" ca="1" si="2"/>
        <v>125699173.57010761</v>
      </c>
      <c r="G15" s="635">
        <f t="shared" ca="1" si="3"/>
        <v>0</v>
      </c>
      <c r="H15" s="635">
        <f t="shared" ca="1" si="4"/>
        <v>0</v>
      </c>
      <c r="I15" s="602"/>
      <c r="J15" s="619"/>
      <c r="O15" s="602">
        <f t="shared" si="1"/>
        <v>118125000</v>
      </c>
    </row>
    <row r="16" spans="1:15">
      <c r="A16" s="615">
        <f t="shared" si="5"/>
        <v>6</v>
      </c>
      <c r="B16" s="602">
        <v>30</v>
      </c>
      <c r="C16" s="616">
        <v>36860</v>
      </c>
      <c r="D16" s="617">
        <f t="shared" si="0"/>
        <v>0</v>
      </c>
      <c r="E16" s="602">
        <f>SUM('Revenues &amp; Expenses'!BJ17:$BJ$258)</f>
        <v>136480707.99908632</v>
      </c>
      <c r="F16" s="618">
        <f t="shared" ca="1" si="2"/>
        <v>125699173.57010761</v>
      </c>
      <c r="G16" s="635">
        <f t="shared" ca="1" si="3"/>
        <v>0</v>
      </c>
      <c r="H16" s="635">
        <f t="shared" ca="1" si="4"/>
        <v>0</v>
      </c>
      <c r="I16" s="602"/>
      <c r="J16" s="619"/>
      <c r="O16" s="602">
        <f t="shared" si="1"/>
        <v>118125000</v>
      </c>
    </row>
    <row r="17" spans="1:15">
      <c r="A17" s="615">
        <f t="shared" si="5"/>
        <v>7</v>
      </c>
      <c r="B17" s="602">
        <v>31</v>
      </c>
      <c r="C17" s="616">
        <v>36891</v>
      </c>
      <c r="D17" s="617">
        <f>'Deal Depiction'!J8</f>
        <v>0</v>
      </c>
      <c r="E17" s="602">
        <f>SUM('Revenues &amp; Expenses'!BJ18:$BJ$258)</f>
        <v>136480707.99908632</v>
      </c>
      <c r="F17" s="618">
        <f t="shared" ca="1" si="2"/>
        <v>125699173.57010761</v>
      </c>
      <c r="G17" s="635">
        <f ca="1">IF(AND(D17=1,E17-F17&gt;0),E17-F17,0)</f>
        <v>0</v>
      </c>
      <c r="H17" s="635">
        <f t="shared" ca="1" si="4"/>
        <v>0</v>
      </c>
      <c r="I17" s="602"/>
      <c r="J17" s="619"/>
      <c r="O17" s="602">
        <f>HLOOKUP(C17,'Debt Amortization'!$H$5:$AB$9,5)</f>
        <v>118125000</v>
      </c>
    </row>
    <row r="18" spans="1:15">
      <c r="A18" s="615">
        <f t="shared" si="5"/>
        <v>8</v>
      </c>
      <c r="B18" s="602">
        <v>31</v>
      </c>
      <c r="C18" s="616">
        <v>36922</v>
      </c>
      <c r="D18" s="617">
        <f ca="1">D29</f>
        <v>1</v>
      </c>
      <c r="E18" s="602">
        <f>SUM('Revenues &amp; Expenses'!BJ19:$BJ$258)</f>
        <v>136480707.99908632</v>
      </c>
      <c r="F18" s="618">
        <f ca="1">M18</f>
        <v>125699173.57010761</v>
      </c>
      <c r="G18" s="635">
        <f t="shared" ca="1" si="3"/>
        <v>10781534.428978711</v>
      </c>
      <c r="H18" s="635">
        <f t="shared" ca="1" si="4"/>
        <v>0</v>
      </c>
      <c r="I18" s="602"/>
      <c r="J18" s="619"/>
      <c r="K18" s="618">
        <f t="shared" ref="K18:K75" ca="1" si="6">($K$2*315000)/12</f>
        <v>1059139.9402864368</v>
      </c>
      <c r="L18" s="618">
        <f ca="1">K18*'Revenues &amp; Expenses'!N19</f>
        <v>995276.55103915848</v>
      </c>
      <c r="M18" s="618">
        <f ca="1">SUM(L18:$L$257)</f>
        <v>125699173.57010752</v>
      </c>
      <c r="O18" s="602">
        <f>HLOOKUP(C18,'Debt Amortization'!$H$5:$AB$9,5)</f>
        <v>118125000</v>
      </c>
    </row>
    <row r="19" spans="1:15">
      <c r="A19" s="615">
        <f t="shared" si="5"/>
        <v>9</v>
      </c>
      <c r="B19" s="602">
        <v>28</v>
      </c>
      <c r="C19" s="616">
        <v>36950</v>
      </c>
      <c r="D19" s="617">
        <f ca="1">D29</f>
        <v>1</v>
      </c>
      <c r="E19" s="602">
        <f>SUM('Revenues &amp; Expenses'!BJ20:$BJ$258)</f>
        <v>136480707.99908632</v>
      </c>
      <c r="F19" s="618">
        <f t="shared" ref="F19:F82" ca="1" si="7">M19</f>
        <v>124703897.01906845</v>
      </c>
      <c r="G19" s="635">
        <f t="shared" ca="1" si="3"/>
        <v>11776810.980017871</v>
      </c>
      <c r="H19" s="635">
        <f t="shared" ca="1" si="4"/>
        <v>0</v>
      </c>
      <c r="I19" s="602"/>
      <c r="J19" s="619"/>
      <c r="K19" s="618">
        <f t="shared" ca="1" si="6"/>
        <v>1059139.9402864368</v>
      </c>
      <c r="L19" s="618">
        <f ca="1">K19*'Revenues &amp; Expenses'!N20</f>
        <v>989304.00080569903</v>
      </c>
      <c r="M19" s="618">
        <f ca="1">SUM(L19:$L$257)</f>
        <v>124703897.01906836</v>
      </c>
      <c r="O19" s="602">
        <f>HLOOKUP(C19,'Debt Amortization'!$H$5:$AB$9,5)</f>
        <v>118125000</v>
      </c>
    </row>
    <row r="20" spans="1:15">
      <c r="A20" s="615">
        <f t="shared" si="5"/>
        <v>10</v>
      </c>
      <c r="B20" s="602">
        <v>31</v>
      </c>
      <c r="C20" s="616">
        <v>36981</v>
      </c>
      <c r="D20" s="617">
        <f ca="1">D29</f>
        <v>1</v>
      </c>
      <c r="E20" s="602">
        <f>SUM('Revenues &amp; Expenses'!BJ21:$BJ$258)</f>
        <v>136480707.99908632</v>
      </c>
      <c r="F20" s="618">
        <f t="shared" ca="1" si="7"/>
        <v>123714593.01826276</v>
      </c>
      <c r="G20" s="635">
        <f t="shared" ca="1" si="3"/>
        <v>12766114.980823562</v>
      </c>
      <c r="H20" s="635">
        <f t="shared" ca="1" si="4"/>
        <v>0</v>
      </c>
      <c r="I20" s="602"/>
      <c r="J20" s="619"/>
      <c r="K20" s="618">
        <f t="shared" ca="1" si="6"/>
        <v>1059139.9402864368</v>
      </c>
      <c r="L20" s="618">
        <f ca="1">K20*'Revenues &amp; Expenses'!N21</f>
        <v>983876.13160623191</v>
      </c>
      <c r="M20" s="618">
        <f ca="1">SUM(L20:$L$257)</f>
        <v>123714593.01826265</v>
      </c>
      <c r="O20" s="602">
        <f>HLOOKUP(C20,'Debt Amortization'!$H$5:$AB$9,5)</f>
        <v>118125000</v>
      </c>
    </row>
    <row r="21" spans="1:15">
      <c r="A21" s="615">
        <f t="shared" si="5"/>
        <v>11</v>
      </c>
      <c r="B21" s="602">
        <v>30</v>
      </c>
      <c r="C21" s="616">
        <v>37011</v>
      </c>
      <c r="D21" s="617">
        <f ca="1">D29</f>
        <v>1</v>
      </c>
      <c r="E21" s="602">
        <f>SUM('Revenues &amp; Expenses'!BJ22:$BJ$258)</f>
        <v>136480707.99908632</v>
      </c>
      <c r="F21" s="618">
        <f t="shared" ca="1" si="7"/>
        <v>122730716.88665651</v>
      </c>
      <c r="G21" s="635">
        <f t="shared" ca="1" si="3"/>
        <v>13749991.112429813</v>
      </c>
      <c r="H21" s="635">
        <f t="shared" ca="1" si="4"/>
        <v>0</v>
      </c>
      <c r="I21" s="602"/>
      <c r="J21" s="619"/>
      <c r="K21" s="618">
        <f t="shared" ca="1" si="6"/>
        <v>1059139.9402864368</v>
      </c>
      <c r="L21" s="618">
        <f ca="1">K21*'Revenues &amp; Expenses'!N22</f>
        <v>977880.94552944566</v>
      </c>
      <c r="M21" s="618">
        <f ca="1">SUM(L21:$L$257)</f>
        <v>122730716.8866564</v>
      </c>
      <c r="O21" s="602">
        <f>HLOOKUP(C21,'Debt Amortization'!$H$5:$AB$9,5)</f>
        <v>118125000</v>
      </c>
    </row>
    <row r="22" spans="1:15">
      <c r="A22" s="615">
        <f t="shared" si="5"/>
        <v>12</v>
      </c>
      <c r="B22" s="602">
        <v>31</v>
      </c>
      <c r="C22" s="616">
        <v>37042</v>
      </c>
      <c r="D22" s="617">
        <f ca="1">D29</f>
        <v>1</v>
      </c>
      <c r="E22" s="602">
        <f>SUM('Revenues &amp; Expenses'!BJ23:$BJ$258)</f>
        <v>136480707.99908632</v>
      </c>
      <c r="F22" s="618">
        <f t="shared" ca="1" si="7"/>
        <v>121752835.94112706</v>
      </c>
      <c r="G22" s="635">
        <f t="shared" ca="1" si="3"/>
        <v>14727872.057959259</v>
      </c>
      <c r="H22" s="635">
        <f t="shared" ca="1" si="4"/>
        <v>0</v>
      </c>
      <c r="I22" s="602"/>
      <c r="J22" s="619"/>
      <c r="K22" s="618">
        <f t="shared" ca="1" si="6"/>
        <v>1059139.9402864368</v>
      </c>
      <c r="L22" s="618">
        <f ca="1">K22*'Revenues &amp; Expenses'!N23</f>
        <v>972144.93429943186</v>
      </c>
      <c r="M22" s="618">
        <f ca="1">SUM(L22:$L$257)</f>
        <v>121752835.94112697</v>
      </c>
      <c r="O22" s="602">
        <f>HLOOKUP(C22,'Debt Amortization'!$H$5:$AB$9,5)</f>
        <v>118125000</v>
      </c>
    </row>
    <row r="23" spans="1:15">
      <c r="A23" s="615">
        <f t="shared" si="5"/>
        <v>13</v>
      </c>
      <c r="B23" s="602">
        <v>30</v>
      </c>
      <c r="C23" s="616">
        <v>37072</v>
      </c>
      <c r="D23" s="617">
        <f ca="1">D29</f>
        <v>1</v>
      </c>
      <c r="E23" s="602">
        <f>SUM('Revenues &amp; Expenses'!BJ24:$BJ$258)</f>
        <v>136480707.99908632</v>
      </c>
      <c r="F23" s="618">
        <f t="shared" ca="1" si="7"/>
        <v>120780691.00682762</v>
      </c>
      <c r="G23" s="635">
        <f t="shared" ca="1" si="3"/>
        <v>15700016.992258698</v>
      </c>
      <c r="H23" s="635">
        <f t="shared" ca="1" si="4"/>
        <v>0</v>
      </c>
      <c r="I23" s="602"/>
      <c r="J23" s="619"/>
      <c r="K23" s="618">
        <f t="shared" ca="1" si="6"/>
        <v>1059139.9402864368</v>
      </c>
      <c r="L23" s="618">
        <f ca="1">K23*'Revenues &amp; Expenses'!N24</f>
        <v>966200.56772995496</v>
      </c>
      <c r="M23" s="618">
        <f ca="1">SUM(L23:$L$257)</f>
        <v>120780691.0068275</v>
      </c>
      <c r="O23" s="602">
        <f>HLOOKUP(C23,'Debt Amortization'!$H$5:$AB$9,5)</f>
        <v>118125000</v>
      </c>
    </row>
    <row r="24" spans="1:15">
      <c r="A24" s="615">
        <f t="shared" si="5"/>
        <v>14</v>
      </c>
      <c r="B24" s="602">
        <v>31</v>
      </c>
      <c r="C24" s="616">
        <v>37103</v>
      </c>
      <c r="D24" s="617">
        <f ca="1">D29</f>
        <v>1</v>
      </c>
      <c r="E24" s="602">
        <f>SUM('Revenues &amp; Expenses'!BJ25:$BJ$258)</f>
        <v>135409316.92189679</v>
      </c>
      <c r="F24" s="618">
        <f t="shared" ca="1" si="7"/>
        <v>119814490.43909767</v>
      </c>
      <c r="G24" s="635">
        <f t="shared" ca="1" si="3"/>
        <v>15594826.482799113</v>
      </c>
      <c r="H24" s="635">
        <f t="shared" ca="1" si="4"/>
        <v>0</v>
      </c>
      <c r="I24" s="602"/>
      <c r="J24" s="619"/>
      <c r="K24" s="618">
        <f t="shared" ca="1" si="6"/>
        <v>1059139.9402864368</v>
      </c>
      <c r="L24" s="618">
        <f ca="1">K24*'Revenues &amp; Expenses'!N25</f>
        <v>960457.41760746355</v>
      </c>
      <c r="M24" s="618">
        <f ca="1">SUM(L24:$L$257)</f>
        <v>119814490.43909758</v>
      </c>
      <c r="O24" s="602">
        <f>HLOOKUP(C24,'Debt Amortization'!$H$5:$AB$9,5)</f>
        <v>118125000</v>
      </c>
    </row>
    <row r="25" spans="1:15">
      <c r="A25" s="615">
        <f t="shared" si="5"/>
        <v>15</v>
      </c>
      <c r="B25" s="602">
        <v>31</v>
      </c>
      <c r="C25" s="616">
        <v>37134</v>
      </c>
      <c r="D25" s="617">
        <f ca="1">D29</f>
        <v>1</v>
      </c>
      <c r="E25" s="602">
        <f>SUM('Revenues &amp; Expenses'!BJ26:$BJ$258)</f>
        <v>130415499.01648107</v>
      </c>
      <c r="F25" s="618">
        <f t="shared" ca="1" si="7"/>
        <v>118854033.0214902</v>
      </c>
      <c r="G25" s="635">
        <f t="shared" ca="1" si="3"/>
        <v>11561465.99499087</v>
      </c>
      <c r="H25" s="635">
        <f t="shared" ca="1" si="4"/>
        <v>0</v>
      </c>
      <c r="I25" s="602"/>
      <c r="J25" s="619"/>
      <c r="K25" s="618">
        <f t="shared" ca="1" si="6"/>
        <v>1059139.9402864368</v>
      </c>
      <c r="L25" s="618">
        <f ca="1">K25*'Revenues &amp; Expenses'!N26</f>
        <v>954560.27015200257</v>
      </c>
      <c r="M25" s="618">
        <f ca="1">SUM(L25:$L$257)</f>
        <v>118854033.0214901</v>
      </c>
      <c r="O25" s="602">
        <f>HLOOKUP(C25,'Debt Amortization'!$H$5:$AB$9,5)</f>
        <v>118125000</v>
      </c>
    </row>
    <row r="26" spans="1:15">
      <c r="A26" s="615">
        <f t="shared" si="5"/>
        <v>16</v>
      </c>
      <c r="B26" s="602">
        <v>30</v>
      </c>
      <c r="C26" s="616">
        <v>37164</v>
      </c>
      <c r="D26" s="617">
        <f ca="1">D29</f>
        <v>1</v>
      </c>
      <c r="E26" s="602">
        <f>SUM('Revenues &amp; Expenses'!BJ27:$BJ$258)</f>
        <v>126589381.2466788</v>
      </c>
      <c r="F26" s="618">
        <f t="shared" ca="1" si="7"/>
        <v>117899472.75133818</v>
      </c>
      <c r="G26" s="635">
        <f t="shared" ca="1" si="3"/>
        <v>8689908.4953406155</v>
      </c>
      <c r="H26" s="635">
        <f t="shared" ca="1" si="4"/>
        <v>0</v>
      </c>
      <c r="I26" s="602"/>
      <c r="J26" s="619"/>
      <c r="K26" s="618">
        <f t="shared" ca="1" si="6"/>
        <v>1059139.9402864368</v>
      </c>
      <c r="L26" s="618">
        <f ca="1">K26*'Revenues &amp; Expenses'!N27</f>
        <v>948655.54745778884</v>
      </c>
      <c r="M26" s="618">
        <f ca="1">SUM(L26:$L$257)</f>
        <v>117899472.75133809</v>
      </c>
      <c r="O26" s="602">
        <f>HLOOKUP(C26,'Debt Amortization'!$H$5:$AB$9,5)</f>
        <v>118125000</v>
      </c>
    </row>
    <row r="27" spans="1:15">
      <c r="A27" s="615">
        <f t="shared" si="5"/>
        <v>17</v>
      </c>
      <c r="B27" s="602">
        <v>31</v>
      </c>
      <c r="C27" s="616">
        <v>37195</v>
      </c>
      <c r="D27" s="617">
        <f ca="1">D29</f>
        <v>1</v>
      </c>
      <c r="E27" s="602">
        <f>SUM('Revenues &amp; Expenses'!BJ28:$BJ$258)</f>
        <v>126589381.2466788</v>
      </c>
      <c r="F27" s="618">
        <f t="shared" ca="1" si="7"/>
        <v>116950817.20388041</v>
      </c>
      <c r="G27" s="635">
        <f t="shared" ca="1" si="3"/>
        <v>9638564.042798385</v>
      </c>
      <c r="H27" s="635">
        <f t="shared" ca="1" si="4"/>
        <v>0</v>
      </c>
      <c r="I27" s="602"/>
      <c r="J27" s="619"/>
      <c r="K27" s="618">
        <f t="shared" ca="1" si="6"/>
        <v>1059139.9402864368</v>
      </c>
      <c r="L27" s="618">
        <f ca="1">K27*'Revenues &amp; Expenses'!N28</f>
        <v>942968.79630623537</v>
      </c>
      <c r="M27" s="618">
        <f ca="1">SUM(L27:$L$257)</f>
        <v>116950817.20388031</v>
      </c>
      <c r="O27" s="602">
        <f>HLOOKUP(C27,'Debt Amortization'!$H$5:$AB$9,5)</f>
        <v>118125000</v>
      </c>
    </row>
    <row r="28" spans="1:15">
      <c r="A28" s="615">
        <f t="shared" si="5"/>
        <v>18</v>
      </c>
      <c r="B28" s="602">
        <v>30</v>
      </c>
      <c r="C28" s="616">
        <v>37225</v>
      </c>
      <c r="D28" s="617">
        <f ca="1">D29</f>
        <v>1</v>
      </c>
      <c r="E28" s="602">
        <f>SUM('Revenues &amp; Expenses'!BJ29:$BJ$258)</f>
        <v>126589381.2466788</v>
      </c>
      <c r="F28" s="618">
        <f t="shared" ca="1" si="7"/>
        <v>116007848.40757416</v>
      </c>
      <c r="G28" s="635">
        <f t="shared" ca="1" si="3"/>
        <v>10581532.839104638</v>
      </c>
      <c r="H28" s="635">
        <f t="shared" ca="1" si="4"/>
        <v>0</v>
      </c>
      <c r="I28" s="602"/>
      <c r="J28" s="619"/>
      <c r="K28" s="618">
        <f t="shared" ca="1" si="6"/>
        <v>1059139.9402864368</v>
      </c>
      <c r="L28" s="618">
        <f ca="1">K28*'Revenues &amp; Expenses'!N29</f>
        <v>937147.76358035614</v>
      </c>
      <c r="M28" s="618">
        <f ca="1">SUM(L28:$L$257)</f>
        <v>116007848.40757406</v>
      </c>
      <c r="O28" s="602">
        <f>HLOOKUP(C28,'Debt Amortization'!$H$5:$AB$9,5)</f>
        <v>118125000</v>
      </c>
    </row>
    <row r="29" spans="1:15">
      <c r="A29" s="615">
        <f t="shared" si="5"/>
        <v>19</v>
      </c>
      <c r="B29" s="602">
        <v>31</v>
      </c>
      <c r="C29" s="616">
        <v>37256</v>
      </c>
      <c r="D29" s="617">
        <f ca="1">'Deal Depiction'!J9</f>
        <v>1</v>
      </c>
      <c r="E29" s="602">
        <f>SUM('Revenues &amp; Expenses'!BJ30:$BJ$258)</f>
        <v>126589381.2466788</v>
      </c>
      <c r="F29" s="618">
        <f t="shared" ca="1" si="7"/>
        <v>115070700.64399382</v>
      </c>
      <c r="G29" s="635">
        <f t="shared" ca="1" si="3"/>
        <v>11518680.602684975</v>
      </c>
      <c r="H29" s="635">
        <f t="shared" ca="1" si="4"/>
        <v>0</v>
      </c>
      <c r="I29" s="602"/>
      <c r="J29" s="619"/>
      <c r="K29" s="618">
        <f t="shared" ca="1" si="6"/>
        <v>1059139.9402864368</v>
      </c>
      <c r="L29" s="618">
        <f ca="1">K29*'Revenues &amp; Expenses'!N30</f>
        <v>931516.38609282346</v>
      </c>
      <c r="M29" s="618">
        <f ca="1">SUM(L29:$L$257)</f>
        <v>115070700.64399371</v>
      </c>
      <c r="O29" s="602">
        <f>HLOOKUP(C29,'Debt Amortization'!$H$5:$AB$9,5)</f>
        <v>118125000</v>
      </c>
    </row>
    <row r="30" spans="1:15">
      <c r="A30" s="615">
        <f t="shared" si="5"/>
        <v>20</v>
      </c>
      <c r="B30" s="602">
        <v>31</v>
      </c>
      <c r="C30" s="616">
        <v>37287</v>
      </c>
      <c r="D30" s="617">
        <f ca="1">D41</f>
        <v>1</v>
      </c>
      <c r="E30" s="602">
        <f>SUM('Revenues &amp; Expenses'!BJ31:$BJ$258)</f>
        <v>126589381.2466788</v>
      </c>
      <c r="F30" s="618">
        <f t="shared" ca="1" si="7"/>
        <v>114139184.25790098</v>
      </c>
      <c r="G30" s="635">
        <f t="shared" ca="1" si="3"/>
        <v>12450196.988777816</v>
      </c>
      <c r="H30" s="635">
        <f t="shared" ca="1" si="4"/>
        <v>0</v>
      </c>
      <c r="I30" s="602"/>
      <c r="J30" s="619"/>
      <c r="K30" s="618">
        <f t="shared" ca="1" si="6"/>
        <v>1059139.9402864368</v>
      </c>
      <c r="L30" s="618">
        <f ca="1">K30*'Revenues &amp; Expenses'!N31</f>
        <v>925719.24361885816</v>
      </c>
      <c r="M30" s="618">
        <f ca="1">SUM(L30:$L$257)</f>
        <v>114139184.25790089</v>
      </c>
      <c r="O30" s="602">
        <f ca="1">HLOOKUP(C30,'Debt Amortization'!$H$5:$AB$9,5)</f>
        <v>115750253.87226292</v>
      </c>
    </row>
    <row r="31" spans="1:15">
      <c r="A31" s="615">
        <f t="shared" si="5"/>
        <v>21</v>
      </c>
      <c r="B31" s="602">
        <v>28</v>
      </c>
      <c r="C31" s="616">
        <v>37315</v>
      </c>
      <c r="D31" s="617">
        <f ca="1">D41</f>
        <v>1</v>
      </c>
      <c r="E31" s="602">
        <f>SUM('Revenues &amp; Expenses'!BJ32:$BJ$258)</f>
        <v>126589381.2466788</v>
      </c>
      <c r="F31" s="618">
        <f t="shared" ca="1" si="7"/>
        <v>113213465.01428212</v>
      </c>
      <c r="G31" s="635">
        <f t="shared" ca="1" si="3"/>
        <v>13375916.232396677</v>
      </c>
      <c r="H31" s="635">
        <f t="shared" ca="1" si="4"/>
        <v>0</v>
      </c>
      <c r="I31" s="602"/>
      <c r="J31" s="619"/>
      <c r="K31" s="618">
        <f t="shared" ca="1" si="6"/>
        <v>1059139.9402864368</v>
      </c>
      <c r="L31" s="618">
        <f ca="1">K31*'Revenues &amp; Expenses'!N32</f>
        <v>919954.48287271115</v>
      </c>
      <c r="M31" s="618">
        <f ca="1">SUM(L31:$L$257)</f>
        <v>113213465.01428202</v>
      </c>
      <c r="O31" s="602">
        <f ca="1">HLOOKUP(C31,'Debt Amortization'!$H$5:$AB$9,5)</f>
        <v>115750253.87226292</v>
      </c>
    </row>
    <row r="32" spans="1:15">
      <c r="A32" s="615">
        <f t="shared" si="5"/>
        <v>22</v>
      </c>
      <c r="B32" s="602">
        <v>31</v>
      </c>
      <c r="C32" s="616">
        <v>37346</v>
      </c>
      <c r="D32" s="617">
        <f ca="1">D41</f>
        <v>1</v>
      </c>
      <c r="E32" s="602">
        <f>SUM('Revenues &amp; Expenses'!BJ33:$BJ$258)</f>
        <v>126589381.2466788</v>
      </c>
      <c r="F32" s="618">
        <f t="shared" ca="1" si="7"/>
        <v>112293510.5314094</v>
      </c>
      <c r="G32" s="635">
        <f t="shared" ca="1" si="3"/>
        <v>14295870.715269402</v>
      </c>
      <c r="H32" s="635">
        <f t="shared" ca="1" si="4"/>
        <v>0</v>
      </c>
      <c r="I32" s="602"/>
      <c r="J32" s="619"/>
      <c r="K32" s="618">
        <f t="shared" ca="1" si="6"/>
        <v>1059139.9402864368</v>
      </c>
      <c r="L32" s="618">
        <f ca="1">K32*'Revenues &amp; Expenses'!N33</f>
        <v>914753.260308158</v>
      </c>
      <c r="M32" s="618">
        <f ca="1">SUM(L32:$L$257)</f>
        <v>112293510.53140929</v>
      </c>
      <c r="O32" s="602">
        <f ca="1">HLOOKUP(C32,'Debt Amortization'!$H$5:$AB$9,5)</f>
        <v>115750253.87226292</v>
      </c>
    </row>
    <row r="33" spans="1:15">
      <c r="A33" s="615">
        <f t="shared" si="5"/>
        <v>23</v>
      </c>
      <c r="B33" s="602">
        <v>30</v>
      </c>
      <c r="C33" s="616">
        <v>37376</v>
      </c>
      <c r="D33" s="617">
        <f ca="1">D41</f>
        <v>1</v>
      </c>
      <c r="E33" s="602">
        <f>SUM('Revenues &amp; Expenses'!BJ34:$BJ$258)</f>
        <v>126589381.2466788</v>
      </c>
      <c r="F33" s="618">
        <f t="shared" ca="1" si="7"/>
        <v>111378757.27110124</v>
      </c>
      <c r="G33" s="635">
        <f t="shared" ca="1" si="3"/>
        <v>15210623.975577563</v>
      </c>
      <c r="H33" s="635">
        <f t="shared" ca="1" si="4"/>
        <v>0</v>
      </c>
      <c r="I33" s="602"/>
      <c r="J33" s="619"/>
      <c r="K33" s="618">
        <f t="shared" ca="1" si="6"/>
        <v>1059139.9402864368</v>
      </c>
      <c r="L33" s="618">
        <f ca="1">K33*'Revenues &amp; Expenses'!N34</f>
        <v>909048.55885407818</v>
      </c>
      <c r="M33" s="618">
        <f ca="1">SUM(L33:$L$257)</f>
        <v>111378757.27110118</v>
      </c>
      <c r="O33" s="602">
        <f ca="1">HLOOKUP(C33,'Debt Amortization'!$H$5:$AB$9,5)</f>
        <v>115750253.87226292</v>
      </c>
    </row>
    <row r="34" spans="1:15">
      <c r="A34" s="615">
        <f t="shared" si="5"/>
        <v>24</v>
      </c>
      <c r="B34" s="602">
        <v>31</v>
      </c>
      <c r="C34" s="616">
        <v>37407</v>
      </c>
      <c r="D34" s="617">
        <f ca="1">D41</f>
        <v>1</v>
      </c>
      <c r="E34" s="602">
        <f>SUM('Revenues &amp; Expenses'!BJ35:$BJ$258)</f>
        <v>126589381.2466788</v>
      </c>
      <c r="F34" s="618">
        <f t="shared" ca="1" si="7"/>
        <v>110469708.71224715</v>
      </c>
      <c r="G34" s="635">
        <f t="shared" ca="1" si="3"/>
        <v>16119672.534431651</v>
      </c>
      <c r="H34" s="635">
        <f t="shared" ca="1" si="4"/>
        <v>0</v>
      </c>
      <c r="I34" s="602"/>
      <c r="J34" s="619"/>
      <c r="K34" s="618">
        <f t="shared" ca="1" si="6"/>
        <v>1059139.9402864368</v>
      </c>
      <c r="L34" s="618">
        <f ca="1">K34*'Revenues &amp; Expenses'!N35</f>
        <v>903609.52334420255</v>
      </c>
      <c r="M34" s="618">
        <f ca="1">SUM(L34:$L$257)</f>
        <v>110469708.71224707</v>
      </c>
      <c r="O34" s="602">
        <f ca="1">HLOOKUP(C34,'Debt Amortization'!$H$5:$AB$9,5)</f>
        <v>115750253.87226292</v>
      </c>
    </row>
    <row r="35" spans="1:15">
      <c r="A35" s="615">
        <f t="shared" si="5"/>
        <v>25</v>
      </c>
      <c r="B35" s="602">
        <v>30</v>
      </c>
      <c r="C35" s="616">
        <v>37437</v>
      </c>
      <c r="D35" s="617">
        <f ca="1">D41</f>
        <v>1</v>
      </c>
      <c r="E35" s="602">
        <f>SUM('Revenues &amp; Expenses'!BJ36:$BJ$258)</f>
        <v>126589381.2466788</v>
      </c>
      <c r="F35" s="618">
        <f t="shared" ca="1" si="7"/>
        <v>109566099.18890293</v>
      </c>
      <c r="G35" s="635">
        <f t="shared" ca="1" si="3"/>
        <v>17023282.05777587</v>
      </c>
      <c r="H35" s="635">
        <f t="shared" ca="1" si="4"/>
        <v>0</v>
      </c>
      <c r="I35" s="602"/>
      <c r="J35" s="619"/>
      <c r="K35" s="618">
        <f t="shared" ca="1" si="6"/>
        <v>1059139.9402864368</v>
      </c>
      <c r="L35" s="618">
        <f ca="1">K35*'Revenues &amp; Expenses'!N36</f>
        <v>898004.0031097146</v>
      </c>
      <c r="M35" s="618">
        <f ca="1">SUM(L35:$L$257)</f>
        <v>109566099.18890285</v>
      </c>
      <c r="O35" s="602">
        <f ca="1">HLOOKUP(C35,'Debt Amortization'!$H$5:$AB$9,5)</f>
        <v>115750253.87226292</v>
      </c>
    </row>
    <row r="36" spans="1:15">
      <c r="A36" s="615">
        <f t="shared" si="5"/>
        <v>26</v>
      </c>
      <c r="B36" s="602">
        <v>31</v>
      </c>
      <c r="C36" s="616">
        <v>37468</v>
      </c>
      <c r="D36" s="617">
        <f ca="1">D41</f>
        <v>1</v>
      </c>
      <c r="E36" s="602">
        <f>SUM('Revenues &amp; Expenses'!BJ37:$BJ$258)</f>
        <v>125531432.13951036</v>
      </c>
      <c r="F36" s="618">
        <f t="shared" ca="1" si="7"/>
        <v>108668095.18579322</v>
      </c>
      <c r="G36" s="635">
        <f t="shared" ca="1" si="3"/>
        <v>16863336.953717142</v>
      </c>
      <c r="H36" s="635">
        <f t="shared" ca="1" si="4"/>
        <v>0</v>
      </c>
      <c r="I36" s="602"/>
      <c r="J36" s="619"/>
      <c r="K36" s="618">
        <f t="shared" ca="1" si="6"/>
        <v>1059139.9402864368</v>
      </c>
      <c r="L36" s="618">
        <f ca="1">K36*'Revenues &amp; Expenses'!N37</f>
        <v>892614.17284030013</v>
      </c>
      <c r="M36" s="618">
        <f ca="1">SUM(L36:$L$257)</f>
        <v>108668095.18579316</v>
      </c>
      <c r="O36" s="602">
        <f ca="1">HLOOKUP(C36,'Debt Amortization'!$H$5:$AB$9,5)</f>
        <v>115750253.87226292</v>
      </c>
    </row>
    <row r="37" spans="1:15">
      <c r="A37" s="615">
        <f t="shared" si="5"/>
        <v>27</v>
      </c>
      <c r="B37" s="602">
        <v>31</v>
      </c>
      <c r="C37" s="616">
        <v>37499</v>
      </c>
      <c r="D37" s="617">
        <f ca="1">D41</f>
        <v>1</v>
      </c>
      <c r="E37" s="602">
        <f>SUM('Revenues &amp; Expenses'!BJ38:$BJ$258)</f>
        <v>120710454.40509515</v>
      </c>
      <c r="F37" s="618">
        <f t="shared" ca="1" si="7"/>
        <v>107775481.01295292</v>
      </c>
      <c r="G37" s="635">
        <f t="shared" ca="1" si="3"/>
        <v>12934973.392142221</v>
      </c>
      <c r="H37" s="635">
        <f t="shared" ca="1" si="4"/>
        <v>0</v>
      </c>
      <c r="I37" s="602"/>
      <c r="J37" s="619"/>
      <c r="K37" s="618">
        <f t="shared" ca="1" si="6"/>
        <v>1059139.9402864368</v>
      </c>
      <c r="L37" s="618">
        <f ca="1">K37*'Revenues &amp; Expenses'!N38</f>
        <v>887095.52716257679</v>
      </c>
      <c r="M37" s="618">
        <f ca="1">SUM(L37:$L$257)</f>
        <v>107775481.01295283</v>
      </c>
      <c r="O37" s="602">
        <f ca="1">HLOOKUP(C37,'Debt Amortization'!$H$5:$AB$9,5)</f>
        <v>115750253.87226292</v>
      </c>
    </row>
    <row r="38" spans="1:15">
      <c r="A38" s="615">
        <f t="shared" si="5"/>
        <v>28</v>
      </c>
      <c r="B38" s="602">
        <v>30</v>
      </c>
      <c r="C38" s="616">
        <v>37529</v>
      </c>
      <c r="D38" s="617">
        <f ca="1">D41</f>
        <v>1</v>
      </c>
      <c r="E38" s="602">
        <f>SUM('Revenues &amp; Expenses'!BJ39:$BJ$258)</f>
        <v>117341504.33018452</v>
      </c>
      <c r="F38" s="618">
        <f t="shared" ca="1" si="7"/>
        <v>106888385.48579036</v>
      </c>
      <c r="G38" s="635">
        <f t="shared" ca="1" si="3"/>
        <v>10453118.844394162</v>
      </c>
      <c r="H38" s="635">
        <f t="shared" ca="1" si="4"/>
        <v>0</v>
      </c>
      <c r="I38" s="602"/>
      <c r="J38" s="619"/>
      <c r="K38" s="618">
        <f t="shared" ca="1" si="6"/>
        <v>1059139.9402864368</v>
      </c>
      <c r="L38" s="618">
        <f ca="1">K38*'Revenues &amp; Expenses'!N39</f>
        <v>881595.42175842251</v>
      </c>
      <c r="M38" s="618">
        <f ca="1">SUM(L38:$L$257)</f>
        <v>106888385.48579025</v>
      </c>
      <c r="O38" s="602">
        <f ca="1">HLOOKUP(C38,'Debt Amortization'!$H$5:$AB$9,5)</f>
        <v>115750253.87226292</v>
      </c>
    </row>
    <row r="39" spans="1:15">
      <c r="A39" s="615">
        <f t="shared" si="5"/>
        <v>29</v>
      </c>
      <c r="B39" s="602">
        <v>31</v>
      </c>
      <c r="C39" s="616">
        <v>37560</v>
      </c>
      <c r="D39" s="617">
        <f ca="1">D41</f>
        <v>1</v>
      </c>
      <c r="E39" s="602">
        <f>SUM('Revenues &amp; Expenses'!BJ40:$BJ$258)</f>
        <v>117341504.33018452</v>
      </c>
      <c r="F39" s="618">
        <f t="shared" ca="1" si="7"/>
        <v>106006790.06403193</v>
      </c>
      <c r="G39" s="635">
        <f t="shared" ca="1" si="3"/>
        <v>11334714.266152591</v>
      </c>
      <c r="H39" s="635">
        <f t="shared" ca="1" si="4"/>
        <v>0</v>
      </c>
      <c r="I39" s="602"/>
      <c r="J39" s="619"/>
      <c r="K39" s="618">
        <f t="shared" ca="1" si="6"/>
        <v>1059139.9402864368</v>
      </c>
      <c r="L39" s="618">
        <f ca="1">K39*'Revenues &amp; Expenses'!N40</f>
        <v>876309.46104902646</v>
      </c>
      <c r="M39" s="618">
        <f ca="1">SUM(L39:$L$257)</f>
        <v>106006790.06403184</v>
      </c>
      <c r="O39" s="602">
        <f ca="1">HLOOKUP(C39,'Debt Amortization'!$H$5:$AB$9,5)</f>
        <v>115750253.87226292</v>
      </c>
    </row>
    <row r="40" spans="1:15">
      <c r="A40" s="615">
        <f t="shared" si="5"/>
        <v>30</v>
      </c>
      <c r="B40" s="602">
        <v>30</v>
      </c>
      <c r="C40" s="616">
        <v>37590</v>
      </c>
      <c r="D40" s="617">
        <f ca="1">D41</f>
        <v>1</v>
      </c>
      <c r="E40" s="602">
        <f>SUM('Revenues &amp; Expenses'!BJ41:$BJ$258)</f>
        <v>117341504.33018452</v>
      </c>
      <c r="F40" s="618">
        <f t="shared" ca="1" si="7"/>
        <v>105130480.60298291</v>
      </c>
      <c r="G40" s="635">
        <f t="shared" ca="1" si="3"/>
        <v>12211023.727201611</v>
      </c>
      <c r="H40" s="635">
        <f t="shared" ca="1" si="4"/>
        <v>0</v>
      </c>
      <c r="I40" s="602"/>
      <c r="J40" s="619"/>
      <c r="K40" s="618">
        <f t="shared" ca="1" si="6"/>
        <v>1059139.9402864368</v>
      </c>
      <c r="L40" s="618">
        <f ca="1">K40*'Revenues &amp; Expenses'!N41</f>
        <v>870894.6417660967</v>
      </c>
      <c r="M40" s="618">
        <f ca="1">SUM(L40:$L$257)</f>
        <v>105130480.60298282</v>
      </c>
      <c r="O40" s="602">
        <f ca="1">HLOOKUP(C40,'Debt Amortization'!$H$5:$AB$9,5)</f>
        <v>115750253.87226292</v>
      </c>
    </row>
    <row r="41" spans="1:15">
      <c r="A41" s="615">
        <f t="shared" si="5"/>
        <v>31</v>
      </c>
      <c r="B41" s="602">
        <v>31</v>
      </c>
      <c r="C41" s="616">
        <v>37621</v>
      </c>
      <c r="D41" s="617">
        <f ca="1">'Deal Depiction'!J10</f>
        <v>1</v>
      </c>
      <c r="E41" s="602">
        <f>SUM('Revenues &amp; Expenses'!BJ42:$BJ$258)</f>
        <v>117341504.33018452</v>
      </c>
      <c r="F41" s="618">
        <f t="shared" ca="1" si="7"/>
        <v>104259585.96121681</v>
      </c>
      <c r="G41" s="635">
        <f t="shared" ca="1" si="3"/>
        <v>13081918.368967712</v>
      </c>
      <c r="H41" s="635">
        <f t="shared" ca="1" si="4"/>
        <v>0</v>
      </c>
      <c r="I41" s="602"/>
      <c r="J41" s="619"/>
      <c r="K41" s="618">
        <f t="shared" ca="1" si="6"/>
        <v>1059139.9402864368</v>
      </c>
      <c r="L41" s="618">
        <f ca="1">K41*'Revenues &amp; Expenses'!N42</f>
        <v>865674.56472857262</v>
      </c>
      <c r="M41" s="618">
        <f ca="1">SUM(L41:$L$257)</f>
        <v>104259585.96121672</v>
      </c>
      <c r="O41" s="602">
        <f ca="1">HLOOKUP(C41,'Debt Amortization'!$H$5:$AB$9,5)</f>
        <v>115750253.87226292</v>
      </c>
    </row>
    <row r="42" spans="1:15">
      <c r="A42" s="615">
        <f t="shared" si="5"/>
        <v>32</v>
      </c>
      <c r="B42" s="602">
        <v>31</v>
      </c>
      <c r="C42" s="616">
        <v>37652</v>
      </c>
      <c r="D42" s="617">
        <f ca="1">D53</f>
        <v>1</v>
      </c>
      <c r="E42" s="602">
        <f>SUM('Revenues &amp; Expenses'!BJ43:$BJ$258)</f>
        <v>117341504.33018452</v>
      </c>
      <c r="F42" s="618">
        <f t="shared" ca="1" si="7"/>
        <v>103393911.39648825</v>
      </c>
      <c r="G42" s="635">
        <f t="shared" ca="1" si="3"/>
        <v>13947592.93369627</v>
      </c>
      <c r="H42" s="635">
        <f t="shared" ca="1" si="4"/>
        <v>0</v>
      </c>
      <c r="I42" s="602"/>
      <c r="J42" s="619"/>
      <c r="K42" s="618">
        <f t="shared" ca="1" si="6"/>
        <v>1059139.9402864368</v>
      </c>
      <c r="L42" s="618">
        <f ca="1">K42*'Revenues &amp; Expenses'!N43</f>
        <v>860301.0391945322</v>
      </c>
      <c r="M42" s="618">
        <f ca="1">SUM(L42:$L$257)</f>
        <v>103393911.39648816</v>
      </c>
      <c r="O42" s="602">
        <f ca="1">HLOOKUP(C42,'Debt Amortization'!$H$5:$AB$9,5)</f>
        <v>113167737.64935613</v>
      </c>
    </row>
    <row r="43" spans="1:15">
      <c r="A43" s="615">
        <f t="shared" si="5"/>
        <v>33</v>
      </c>
      <c r="B43" s="602">
        <v>28</v>
      </c>
      <c r="C43" s="616">
        <v>37680</v>
      </c>
      <c r="D43" s="617">
        <f ca="1">D53</f>
        <v>1</v>
      </c>
      <c r="E43" s="602">
        <f>SUM('Revenues &amp; Expenses'!BJ44:$BJ$258)</f>
        <v>117341504.33018452</v>
      </c>
      <c r="F43" s="618">
        <f t="shared" ca="1" si="7"/>
        <v>102533610.35729371</v>
      </c>
      <c r="G43" s="635">
        <f t="shared" ca="1" si="3"/>
        <v>14807893.972890809</v>
      </c>
      <c r="H43" s="635">
        <f t="shared" ca="1" si="4"/>
        <v>0</v>
      </c>
      <c r="I43" s="602"/>
      <c r="J43" s="619"/>
      <c r="K43" s="618">
        <f t="shared" ca="1" si="6"/>
        <v>1059139.9402864368</v>
      </c>
      <c r="L43" s="618">
        <f ca="1">K43*'Revenues &amp; Expenses'!N44</f>
        <v>854948.37105652376</v>
      </c>
      <c r="M43" s="618">
        <f ca="1">SUM(L43:$L$257)</f>
        <v>102533610.35729361</v>
      </c>
      <c r="O43" s="602">
        <f ca="1">HLOOKUP(C43,'Debt Amortization'!$H$5:$AB$9,5)</f>
        <v>113167737.64935613</v>
      </c>
    </row>
    <row r="44" spans="1:15">
      <c r="A44" s="615">
        <f t="shared" si="5"/>
        <v>34</v>
      </c>
      <c r="B44" s="602">
        <v>31</v>
      </c>
      <c r="C44" s="616">
        <v>37711</v>
      </c>
      <c r="D44" s="617">
        <f ca="1">D53</f>
        <v>1</v>
      </c>
      <c r="E44" s="602">
        <f>SUM('Revenues &amp; Expenses'!BJ45:$BJ$258)</f>
        <v>117341504.33018452</v>
      </c>
      <c r="F44" s="618">
        <f t="shared" ca="1" si="7"/>
        <v>101678661.98623718</v>
      </c>
      <c r="G44" s="635">
        <f t="shared" ca="1" si="3"/>
        <v>15662842.343947336</v>
      </c>
      <c r="H44" s="635">
        <f t="shared" ca="1" si="4"/>
        <v>0</v>
      </c>
      <c r="I44" s="602"/>
      <c r="J44" s="619"/>
      <c r="K44" s="618">
        <f t="shared" ca="1" si="6"/>
        <v>1059139.9402864368</v>
      </c>
      <c r="L44" s="618">
        <f ca="1">K44*'Revenues &amp; Expenses'!N45</f>
        <v>850131.86229267588</v>
      </c>
      <c r="M44" s="618">
        <f ca="1">SUM(L44:$L$257)</f>
        <v>101678661.98623711</v>
      </c>
      <c r="O44" s="602">
        <f ca="1">HLOOKUP(C44,'Debt Amortization'!$H$5:$AB$9,5)</f>
        <v>113167737.64935613</v>
      </c>
    </row>
    <row r="45" spans="1:15">
      <c r="A45" s="615">
        <f t="shared" si="5"/>
        <v>35</v>
      </c>
      <c r="B45" s="602">
        <v>30</v>
      </c>
      <c r="C45" s="616">
        <v>37741</v>
      </c>
      <c r="D45" s="617">
        <f ca="1">D53</f>
        <v>1</v>
      </c>
      <c r="E45" s="602">
        <f>SUM('Revenues &amp; Expenses'!BJ46:$BJ$258)</f>
        <v>117341504.33018452</v>
      </c>
      <c r="F45" s="618">
        <f t="shared" ca="1" si="7"/>
        <v>100828530.12394449</v>
      </c>
      <c r="G45" s="635">
        <f t="shared" ca="1" si="3"/>
        <v>16512974.206240028</v>
      </c>
      <c r="H45" s="635">
        <f t="shared" ca="1" si="4"/>
        <v>0</v>
      </c>
      <c r="I45" s="602"/>
      <c r="J45" s="619"/>
      <c r="K45" s="618">
        <f t="shared" ca="1" si="6"/>
        <v>1059139.9402864368</v>
      </c>
      <c r="L45" s="618">
        <f ca="1">K45*'Revenues &amp; Expenses'!N46</f>
        <v>844847.59644270432</v>
      </c>
      <c r="M45" s="618">
        <f ca="1">SUM(L45:$L$257)</f>
        <v>100828530.1239444</v>
      </c>
      <c r="O45" s="602">
        <f ca="1">HLOOKUP(C45,'Debt Amortization'!$H$5:$AB$9,5)</f>
        <v>113167737.64935613</v>
      </c>
    </row>
    <row r="46" spans="1:15">
      <c r="A46" s="615">
        <f t="shared" si="5"/>
        <v>36</v>
      </c>
      <c r="B46" s="602">
        <v>31</v>
      </c>
      <c r="C46" s="616">
        <v>37772</v>
      </c>
      <c r="D46" s="617">
        <f ca="1">D53</f>
        <v>1</v>
      </c>
      <c r="E46" s="602">
        <f>SUM('Revenues &amp; Expenses'!BJ47:$BJ$258)</f>
        <v>117341504.33018452</v>
      </c>
      <c r="F46" s="618">
        <f t="shared" ca="1" si="7"/>
        <v>99983682.527501777</v>
      </c>
      <c r="G46" s="635">
        <f t="shared" ca="1" si="3"/>
        <v>17357821.802682742</v>
      </c>
      <c r="H46" s="635">
        <f t="shared" ca="1" si="4"/>
        <v>0</v>
      </c>
      <c r="I46" s="602"/>
      <c r="J46" s="619"/>
      <c r="K46" s="618">
        <f t="shared" ca="1" si="6"/>
        <v>1059139.9402864368</v>
      </c>
      <c r="L46" s="618">
        <f ca="1">K46*'Revenues &amp; Expenses'!N47</f>
        <v>839793.22693729668</v>
      </c>
      <c r="M46" s="618">
        <f ca="1">SUM(L46:$L$257)</f>
        <v>99983682.527501702</v>
      </c>
      <c r="O46" s="602">
        <f ca="1">HLOOKUP(C46,'Debt Amortization'!$H$5:$AB$9,5)</f>
        <v>113167737.64935613</v>
      </c>
    </row>
    <row r="47" spans="1:15">
      <c r="A47" s="615">
        <f t="shared" si="5"/>
        <v>37</v>
      </c>
      <c r="B47" s="602">
        <v>30</v>
      </c>
      <c r="C47" s="616">
        <v>37802</v>
      </c>
      <c r="D47" s="617">
        <f ca="1">D53</f>
        <v>1</v>
      </c>
      <c r="E47" s="602">
        <f>SUM('Revenues &amp; Expenses'!BJ48:$BJ$258)</f>
        <v>117341504.33018452</v>
      </c>
      <c r="F47" s="618">
        <f t="shared" ca="1" si="7"/>
        <v>99143889.300564483</v>
      </c>
      <c r="G47" s="635">
        <f t="shared" ca="1" si="3"/>
        <v>18197615.029620036</v>
      </c>
      <c r="H47" s="635">
        <f t="shared" ca="1" si="4"/>
        <v>0</v>
      </c>
      <c r="I47" s="602"/>
      <c r="J47" s="619"/>
      <c r="K47" s="618">
        <f t="shared" ca="1" si="6"/>
        <v>1059139.9402864368</v>
      </c>
      <c r="L47" s="618">
        <f ca="1">K47*'Revenues &amp; Expenses'!N48</f>
        <v>834593.82698207186</v>
      </c>
      <c r="M47" s="618">
        <f ca="1">SUM(L47:$L$257)</f>
        <v>99143889.300564378</v>
      </c>
      <c r="O47" s="602">
        <f ca="1">HLOOKUP(C47,'Debt Amortization'!$H$5:$AB$9,5)</f>
        <v>113167737.64935613</v>
      </c>
    </row>
    <row r="48" spans="1:15">
      <c r="A48" s="615">
        <f t="shared" si="5"/>
        <v>38</v>
      </c>
      <c r="B48" s="602">
        <v>31</v>
      </c>
      <c r="C48" s="616">
        <v>37833</v>
      </c>
      <c r="D48" s="617">
        <f ca="1">D53</f>
        <v>1</v>
      </c>
      <c r="E48" s="602">
        <f>SUM('Revenues &amp; Expenses'!BJ49:$BJ$258)</f>
        <v>116177266.58996274</v>
      </c>
      <c r="F48" s="618">
        <f t="shared" ca="1" si="7"/>
        <v>98309295.473582402</v>
      </c>
      <c r="G48" s="635">
        <f t="shared" ca="1" si="3"/>
        <v>17867971.116380334</v>
      </c>
      <c r="H48" s="635">
        <f t="shared" ca="1" si="4"/>
        <v>0</v>
      </c>
      <c r="I48" s="602"/>
      <c r="J48" s="619"/>
      <c r="K48" s="618">
        <f t="shared" ca="1" si="6"/>
        <v>1059139.9402864368</v>
      </c>
      <c r="L48" s="618">
        <f ca="1">K48*'Revenues &amp; Expenses'!N49</f>
        <v>829592.60604959051</v>
      </c>
      <c r="M48" s="618">
        <f ca="1">SUM(L48:$L$257)</f>
        <v>98309295.473582327</v>
      </c>
      <c r="O48" s="602">
        <f ca="1">HLOOKUP(C48,'Debt Amortization'!$H$5:$AB$9,5)</f>
        <v>113167737.64935613</v>
      </c>
    </row>
    <row r="49" spans="1:15">
      <c r="A49" s="615">
        <f t="shared" si="5"/>
        <v>39</v>
      </c>
      <c r="B49" s="602">
        <v>31</v>
      </c>
      <c r="C49" s="616">
        <v>37864</v>
      </c>
      <c r="D49" s="617">
        <f ca="1">D53</f>
        <v>1</v>
      </c>
      <c r="E49" s="602">
        <f>SUM('Revenues &amp; Expenses'!BJ50:$BJ$258)</f>
        <v>111630865.42799717</v>
      </c>
      <c r="F49" s="618">
        <f t="shared" ca="1" si="7"/>
        <v>97479702.86753282</v>
      </c>
      <c r="G49" s="635">
        <f t="shared" ca="1" si="3"/>
        <v>14151162.560464352</v>
      </c>
      <c r="H49" s="635">
        <f t="shared" ca="1" si="4"/>
        <v>0</v>
      </c>
      <c r="I49" s="602"/>
      <c r="J49" s="619"/>
      <c r="K49" s="618">
        <f t="shared" ca="1" si="6"/>
        <v>1059139.9402864368</v>
      </c>
      <c r="L49" s="618">
        <f ca="1">K49*'Revenues &amp; Expenses'!N50</f>
        <v>824459.76510753867</v>
      </c>
      <c r="M49" s="618">
        <f ca="1">SUM(L49:$L$257)</f>
        <v>97479702.8675327</v>
      </c>
      <c r="O49" s="602">
        <f ca="1">HLOOKUP(C49,'Debt Amortization'!$H$5:$AB$9,5)</f>
        <v>113167737.64935613</v>
      </c>
    </row>
    <row r="50" spans="1:15">
      <c r="A50" s="615">
        <f t="shared" si="5"/>
        <v>40</v>
      </c>
      <c r="B50" s="602">
        <v>30</v>
      </c>
      <c r="C50" s="616">
        <v>37894</v>
      </c>
      <c r="D50" s="617">
        <f ca="1">D53</f>
        <v>1</v>
      </c>
      <c r="E50" s="602">
        <f>SUM('Revenues &amp; Expenses'!BJ51:$BJ$258)</f>
        <v>108572374.39643109</v>
      </c>
      <c r="F50" s="618">
        <f t="shared" ca="1" si="7"/>
        <v>96655243.102425277</v>
      </c>
      <c r="G50" s="635">
        <f t="shared" ca="1" si="3"/>
        <v>11917131.294005811</v>
      </c>
      <c r="H50" s="635">
        <f t="shared" ca="1" si="4"/>
        <v>0</v>
      </c>
      <c r="I50" s="602"/>
      <c r="J50" s="619"/>
      <c r="K50" s="618">
        <f t="shared" ca="1" si="6"/>
        <v>1059139.9402864368</v>
      </c>
      <c r="L50" s="618">
        <f ca="1">K50*'Revenues &amp; Expenses'!N51</f>
        <v>819351.32270174124</v>
      </c>
      <c r="M50" s="618">
        <f ca="1">SUM(L50:$L$257)</f>
        <v>96655243.102425158</v>
      </c>
      <c r="O50" s="602">
        <f ca="1">HLOOKUP(C50,'Debt Amortization'!$H$5:$AB$9,5)</f>
        <v>113167737.64935613</v>
      </c>
    </row>
    <row r="51" spans="1:15">
      <c r="A51" s="615">
        <f t="shared" si="5"/>
        <v>41</v>
      </c>
      <c r="B51" s="602">
        <v>31</v>
      </c>
      <c r="C51" s="616">
        <v>37925</v>
      </c>
      <c r="D51" s="617">
        <f ca="1">D53</f>
        <v>1</v>
      </c>
      <c r="E51" s="602">
        <f>SUM('Revenues &amp; Expenses'!BJ52:$BJ$258)</f>
        <v>108572374.39643109</v>
      </c>
      <c r="F51" s="618">
        <f t="shared" ca="1" si="7"/>
        <v>95835891.779723525</v>
      </c>
      <c r="G51" s="635">
        <f t="shared" ca="1" si="3"/>
        <v>12736482.616707563</v>
      </c>
      <c r="H51" s="635">
        <f t="shared" ca="1" si="4"/>
        <v>0</v>
      </c>
      <c r="I51" s="602"/>
      <c r="J51" s="619"/>
      <c r="K51" s="618">
        <f t="shared" ca="1" si="6"/>
        <v>1059139.9402864368</v>
      </c>
      <c r="L51" s="618">
        <f ca="1">K51*'Revenues &amp; Expenses'!N52</f>
        <v>814438.88508176967</v>
      </c>
      <c r="M51" s="618">
        <f ca="1">SUM(L51:$L$257)</f>
        <v>95835891.779723436</v>
      </c>
      <c r="O51" s="602">
        <f ca="1">HLOOKUP(C51,'Debt Amortization'!$H$5:$AB$9,5)</f>
        <v>113167737.64935613</v>
      </c>
    </row>
    <row r="52" spans="1:15">
      <c r="A52" s="615">
        <f t="shared" si="5"/>
        <v>42</v>
      </c>
      <c r="B52" s="602">
        <v>30</v>
      </c>
      <c r="C52" s="616">
        <v>37955</v>
      </c>
      <c r="D52" s="617">
        <f ca="1">D53</f>
        <v>1</v>
      </c>
      <c r="E52" s="602">
        <f>SUM('Revenues &amp; Expenses'!BJ53:$BJ$258)</f>
        <v>108572374.39643109</v>
      </c>
      <c r="F52" s="618">
        <f t="shared" ca="1" si="7"/>
        <v>95021452.894641757</v>
      </c>
      <c r="G52" s="635">
        <f t="shared" ca="1" si="3"/>
        <v>13550921.501789331</v>
      </c>
      <c r="H52" s="635">
        <f t="shared" ca="1" si="4"/>
        <v>0</v>
      </c>
      <c r="I52" s="602"/>
      <c r="J52" s="619"/>
      <c r="K52" s="618">
        <f t="shared" ca="1" si="6"/>
        <v>1059139.9402864368</v>
      </c>
      <c r="L52" s="618">
        <f ca="1">K52*'Revenues &amp; Expenses'!N53</f>
        <v>809397.13628621818</v>
      </c>
      <c r="M52" s="618">
        <f ca="1">SUM(L52:$L$257)</f>
        <v>95021452.894641668</v>
      </c>
      <c r="O52" s="602">
        <f ca="1">HLOOKUP(C52,'Debt Amortization'!$H$5:$AB$9,5)</f>
        <v>113167737.64935613</v>
      </c>
    </row>
    <row r="53" spans="1:15">
      <c r="A53" s="615">
        <f t="shared" si="5"/>
        <v>43</v>
      </c>
      <c r="B53" s="602">
        <v>31</v>
      </c>
      <c r="C53" s="616">
        <v>37986</v>
      </c>
      <c r="D53" s="617">
        <f ca="1">'Deal Depiction'!J11</f>
        <v>1</v>
      </c>
      <c r="E53" s="602">
        <f>SUM('Revenues &amp; Expenses'!BJ54:$BJ$258)</f>
        <v>108572374.39643109</v>
      </c>
      <c r="F53" s="618">
        <f t="shared" ca="1" si="7"/>
        <v>94212055.758355528</v>
      </c>
      <c r="G53" s="635">
        <f t="shared" ca="1" si="3"/>
        <v>14360318.63807556</v>
      </c>
      <c r="H53" s="635">
        <f t="shared" ca="1" si="4"/>
        <v>0</v>
      </c>
      <c r="I53" s="602"/>
      <c r="J53" s="619"/>
      <c r="K53" s="618">
        <f t="shared" ca="1" si="6"/>
        <v>1059139.9402864368</v>
      </c>
      <c r="L53" s="618">
        <f ca="1">K53*'Revenues &amp; Expenses'!N54</f>
        <v>804541.65841618634</v>
      </c>
      <c r="M53" s="618">
        <f ca="1">SUM(L53:$L$257)</f>
        <v>94212055.758355439</v>
      </c>
      <c r="O53" s="602">
        <f ca="1">HLOOKUP(C53,'Debt Amortization'!$H$5:$AB$9,5)</f>
        <v>113167737.64935613</v>
      </c>
    </row>
    <row r="54" spans="1:15">
      <c r="A54" s="615">
        <f t="shared" si="5"/>
        <v>44</v>
      </c>
      <c r="B54" s="602">
        <v>31</v>
      </c>
      <c r="C54" s="616">
        <v>38017</v>
      </c>
      <c r="D54" s="617">
        <f ca="1">D65</f>
        <v>1</v>
      </c>
      <c r="E54" s="602">
        <f>SUM('Revenues &amp; Expenses'!BJ55:$BJ$258)</f>
        <v>108572374.39643109</v>
      </c>
      <c r="F54" s="618">
        <f t="shared" ca="1" si="7"/>
        <v>93407514.099939361</v>
      </c>
      <c r="G54" s="635">
        <f t="shared" ca="1" si="3"/>
        <v>15164860.296491727</v>
      </c>
      <c r="H54" s="635">
        <f t="shared" ca="1" si="4"/>
        <v>0</v>
      </c>
      <c r="K54" s="618">
        <f t="shared" ca="1" si="6"/>
        <v>1059139.9402864368</v>
      </c>
      <c r="L54" s="618">
        <f ca="1">K54*'Revenues &amp; Expenses'!N55</f>
        <v>799536.04018856527</v>
      </c>
      <c r="M54" s="618">
        <f ca="1">SUM(L54:$L$257)</f>
        <v>93407514.099939257</v>
      </c>
      <c r="O54" s="602">
        <f ca="1">HLOOKUP(C54,'Debt Amortization'!$H$5:$AB$9,5)</f>
        <v>110359273.21449378</v>
      </c>
    </row>
    <row r="55" spans="1:15">
      <c r="A55" s="615">
        <f t="shared" si="5"/>
        <v>45</v>
      </c>
      <c r="B55" s="602">
        <v>29</v>
      </c>
      <c r="C55" s="616">
        <v>38046</v>
      </c>
      <c r="D55" s="617">
        <f ca="1">D65</f>
        <v>1</v>
      </c>
      <c r="E55" s="602">
        <f>SUM('Revenues &amp; Expenses'!BJ56:$BJ$258)</f>
        <v>108572374.39643109</v>
      </c>
      <c r="F55" s="618">
        <f t="shared" ca="1" si="7"/>
        <v>92607978.059750795</v>
      </c>
      <c r="G55" s="635">
        <f t="shared" ca="1" si="3"/>
        <v>15964396.336680293</v>
      </c>
      <c r="H55" s="635">
        <f t="shared" ca="1" si="4"/>
        <v>0</v>
      </c>
      <c r="K55" s="618">
        <f t="shared" ca="1" si="6"/>
        <v>1059139.9402864368</v>
      </c>
      <c r="L55" s="618">
        <f ca="1">K55*'Revenues &amp; Expenses'!N56</f>
        <v>794541.0281971402</v>
      </c>
      <c r="M55" s="618">
        <f ca="1">SUM(L55:$L$257)</f>
        <v>92607978.059750706</v>
      </c>
      <c r="O55" s="602">
        <f ca="1">HLOOKUP(C55,'Debt Amortization'!$H$5:$AB$9,5)</f>
        <v>110359273.21449378</v>
      </c>
    </row>
    <row r="56" spans="1:15">
      <c r="A56" s="615">
        <f t="shared" si="5"/>
        <v>46</v>
      </c>
      <c r="B56" s="602">
        <v>31</v>
      </c>
      <c r="C56" s="616">
        <v>38077</v>
      </c>
      <c r="D56" s="617">
        <f ca="1">D65</f>
        <v>1</v>
      </c>
      <c r="E56" s="602">
        <f>SUM('Revenues &amp; Expenses'!BJ57:$BJ$258)</f>
        <v>108572374.39643109</v>
      </c>
      <c r="F56" s="618">
        <f t="shared" ca="1" si="7"/>
        <v>91813437.031553656</v>
      </c>
      <c r="G56" s="635">
        <f t="shared" ca="1" si="3"/>
        <v>16758937.364877433</v>
      </c>
      <c r="H56" s="635">
        <f t="shared" ca="1" si="4"/>
        <v>0</v>
      </c>
      <c r="K56" s="618">
        <f t="shared" ca="1" si="6"/>
        <v>1059139.9402864368</v>
      </c>
      <c r="L56" s="618">
        <f ca="1">K56*'Revenues &amp; Expenses'!N57</f>
        <v>789889.8466712744</v>
      </c>
      <c r="M56" s="618">
        <f ca="1">SUM(L56:$L$257)</f>
        <v>91813437.031553566</v>
      </c>
      <c r="O56" s="602">
        <f ca="1">HLOOKUP(C56,'Debt Amortization'!$H$5:$AB$9,5)</f>
        <v>110359273.21449378</v>
      </c>
    </row>
    <row r="57" spans="1:15">
      <c r="A57" s="615">
        <f t="shared" si="5"/>
        <v>47</v>
      </c>
      <c r="B57" s="602">
        <v>30</v>
      </c>
      <c r="C57" s="616">
        <v>38107</v>
      </c>
      <c r="D57" s="617">
        <f ca="1">D65</f>
        <v>1</v>
      </c>
      <c r="E57" s="602">
        <f>SUM('Revenues &amp; Expenses'!BJ58:$BJ$258)</f>
        <v>108572374.39643109</v>
      </c>
      <c r="F57" s="618">
        <f t="shared" ca="1" si="7"/>
        <v>91023547.184882388</v>
      </c>
      <c r="G57" s="635">
        <f t="shared" ca="1" si="3"/>
        <v>17548827.211548701</v>
      </c>
      <c r="H57" s="635">
        <f t="shared" ca="1" si="4"/>
        <v>0</v>
      </c>
      <c r="K57" s="618">
        <f t="shared" ca="1" si="6"/>
        <v>1059139.9402864368</v>
      </c>
      <c r="L57" s="618">
        <f ca="1">K57*'Revenues &amp; Expenses'!N58</f>
        <v>784938.20903620822</v>
      </c>
      <c r="M57" s="618">
        <f ca="1">SUM(L57:$L$257)</f>
        <v>91023547.184882313</v>
      </c>
      <c r="O57" s="602">
        <f ca="1">HLOOKUP(C57,'Debt Amortization'!$H$5:$AB$9,5)</f>
        <v>110359273.21449378</v>
      </c>
    </row>
    <row r="58" spans="1:15">
      <c r="A58" s="615">
        <f t="shared" si="5"/>
        <v>48</v>
      </c>
      <c r="B58" s="602">
        <v>31</v>
      </c>
      <c r="C58" s="616">
        <v>38138</v>
      </c>
      <c r="D58" s="617">
        <f ca="1">D65</f>
        <v>1</v>
      </c>
      <c r="E58" s="602">
        <f>SUM('Revenues &amp; Expenses'!BJ59:$BJ$258)</f>
        <v>108572374.39643109</v>
      </c>
      <c r="F58" s="618">
        <f t="shared" ca="1" si="7"/>
        <v>90238608.975846186</v>
      </c>
      <c r="G58" s="635">
        <f t="shared" ca="1" si="3"/>
        <v>18333765.420584902</v>
      </c>
      <c r="H58" s="635">
        <f t="shared" ca="1" si="4"/>
        <v>0</v>
      </c>
      <c r="K58" s="618">
        <f t="shared" ca="1" si="6"/>
        <v>1059139.9402864368</v>
      </c>
      <c r="L58" s="618">
        <f ca="1">K58*'Revenues &amp; Expenses'!N59</f>
        <v>780165.99903198809</v>
      </c>
      <c r="M58" s="618">
        <f ca="1">SUM(L58:$L$257)</f>
        <v>90238608.975846112</v>
      </c>
      <c r="O58" s="602">
        <f ca="1">HLOOKUP(C58,'Debt Amortization'!$H$5:$AB$9,5)</f>
        <v>110359273.21449378</v>
      </c>
    </row>
    <row r="59" spans="1:15">
      <c r="A59" s="615">
        <f t="shared" si="5"/>
        <v>49</v>
      </c>
      <c r="B59" s="602">
        <v>30</v>
      </c>
      <c r="C59" s="616">
        <v>38168</v>
      </c>
      <c r="D59" s="617">
        <f ca="1">D65</f>
        <v>1</v>
      </c>
      <c r="E59" s="602">
        <f>SUM('Revenues &amp; Expenses'!BJ60:$BJ$258)</f>
        <v>108572374.39643109</v>
      </c>
      <c r="F59" s="618">
        <f t="shared" ca="1" si="7"/>
        <v>89458442.976814196</v>
      </c>
      <c r="G59" s="635">
        <f t="shared" ca="1" si="3"/>
        <v>19113931.419616893</v>
      </c>
      <c r="H59" s="635">
        <f t="shared" ca="1" si="4"/>
        <v>0</v>
      </c>
      <c r="K59" s="618">
        <f t="shared" ca="1" si="6"/>
        <v>1059139.9402864368</v>
      </c>
      <c r="L59" s="618">
        <f ca="1">K59*'Revenues &amp; Expenses'!N60</f>
        <v>775257.84803938051</v>
      </c>
      <c r="M59" s="618">
        <f ca="1">SUM(L59:$L$257)</f>
        <v>89458442.976814121</v>
      </c>
      <c r="O59" s="602">
        <f ca="1">HLOOKUP(C59,'Debt Amortization'!$H$5:$AB$9,5)</f>
        <v>110359273.21449378</v>
      </c>
    </row>
    <row r="60" spans="1:15">
      <c r="A60" s="615">
        <f t="shared" si="5"/>
        <v>50</v>
      </c>
      <c r="B60" s="602">
        <v>31</v>
      </c>
      <c r="C60" s="616">
        <v>38199</v>
      </c>
      <c r="D60" s="617">
        <f ca="1">D65</f>
        <v>1</v>
      </c>
      <c r="E60" s="602">
        <f>SUM('Revenues &amp; Expenses'!BJ61:$BJ$258)</f>
        <v>107336111.38513844</v>
      </c>
      <c r="F60" s="618">
        <f t="shared" ca="1" si="7"/>
        <v>88683185.128774822</v>
      </c>
      <c r="G60" s="635">
        <f t="shared" ca="1" si="3"/>
        <v>18652926.256363615</v>
      </c>
      <c r="H60" s="635">
        <f t="shared" ca="1" si="4"/>
        <v>0</v>
      </c>
      <c r="K60" s="618">
        <f t="shared" ca="1" si="6"/>
        <v>1059139.9402864368</v>
      </c>
      <c r="L60" s="618">
        <f ca="1">K60*'Revenues &amp; Expenses'!N61</f>
        <v>770530.36124207918</v>
      </c>
      <c r="M60" s="618">
        <f ca="1">SUM(L60:$L$257)</f>
        <v>88683185.128774732</v>
      </c>
      <c r="O60" s="602">
        <f ca="1">HLOOKUP(C60,'Debt Amortization'!$H$5:$AB$9,5)</f>
        <v>110359273.21449378</v>
      </c>
    </row>
    <row r="61" spans="1:15">
      <c r="A61" s="615">
        <f t="shared" si="5"/>
        <v>51</v>
      </c>
      <c r="B61" s="602">
        <v>31</v>
      </c>
      <c r="C61" s="616">
        <v>38230</v>
      </c>
      <c r="D61" s="617">
        <f ca="1">D65</f>
        <v>1</v>
      </c>
      <c r="E61" s="602">
        <f>SUM('Revenues &amp; Expenses'!BJ62:$BJ$258)</f>
        <v>103224897.95313154</v>
      </c>
      <c r="F61" s="618">
        <f t="shared" ca="1" si="7"/>
        <v>87912654.767532736</v>
      </c>
      <c r="G61" s="635">
        <f t="shared" ca="1" si="3"/>
        <v>15312243.185598806</v>
      </c>
      <c r="H61" s="635">
        <f t="shared" ca="1" si="4"/>
        <v>0</v>
      </c>
      <c r="K61" s="618">
        <f t="shared" ca="1" si="6"/>
        <v>1059139.9402864368</v>
      </c>
      <c r="L61" s="618">
        <f ca="1">K61*'Revenues &amp; Expenses'!N62</f>
        <v>765668.32058165874</v>
      </c>
      <c r="M61" s="618">
        <f ca="1">SUM(L61:$L$257)</f>
        <v>87912654.767532647</v>
      </c>
      <c r="O61" s="602">
        <f ca="1">HLOOKUP(C61,'Debt Amortization'!$H$5:$AB$9,5)</f>
        <v>110359273.21449378</v>
      </c>
    </row>
    <row r="62" spans="1:15">
      <c r="A62" s="615">
        <f t="shared" si="5"/>
        <v>52</v>
      </c>
      <c r="B62" s="602">
        <v>30</v>
      </c>
      <c r="C62" s="616">
        <v>38260</v>
      </c>
      <c r="D62" s="617">
        <f ca="1">D65</f>
        <v>1</v>
      </c>
      <c r="E62" s="602">
        <f>SUM('Revenues &amp; Expenses'!BJ63:$BJ$258)</f>
        <v>100170696.8000201</v>
      </c>
      <c r="F62" s="618">
        <f t="shared" ca="1" si="7"/>
        <v>87146986.446951091</v>
      </c>
      <c r="G62" s="635">
        <f t="shared" ca="1" si="3"/>
        <v>13023710.353069007</v>
      </c>
      <c r="H62" s="635">
        <f t="shared" ca="1" si="4"/>
        <v>0</v>
      </c>
      <c r="K62" s="618">
        <f t="shared" ca="1" si="6"/>
        <v>1059139.9402864368</v>
      </c>
      <c r="L62" s="618">
        <f ca="1">K62*'Revenues &amp; Expenses'!N63</f>
        <v>760829.63301257195</v>
      </c>
      <c r="M62" s="618">
        <f ca="1">SUM(L62:$L$257)</f>
        <v>87146986.446950972</v>
      </c>
      <c r="O62" s="602">
        <f ca="1">HLOOKUP(C62,'Debt Amortization'!$H$5:$AB$9,5)</f>
        <v>110359273.21449378</v>
      </c>
    </row>
    <row r="63" spans="1:15">
      <c r="A63" s="615">
        <f t="shared" si="5"/>
        <v>53</v>
      </c>
      <c r="B63" s="602">
        <v>31</v>
      </c>
      <c r="C63" s="616">
        <v>38291</v>
      </c>
      <c r="D63" s="617">
        <f ca="1">D65</f>
        <v>1</v>
      </c>
      <c r="E63" s="602">
        <f>SUM('Revenues &amp; Expenses'!BJ64:$BJ$258)</f>
        <v>100170696.8000201</v>
      </c>
      <c r="F63" s="618">
        <f t="shared" ca="1" si="7"/>
        <v>86386156.813938513</v>
      </c>
      <c r="G63" s="635">
        <f t="shared" ca="1" si="3"/>
        <v>13784539.986081585</v>
      </c>
      <c r="H63" s="635">
        <f t="shared" ca="1" si="4"/>
        <v>0</v>
      </c>
      <c r="K63" s="618">
        <f t="shared" ca="1" si="6"/>
        <v>1059139.9402864368</v>
      </c>
      <c r="L63" s="618">
        <f ca="1">K63*'Revenues &amp; Expenses'!N64</f>
        <v>756169.21617549367</v>
      </c>
      <c r="M63" s="618">
        <f ca="1">SUM(L63:$L$257)</f>
        <v>86386156.813938409</v>
      </c>
      <c r="O63" s="602">
        <f ca="1">HLOOKUP(C63,'Debt Amortization'!$H$5:$AB$9,5)</f>
        <v>110359273.21449378</v>
      </c>
    </row>
    <row r="64" spans="1:15">
      <c r="A64" s="615">
        <f t="shared" si="5"/>
        <v>54</v>
      </c>
      <c r="B64" s="602">
        <v>30</v>
      </c>
      <c r="C64" s="616">
        <v>38321</v>
      </c>
      <c r="D64" s="617">
        <f ca="1">D65</f>
        <v>1</v>
      </c>
      <c r="E64" s="602">
        <f>SUM('Revenues &amp; Expenses'!BJ65:$BJ$258)</f>
        <v>100170696.8000201</v>
      </c>
      <c r="F64" s="618">
        <f t="shared" ca="1" si="7"/>
        <v>85629987.597763032</v>
      </c>
      <c r="G64" s="635">
        <f t="shared" ca="1" si="3"/>
        <v>14540709.202257067</v>
      </c>
      <c r="H64" s="635">
        <f t="shared" ca="1" si="4"/>
        <v>0</v>
      </c>
      <c r="K64" s="618">
        <f t="shared" ca="1" si="6"/>
        <v>1059139.9402864368</v>
      </c>
      <c r="L64" s="618">
        <f ca="1">K64*'Revenues &amp; Expenses'!N65</f>
        <v>751376.32236870565</v>
      </c>
      <c r="M64" s="618">
        <f ca="1">SUM(L64:$L$257)</f>
        <v>85629987.597762913</v>
      </c>
      <c r="O64" s="602">
        <f ca="1">HLOOKUP(C64,'Debt Amortization'!$H$5:$AB$9,5)</f>
        <v>110359273.21449378</v>
      </c>
    </row>
    <row r="65" spans="1:15">
      <c r="A65" s="615">
        <f t="shared" si="5"/>
        <v>55</v>
      </c>
      <c r="B65" s="602">
        <v>31</v>
      </c>
      <c r="C65" s="616">
        <v>38352</v>
      </c>
      <c r="D65" s="617">
        <f ca="1">'Deal Depiction'!J12</f>
        <v>1</v>
      </c>
      <c r="E65" s="602">
        <f>SUM('Revenues &amp; Expenses'!BJ66:$BJ$258)</f>
        <v>100170696.8000201</v>
      </c>
      <c r="F65" s="618">
        <f t="shared" ca="1" si="7"/>
        <v>84878611.275394306</v>
      </c>
      <c r="G65" s="635">
        <f t="shared" ca="1" si="3"/>
        <v>15292085.524625793</v>
      </c>
      <c r="H65" s="635">
        <f t="shared" ca="1" si="4"/>
        <v>0</v>
      </c>
      <c r="K65" s="618">
        <f t="shared" ca="1" si="6"/>
        <v>1059139.9402864368</v>
      </c>
      <c r="L65" s="618">
        <f ca="1">K65*'Revenues &amp; Expenses'!N66</f>
        <v>746760.11927791405</v>
      </c>
      <c r="M65" s="618">
        <f ca="1">SUM(L65:$L$257)</f>
        <v>84878611.275394201</v>
      </c>
      <c r="O65" s="602">
        <f ca="1">HLOOKUP(C65,'Debt Amortization'!$H$5:$AB$9,5)</f>
        <v>107305092.02022858</v>
      </c>
    </row>
    <row r="66" spans="1:15">
      <c r="A66" s="615">
        <f t="shared" si="5"/>
        <v>56</v>
      </c>
      <c r="B66" s="602">
        <v>31</v>
      </c>
      <c r="C66" s="616">
        <v>38383</v>
      </c>
      <c r="D66" s="617">
        <f ca="1">D77</f>
        <v>1</v>
      </c>
      <c r="E66" s="602">
        <f>SUM('Revenues &amp; Expenses'!BJ67:$BJ$258)</f>
        <v>100170696.8000201</v>
      </c>
      <c r="F66" s="618">
        <f t="shared" ca="1" si="7"/>
        <v>84131851.156116396</v>
      </c>
      <c r="G66" s="635">
        <f t="shared" ca="1" si="3"/>
        <v>16038845.643903702</v>
      </c>
      <c r="H66" s="635">
        <f t="shared" ca="1" si="4"/>
        <v>0</v>
      </c>
      <c r="K66" s="618">
        <f t="shared" ca="1" si="6"/>
        <v>1059139.9402864368</v>
      </c>
      <c r="L66" s="618">
        <f ca="1">K66*'Revenues &amp; Expenses'!N67</f>
        <v>742012.80615886406</v>
      </c>
      <c r="M66" s="618">
        <f ca="1">SUM(L66:$L$257)</f>
        <v>84131851.156116277</v>
      </c>
      <c r="O66" s="602">
        <f ca="1">HLOOKUP(C66,'Debt Amortization'!$H$5:$AB$9,5)</f>
        <v>107305092.02022858</v>
      </c>
    </row>
    <row r="67" spans="1:15">
      <c r="A67" s="615">
        <f t="shared" si="5"/>
        <v>57</v>
      </c>
      <c r="B67" s="602">
        <v>28</v>
      </c>
      <c r="C67" s="616">
        <v>38411</v>
      </c>
      <c r="D67" s="617">
        <f ca="1">D77</f>
        <v>1</v>
      </c>
      <c r="E67" s="602">
        <f>SUM('Revenues &amp; Expenses'!BJ68:$BJ$258)</f>
        <v>100170696.8000201</v>
      </c>
      <c r="F67" s="618">
        <f t="shared" ca="1" si="7"/>
        <v>83389838.349957526</v>
      </c>
      <c r="G67" s="635">
        <f t="shared" ca="1" si="3"/>
        <v>16780858.450062573</v>
      </c>
      <c r="H67" s="635">
        <f t="shared" ca="1" si="4"/>
        <v>0</v>
      </c>
      <c r="K67" s="618">
        <f t="shared" ca="1" si="6"/>
        <v>1059139.9402864368</v>
      </c>
      <c r="L67" s="618">
        <f ca="1">K67*'Revenues &amp; Expenses'!N68</f>
        <v>737288.57454945566</v>
      </c>
      <c r="M67" s="618">
        <f ca="1">SUM(L67:$L$257)</f>
        <v>83389838.349957407</v>
      </c>
      <c r="O67" s="602">
        <f ca="1">HLOOKUP(C67,'Debt Amortization'!$H$5:$AB$9,5)</f>
        <v>107305092.02022858</v>
      </c>
    </row>
    <row r="68" spans="1:15">
      <c r="A68" s="615">
        <f t="shared" si="5"/>
        <v>58</v>
      </c>
      <c r="B68" s="602">
        <v>31</v>
      </c>
      <c r="C68" s="616">
        <v>38442</v>
      </c>
      <c r="D68" s="617">
        <f ca="1">D77</f>
        <v>1</v>
      </c>
      <c r="E68" s="602">
        <f>SUM('Revenues &amp; Expenses'!BJ69:$BJ$258)</f>
        <v>100170696.8000201</v>
      </c>
      <c r="F68" s="618">
        <f t="shared" ca="1" si="7"/>
        <v>82652549.775408074</v>
      </c>
      <c r="G68" s="635">
        <f t="shared" ca="1" si="3"/>
        <v>17518147.024612024</v>
      </c>
      <c r="H68" s="635">
        <f t="shared" ca="1" si="4"/>
        <v>0</v>
      </c>
      <c r="K68" s="618">
        <f t="shared" ca="1" si="6"/>
        <v>1059139.9402864368</v>
      </c>
      <c r="L68" s="618">
        <f ca="1">K68*'Revenues &amp; Expenses'!N69</f>
        <v>733041.31913558149</v>
      </c>
      <c r="M68" s="618">
        <f ca="1">SUM(L68:$L$257)</f>
        <v>82652549.77540797</v>
      </c>
      <c r="O68" s="602">
        <f ca="1">HLOOKUP(C68,'Debt Amortization'!$H$5:$AB$9,5)</f>
        <v>107305092.02022858</v>
      </c>
    </row>
    <row r="69" spans="1:15">
      <c r="A69" s="615">
        <f t="shared" si="5"/>
        <v>59</v>
      </c>
      <c r="B69" s="602">
        <v>30</v>
      </c>
      <c r="C69" s="616">
        <v>38472</v>
      </c>
      <c r="D69" s="617">
        <f ca="1">D77</f>
        <v>1</v>
      </c>
      <c r="E69" s="602">
        <f>SUM('Revenues &amp; Expenses'!BJ70:$BJ$258)</f>
        <v>100170696.8000201</v>
      </c>
      <c r="F69" s="618">
        <f t="shared" ca="1" si="7"/>
        <v>81919508.456272483</v>
      </c>
      <c r="G69" s="635">
        <f t="shared" ca="1" si="3"/>
        <v>18251188.343747616</v>
      </c>
      <c r="H69" s="635">
        <f t="shared" ca="1" si="4"/>
        <v>0</v>
      </c>
      <c r="K69" s="618">
        <f t="shared" ca="1" si="6"/>
        <v>1059139.9402864368</v>
      </c>
      <c r="L69" s="618">
        <f ca="1">K69*'Revenues &amp; Expenses'!N70</f>
        <v>728462.73111196107</v>
      </c>
      <c r="M69" s="618">
        <f ca="1">SUM(L69:$L$257)</f>
        <v>81919508.456272364</v>
      </c>
      <c r="O69" s="602">
        <f ca="1">HLOOKUP(C69,'Debt Amortization'!$H$5:$AB$9,5)</f>
        <v>107305092.02022858</v>
      </c>
    </row>
    <row r="70" spans="1:15">
      <c r="A70" s="615">
        <f t="shared" si="5"/>
        <v>60</v>
      </c>
      <c r="B70" s="602">
        <v>31</v>
      </c>
      <c r="C70" s="616">
        <v>38503</v>
      </c>
      <c r="D70" s="617">
        <f ca="1">D77</f>
        <v>1</v>
      </c>
      <c r="E70" s="602">
        <f>SUM('Revenues &amp; Expenses'!BJ71:$BJ$258)</f>
        <v>100170696.8000201</v>
      </c>
      <c r="F70" s="618">
        <f t="shared" ca="1" si="7"/>
        <v>81191045.725160524</v>
      </c>
      <c r="G70" s="635">
        <f t="shared" ca="1" si="3"/>
        <v>18979651.074859574</v>
      </c>
      <c r="H70" s="635">
        <f t="shared" ca="1" si="4"/>
        <v>0</v>
      </c>
      <c r="K70" s="618">
        <f t="shared" ca="1" si="6"/>
        <v>1059139.9402864368</v>
      </c>
      <c r="L70" s="618">
        <f ca="1">K70*'Revenues &amp; Expenses'!N71</f>
        <v>724079.46969813749</v>
      </c>
      <c r="M70" s="618">
        <f ca="1">SUM(L70:$L$257)</f>
        <v>81191045.72516042</v>
      </c>
      <c r="O70" s="602">
        <f ca="1">HLOOKUP(C70,'Debt Amortization'!$H$5:$AB$9,5)</f>
        <v>107305092.02022858</v>
      </c>
    </row>
    <row r="71" spans="1:15">
      <c r="A71" s="615">
        <f t="shared" si="5"/>
        <v>61</v>
      </c>
      <c r="B71" s="602">
        <v>30</v>
      </c>
      <c r="C71" s="616">
        <v>38533</v>
      </c>
      <c r="D71" s="617">
        <f ca="1">D77</f>
        <v>1</v>
      </c>
      <c r="E71" s="602">
        <f>SUM('Revenues &amp; Expenses'!BJ72:$BJ$258)</f>
        <v>100170696.8000201</v>
      </c>
      <c r="F71" s="618">
        <f t="shared" ca="1" si="7"/>
        <v>80466966.255462393</v>
      </c>
      <c r="G71" s="635">
        <f t="shared" ca="1" si="3"/>
        <v>19703730.544557706</v>
      </c>
      <c r="H71" s="635">
        <f t="shared" ca="1" si="4"/>
        <v>0</v>
      </c>
      <c r="K71" s="618">
        <f t="shared" ca="1" si="6"/>
        <v>1059139.9402864368</v>
      </c>
      <c r="L71" s="618">
        <f ca="1">K71*'Revenues &amp; Expenses'!N72</f>
        <v>719574.99632000725</v>
      </c>
      <c r="M71" s="618">
        <f ca="1">SUM(L71:$L$257)</f>
        <v>80466966.255462289</v>
      </c>
      <c r="O71" s="602">
        <f ca="1">HLOOKUP(C71,'Debt Amortization'!$H$5:$AB$9,5)</f>
        <v>107305092.02022858</v>
      </c>
    </row>
    <row r="72" spans="1:15">
      <c r="A72" s="615">
        <f t="shared" si="5"/>
        <v>62</v>
      </c>
      <c r="B72" s="602">
        <v>31</v>
      </c>
      <c r="C72" s="616">
        <v>38564</v>
      </c>
      <c r="D72" s="617">
        <f ca="1">D77</f>
        <v>1</v>
      </c>
      <c r="E72" s="602">
        <f>SUM('Revenues &amp; Expenses'!BJ73:$BJ$258)</f>
        <v>98997706.98102884</v>
      </c>
      <c r="F72" s="618">
        <f t="shared" ca="1" si="7"/>
        <v>79747391.259142369</v>
      </c>
      <c r="G72" s="635">
        <f t="shared" ca="1" si="3"/>
        <v>19250315.721886471</v>
      </c>
      <c r="H72" s="635">
        <f t="shared" ca="1" si="4"/>
        <v>0</v>
      </c>
      <c r="K72" s="618">
        <f t="shared" ca="1" si="6"/>
        <v>1059139.9402864368</v>
      </c>
      <c r="L72" s="618">
        <f ca="1">K72*'Revenues &amp; Expenses'!N73</f>
        <v>715239.80874340981</v>
      </c>
      <c r="M72" s="618">
        <f ca="1">SUM(L72:$L$257)</f>
        <v>79747391.25914228</v>
      </c>
      <c r="O72" s="602">
        <f ca="1">HLOOKUP(C72,'Debt Amortization'!$H$5:$AB$9,5)</f>
        <v>107305092.02022858</v>
      </c>
    </row>
    <row r="73" spans="1:15">
      <c r="A73" s="615">
        <f t="shared" si="5"/>
        <v>63</v>
      </c>
      <c r="B73" s="602">
        <v>31</v>
      </c>
      <c r="C73" s="616">
        <v>38595</v>
      </c>
      <c r="D73" s="617">
        <f ca="1">D77</f>
        <v>1</v>
      </c>
      <c r="E73" s="602">
        <f>SUM('Revenues &amp; Expenses'!BJ74:$BJ$258)</f>
        <v>95070195.799377978</v>
      </c>
      <c r="F73" s="618">
        <f t="shared" ca="1" si="7"/>
        <v>79032151.450398967</v>
      </c>
      <c r="G73" s="635">
        <f t="shared" ca="1" si="3"/>
        <v>16038044.348979011</v>
      </c>
      <c r="H73" s="635">
        <f t="shared" ca="1" si="4"/>
        <v>0</v>
      </c>
      <c r="K73" s="618">
        <f t="shared" ca="1" si="6"/>
        <v>1059139.9402864368</v>
      </c>
      <c r="L73" s="618">
        <f ca="1">K73*'Revenues &amp; Expenses'!N74</f>
        <v>710784.77641316713</v>
      </c>
      <c r="M73" s="618">
        <f ca="1">SUM(L73:$L$257)</f>
        <v>79032151.450398892</v>
      </c>
      <c r="O73" s="602">
        <f ca="1">HLOOKUP(C73,'Debt Amortization'!$H$5:$AB$9,5)</f>
        <v>107305092.02022858</v>
      </c>
    </row>
    <row r="74" spans="1:15">
      <c r="A74" s="615">
        <f t="shared" si="5"/>
        <v>64</v>
      </c>
      <c r="B74" s="602">
        <v>30</v>
      </c>
      <c r="C74" s="616">
        <v>38625</v>
      </c>
      <c r="D74" s="617">
        <f ca="1">D77</f>
        <v>1</v>
      </c>
      <c r="E74" s="602">
        <f>SUM('Revenues &amp; Expenses'!BJ75:$BJ$258)</f>
        <v>91985786.210550532</v>
      </c>
      <c r="F74" s="618">
        <f t="shared" ca="1" si="7"/>
        <v>78321366.673985794</v>
      </c>
      <c r="G74" s="635">
        <f t="shared" ca="1" si="3"/>
        <v>13664419.536564738</v>
      </c>
      <c r="H74" s="635">
        <f t="shared" ca="1" si="4"/>
        <v>0</v>
      </c>
      <c r="K74" s="618">
        <f t="shared" ca="1" si="6"/>
        <v>1059139.9402864368</v>
      </c>
      <c r="L74" s="618">
        <f ca="1">K74*'Revenues &amp; Expenses'!N75</f>
        <v>706354.69033167569</v>
      </c>
      <c r="M74" s="618">
        <f ca="1">SUM(L74:$L$257)</f>
        <v>78321366.67398572</v>
      </c>
      <c r="O74" s="602">
        <f ca="1">HLOOKUP(C74,'Debt Amortization'!$H$5:$AB$9,5)</f>
        <v>107305092.02022858</v>
      </c>
    </row>
    <row r="75" spans="1:15">
      <c r="A75" s="615">
        <f t="shared" si="5"/>
        <v>65</v>
      </c>
      <c r="B75" s="602">
        <v>31</v>
      </c>
      <c r="C75" s="616">
        <v>38656</v>
      </c>
      <c r="D75" s="617">
        <f ca="1">D77</f>
        <v>1</v>
      </c>
      <c r="E75" s="602">
        <f>SUM('Revenues &amp; Expenses'!BJ76:$BJ$258)</f>
        <v>91985786.210550532</v>
      </c>
      <c r="F75" s="618">
        <f t="shared" ca="1" si="7"/>
        <v>77615011.983654127</v>
      </c>
      <c r="G75" s="635">
        <f t="shared" ca="1" si="3"/>
        <v>14370774.226896405</v>
      </c>
      <c r="H75" s="635">
        <f t="shared" ca="1" si="4"/>
        <v>0</v>
      </c>
      <c r="K75" s="618">
        <f t="shared" ca="1" si="6"/>
        <v>1059139.9402864368</v>
      </c>
      <c r="L75" s="618">
        <f ca="1">K75*'Revenues &amp; Expenses'!N76</f>
        <v>702091.14901169902</v>
      </c>
      <c r="M75" s="618">
        <f ca="1">SUM(L75:$L$257)</f>
        <v>77615011.983654052</v>
      </c>
      <c r="O75" s="602">
        <f ca="1">HLOOKUP(C75,'Debt Amortization'!$H$5:$AB$9,5)</f>
        <v>107305092.02022858</v>
      </c>
    </row>
    <row r="76" spans="1:15">
      <c r="A76" s="615">
        <f t="shared" si="5"/>
        <v>66</v>
      </c>
      <c r="B76" s="602">
        <v>30</v>
      </c>
      <c r="C76" s="616">
        <v>38686</v>
      </c>
      <c r="D76" s="617">
        <f ca="1">D77</f>
        <v>1</v>
      </c>
      <c r="E76" s="602">
        <f>SUM('Revenues &amp; Expenses'!BJ77:$BJ$258)</f>
        <v>91985786.210550532</v>
      </c>
      <c r="F76" s="618">
        <f t="shared" ca="1" si="7"/>
        <v>76912920.83464244</v>
      </c>
      <c r="G76" s="635">
        <f t="shared" ref="G76:G139" ca="1" si="8">IF(AND(D76=1,E76-F76&gt;0),E76-F76,0)</f>
        <v>15072865.375908092</v>
      </c>
      <c r="H76" s="635">
        <f t="shared" ref="H76:H139" ca="1" si="9">IF(AND(D76=1,F76-E76&gt;0),F76-E76,0)</f>
        <v>0</v>
      </c>
      <c r="K76" s="618">
        <f t="shared" ref="K76:K139" ca="1" si="10">($K$2*315000)/12</f>
        <v>1059139.9402864368</v>
      </c>
      <c r="L76" s="618">
        <f ca="1">K76*'Revenues &amp; Expenses'!N77</f>
        <v>697709.79963215371</v>
      </c>
      <c r="M76" s="618">
        <f ca="1">SUM(L76:$L$257)</f>
        <v>76912920.834642351</v>
      </c>
      <c r="O76" s="602">
        <f ca="1">HLOOKUP(C76,'Debt Amortization'!$H$5:$AB$9,5)</f>
        <v>107305092.02022858</v>
      </c>
    </row>
    <row r="77" spans="1:15">
      <c r="A77" s="615">
        <f t="shared" ref="A77:A140" si="11">A76+1</f>
        <v>67</v>
      </c>
      <c r="B77" s="602">
        <v>31</v>
      </c>
      <c r="C77" s="616">
        <v>38717</v>
      </c>
      <c r="D77" s="617">
        <f ca="1">'Deal Depiction'!J13</f>
        <v>1</v>
      </c>
      <c r="E77" s="602">
        <f>SUM('Revenues &amp; Expenses'!BJ78:$BJ$258)</f>
        <v>91985786.210550532</v>
      </c>
      <c r="F77" s="618">
        <f t="shared" ca="1" si="7"/>
        <v>76215211.035010278</v>
      </c>
      <c r="G77" s="635">
        <f t="shared" ca="1" si="8"/>
        <v>15770575.175540254</v>
      </c>
      <c r="H77" s="635">
        <f t="shared" ca="1" si="9"/>
        <v>0</v>
      </c>
      <c r="K77" s="618">
        <f t="shared" ca="1" si="10"/>
        <v>1059139.9402864368</v>
      </c>
      <c r="L77" s="618">
        <f ca="1">K77*'Revenues &amp; Expenses'!N78</f>
        <v>693493.19857160747</v>
      </c>
      <c r="M77" s="618">
        <f ca="1">SUM(L77:$L$257)</f>
        <v>76215211.035010189</v>
      </c>
      <c r="O77" s="602">
        <f ca="1">HLOOKUP(C77,'Debt Amortization'!$H$5:$AB$9,5)</f>
        <v>107305092.02022858</v>
      </c>
    </row>
    <row r="78" spans="1:15">
      <c r="A78" s="615">
        <f t="shared" si="11"/>
        <v>68</v>
      </c>
      <c r="B78" s="602">
        <v>31</v>
      </c>
      <c r="C78" s="616">
        <v>38748</v>
      </c>
      <c r="D78" s="617">
        <f ca="1">D89</f>
        <v>1</v>
      </c>
      <c r="E78" s="602">
        <f>SUM('Revenues &amp; Expenses'!BJ79:$BJ$258)</f>
        <v>91985786.210550532</v>
      </c>
      <c r="F78" s="618">
        <f t="shared" ca="1" si="7"/>
        <v>75521717.836438671</v>
      </c>
      <c r="G78" s="635">
        <f t="shared" ca="1" si="8"/>
        <v>16464068.374111861</v>
      </c>
      <c r="H78" s="635">
        <f t="shared" ca="1" si="9"/>
        <v>0</v>
      </c>
      <c r="K78" s="618">
        <f t="shared" ca="1" si="10"/>
        <v>1059139.9402864368</v>
      </c>
      <c r="L78" s="618">
        <f ca="1">K78*'Revenues &amp; Expenses'!N79</f>
        <v>689160.12322844414</v>
      </c>
      <c r="M78" s="618">
        <f ca="1">SUM(L78:$L$257)</f>
        <v>75521717.836438596</v>
      </c>
      <c r="O78" s="602">
        <f ca="1">HLOOKUP(C78,'Debt Amortization'!$H$5:$AB$9,5)</f>
        <v>103983695.93929136</v>
      </c>
    </row>
    <row r="79" spans="1:15">
      <c r="A79" s="615">
        <f t="shared" si="11"/>
        <v>69</v>
      </c>
      <c r="B79" s="602">
        <v>28</v>
      </c>
      <c r="C79" s="616">
        <v>38776</v>
      </c>
      <c r="D79" s="617">
        <f ca="1">D89</f>
        <v>1</v>
      </c>
      <c r="E79" s="602">
        <f>SUM('Revenues &amp; Expenses'!BJ80:$BJ$258)</f>
        <v>91985786.210550532</v>
      </c>
      <c r="F79" s="618">
        <f t="shared" ca="1" si="7"/>
        <v>74832557.71321021</v>
      </c>
      <c r="G79" s="635">
        <f t="shared" ca="1" si="8"/>
        <v>17153228.497340322</v>
      </c>
      <c r="H79" s="635">
        <f t="shared" ca="1" si="9"/>
        <v>0</v>
      </c>
      <c r="K79" s="618">
        <f t="shared" ca="1" si="10"/>
        <v>1059139.9402864368</v>
      </c>
      <c r="L79" s="618">
        <f ca="1">K79*'Revenues &amp; Expenses'!N80</f>
        <v>684851.40439055953</v>
      </c>
      <c r="M79" s="618">
        <f ca="1">SUM(L79:$L$257)</f>
        <v>74832557.713210136</v>
      </c>
      <c r="O79" s="602">
        <f ca="1">HLOOKUP(C79,'Debt Amortization'!$H$5:$AB$9,5)</f>
        <v>103983695.93929136</v>
      </c>
    </row>
    <row r="80" spans="1:15">
      <c r="A80" s="615">
        <f t="shared" si="11"/>
        <v>70</v>
      </c>
      <c r="B80" s="602">
        <v>31</v>
      </c>
      <c r="C80" s="616">
        <v>38807</v>
      </c>
      <c r="D80" s="617">
        <f ca="1">D89</f>
        <v>1</v>
      </c>
      <c r="E80" s="602">
        <f>SUM('Revenues &amp; Expenses'!BJ81:$BJ$258)</f>
        <v>91985786.210550532</v>
      </c>
      <c r="F80" s="618">
        <f t="shared" ca="1" si="7"/>
        <v>74147706.308819667</v>
      </c>
      <c r="G80" s="635">
        <f t="shared" ca="1" si="8"/>
        <v>17838079.901730865</v>
      </c>
      <c r="H80" s="635">
        <f t="shared" ca="1" si="9"/>
        <v>0</v>
      </c>
      <c r="K80" s="618">
        <f t="shared" ca="1" si="10"/>
        <v>1059139.9402864368</v>
      </c>
      <c r="L80" s="618">
        <f ca="1">K80*'Revenues &amp; Expenses'!N81</f>
        <v>680980.49499594246</v>
      </c>
      <c r="M80" s="618">
        <f ca="1">SUM(L80:$L$257)</f>
        <v>74147706.308819592</v>
      </c>
      <c r="O80" s="602">
        <f ca="1">HLOOKUP(C80,'Debt Amortization'!$H$5:$AB$9,5)</f>
        <v>103983695.93929136</v>
      </c>
    </row>
    <row r="81" spans="1:15">
      <c r="A81" s="615">
        <f t="shared" si="11"/>
        <v>71</v>
      </c>
      <c r="B81" s="602">
        <v>30</v>
      </c>
      <c r="C81" s="616">
        <v>38837</v>
      </c>
      <c r="D81" s="617">
        <f ca="1">D89</f>
        <v>1</v>
      </c>
      <c r="E81" s="602">
        <f>SUM('Revenues &amp; Expenses'!BJ82:$BJ$258)</f>
        <v>91985786.210550532</v>
      </c>
      <c r="F81" s="618">
        <f t="shared" ca="1" si="7"/>
        <v>73466725.8138237</v>
      </c>
      <c r="G81" s="635">
        <f t="shared" ca="1" si="8"/>
        <v>18519060.396726832</v>
      </c>
      <c r="H81" s="635">
        <f t="shared" ca="1" si="9"/>
        <v>0</v>
      </c>
      <c r="K81" s="618">
        <f t="shared" ca="1" si="10"/>
        <v>1059139.9402864368</v>
      </c>
      <c r="L81" s="618">
        <f ca="1">K81*'Revenues &amp; Expenses'!N82</f>
        <v>676717.80605087499</v>
      </c>
      <c r="M81" s="618">
        <f ca="1">SUM(L81:$L$257)</f>
        <v>73466725.81382364</v>
      </c>
      <c r="O81" s="602">
        <f ca="1">HLOOKUP(C81,'Debt Amortization'!$H$5:$AB$9,5)</f>
        <v>103983695.93929136</v>
      </c>
    </row>
    <row r="82" spans="1:15">
      <c r="A82" s="615">
        <f t="shared" si="11"/>
        <v>72</v>
      </c>
      <c r="B82" s="602">
        <v>31</v>
      </c>
      <c r="C82" s="616">
        <v>38868</v>
      </c>
      <c r="D82" s="617">
        <f ca="1">D89</f>
        <v>1</v>
      </c>
      <c r="E82" s="602">
        <f>SUM('Revenues &amp; Expenses'!BJ83:$BJ$258)</f>
        <v>91985786.210550532</v>
      </c>
      <c r="F82" s="618">
        <f t="shared" ca="1" si="7"/>
        <v>72790008.007772803</v>
      </c>
      <c r="G82" s="635">
        <f t="shared" ca="1" si="8"/>
        <v>19195778.202777728</v>
      </c>
      <c r="H82" s="635">
        <f t="shared" ca="1" si="9"/>
        <v>0</v>
      </c>
      <c r="K82" s="618">
        <f t="shared" ca="1" si="10"/>
        <v>1059139.9402864368</v>
      </c>
      <c r="L82" s="618">
        <f ca="1">K82*'Revenues &amp; Expenses'!N83</f>
        <v>672615.48962965969</v>
      </c>
      <c r="M82" s="618">
        <f ca="1">SUM(L82:$L$257)</f>
        <v>72790008.007772744</v>
      </c>
      <c r="O82" s="602">
        <f ca="1">HLOOKUP(C82,'Debt Amortization'!$H$5:$AB$9,5)</f>
        <v>103983695.93929136</v>
      </c>
    </row>
    <row r="83" spans="1:15">
      <c r="A83" s="615">
        <f t="shared" si="11"/>
        <v>73</v>
      </c>
      <c r="B83" s="602">
        <v>30</v>
      </c>
      <c r="C83" s="616">
        <v>38898</v>
      </c>
      <c r="D83" s="617">
        <f ca="1">D89</f>
        <v>1</v>
      </c>
      <c r="E83" s="602">
        <f>SUM('Revenues &amp; Expenses'!BJ84:$BJ$258)</f>
        <v>91985786.210550532</v>
      </c>
      <c r="F83" s="618">
        <f t="shared" ref="F83:F146" ca="1" si="12">M83</f>
        <v>72117392.518143162</v>
      </c>
      <c r="G83" s="635">
        <f t="shared" ca="1" si="8"/>
        <v>19868393.69240737</v>
      </c>
      <c r="H83" s="635">
        <f t="shared" ca="1" si="9"/>
        <v>0</v>
      </c>
      <c r="K83" s="618">
        <f t="shared" ca="1" si="10"/>
        <v>1059139.9402864368</v>
      </c>
      <c r="L83" s="618">
        <f ca="1">K83*'Revenues &amp; Expenses'!N84</f>
        <v>668399.944242117</v>
      </c>
      <c r="M83" s="618">
        <f ca="1">SUM(L83:$L$257)</f>
        <v>72117392.518143103</v>
      </c>
      <c r="O83" s="602">
        <f ca="1">HLOOKUP(C83,'Debt Amortization'!$H$5:$AB$9,5)</f>
        <v>103983695.93929136</v>
      </c>
    </row>
    <row r="84" spans="1:15">
      <c r="A84" s="615">
        <f t="shared" si="11"/>
        <v>74</v>
      </c>
      <c r="B84" s="602">
        <v>31</v>
      </c>
      <c r="C84" s="616">
        <v>38929</v>
      </c>
      <c r="D84" s="617">
        <f ca="1">D89</f>
        <v>1</v>
      </c>
      <c r="E84" s="602">
        <f>SUM('Revenues &amp; Expenses'!BJ85:$BJ$258)</f>
        <v>90883085.368502185</v>
      </c>
      <c r="F84" s="618">
        <f t="shared" ca="1" si="12"/>
        <v>71448992.573901027</v>
      </c>
      <c r="G84" s="635">
        <f t="shared" ca="1" si="8"/>
        <v>19434092.794601157</v>
      </c>
      <c r="H84" s="635">
        <f t="shared" ca="1" si="9"/>
        <v>0</v>
      </c>
      <c r="K84" s="618">
        <f t="shared" ca="1" si="10"/>
        <v>1059139.9402864368</v>
      </c>
      <c r="L84" s="618">
        <f ca="1">K84*'Revenues &amp; Expenses'!N85</f>
        <v>664343.03210497927</v>
      </c>
      <c r="M84" s="618">
        <f ca="1">SUM(L84:$L$257)</f>
        <v>71448992.573900968</v>
      </c>
      <c r="O84" s="602">
        <f ca="1">HLOOKUP(C84,'Debt Amortization'!$H$5:$AB$9,5)</f>
        <v>103983695.93929136</v>
      </c>
    </row>
    <row r="85" spans="1:15">
      <c r="A85" s="615">
        <f t="shared" si="11"/>
        <v>75</v>
      </c>
      <c r="B85" s="602">
        <v>31</v>
      </c>
      <c r="C85" s="616">
        <v>38960</v>
      </c>
      <c r="D85" s="617">
        <f ca="1">D89</f>
        <v>1</v>
      </c>
      <c r="E85" s="602">
        <f>SUM('Revenues &amp; Expenses'!BJ86:$BJ$258)</f>
        <v>86911346.828940079</v>
      </c>
      <c r="F85" s="618">
        <f t="shared" ca="1" si="12"/>
        <v>70784649.541796044</v>
      </c>
      <c r="G85" s="635">
        <f t="shared" ca="1" si="8"/>
        <v>16126697.287144035</v>
      </c>
      <c r="H85" s="635">
        <f t="shared" ca="1" si="9"/>
        <v>0</v>
      </c>
      <c r="K85" s="618">
        <f t="shared" ca="1" si="10"/>
        <v>1059139.9402864368</v>
      </c>
      <c r="L85" s="618">
        <f ca="1">K85*'Revenues &amp; Expenses'!N86</f>
        <v>660174.1795368169</v>
      </c>
      <c r="M85" s="618">
        <f ca="1">SUM(L85:$L$257)</f>
        <v>70784649.541795984</v>
      </c>
      <c r="O85" s="602">
        <f ca="1">HLOOKUP(C85,'Debt Amortization'!$H$5:$AB$9,5)</f>
        <v>103983695.93929136</v>
      </c>
    </row>
    <row r="86" spans="1:15">
      <c r="A86" s="615">
        <f t="shared" si="11"/>
        <v>76</v>
      </c>
      <c r="B86" s="602">
        <v>30</v>
      </c>
      <c r="C86" s="616">
        <v>38990</v>
      </c>
      <c r="D86" s="617">
        <f ca="1">D89</f>
        <v>1</v>
      </c>
      <c r="E86" s="602">
        <f>SUM('Revenues &amp; Expenses'!BJ87:$BJ$258)</f>
        <v>84020117.693447247</v>
      </c>
      <c r="F86" s="618">
        <f t="shared" ca="1" si="12"/>
        <v>70124475.362259224</v>
      </c>
      <c r="G86" s="635">
        <f t="shared" ca="1" si="8"/>
        <v>13895642.331188023</v>
      </c>
      <c r="H86" s="635">
        <f t="shared" ca="1" si="9"/>
        <v>0</v>
      </c>
      <c r="K86" s="618">
        <f t="shared" ca="1" si="10"/>
        <v>1059139.9402864368</v>
      </c>
      <c r="L86" s="618">
        <f ca="1">K86*'Revenues &amp; Expenses'!N87</f>
        <v>656028.8844598257</v>
      </c>
      <c r="M86" s="618">
        <f ca="1">SUM(L86:$L$257)</f>
        <v>70124475.362259164</v>
      </c>
      <c r="O86" s="602">
        <f ca="1">HLOOKUP(C86,'Debt Amortization'!$H$5:$AB$9,5)</f>
        <v>103983695.93929136</v>
      </c>
    </row>
    <row r="87" spans="1:15">
      <c r="A87" s="615">
        <f t="shared" si="11"/>
        <v>77</v>
      </c>
      <c r="B87" s="602">
        <v>31</v>
      </c>
      <c r="C87" s="616">
        <v>39021</v>
      </c>
      <c r="D87" s="617">
        <f ca="1">D89</f>
        <v>1</v>
      </c>
      <c r="E87" s="602">
        <f>SUM('Revenues &amp; Expenses'!BJ88:$BJ$258)</f>
        <v>84020117.693447247</v>
      </c>
      <c r="F87" s="618">
        <f t="shared" ca="1" si="12"/>
        <v>69468446.477799401</v>
      </c>
      <c r="G87" s="635">
        <f t="shared" ca="1" si="8"/>
        <v>14551671.215647846</v>
      </c>
      <c r="H87" s="635">
        <f t="shared" ca="1" si="9"/>
        <v>0</v>
      </c>
      <c r="K87" s="618">
        <f t="shared" ca="1" si="10"/>
        <v>1059139.9402864368</v>
      </c>
      <c r="L87" s="618">
        <f ca="1">K87*'Revenues &amp; Expenses'!N88</f>
        <v>652039.63004567858</v>
      </c>
      <c r="M87" s="618">
        <f ca="1">SUM(L87:$L$257)</f>
        <v>69468446.477799341</v>
      </c>
      <c r="O87" s="602">
        <f ca="1">HLOOKUP(C87,'Debt Amortization'!$H$5:$AB$9,5)</f>
        <v>103983695.93929136</v>
      </c>
    </row>
    <row r="88" spans="1:15">
      <c r="A88" s="615">
        <f t="shared" si="11"/>
        <v>78</v>
      </c>
      <c r="B88" s="602">
        <v>30</v>
      </c>
      <c r="C88" s="616">
        <v>39051</v>
      </c>
      <c r="D88" s="617">
        <f ca="1">D89</f>
        <v>1</v>
      </c>
      <c r="E88" s="602">
        <f>SUM('Revenues &amp; Expenses'!BJ89:$BJ$258)</f>
        <v>84020117.693447247</v>
      </c>
      <c r="F88" s="618">
        <f t="shared" ca="1" si="12"/>
        <v>68816406.847753718</v>
      </c>
      <c r="G88" s="635">
        <f t="shared" ca="1" si="8"/>
        <v>15203710.845693529</v>
      </c>
      <c r="H88" s="635">
        <f t="shared" ca="1" si="9"/>
        <v>0</v>
      </c>
      <c r="K88" s="618">
        <f t="shared" ca="1" si="10"/>
        <v>1059139.9402864368</v>
      </c>
      <c r="L88" s="618">
        <f ca="1">K88*'Revenues &amp; Expenses'!N89</f>
        <v>647940.35441270459</v>
      </c>
      <c r="M88" s="618">
        <f ca="1">SUM(L88:$L$257)</f>
        <v>68816406.847753659</v>
      </c>
      <c r="O88" s="602">
        <f ca="1">HLOOKUP(C88,'Debt Amortization'!$H$5:$AB$9,5)</f>
        <v>103983695.93929136</v>
      </c>
    </row>
    <row r="89" spans="1:15">
      <c r="A89" s="615">
        <f t="shared" si="11"/>
        <v>79</v>
      </c>
      <c r="B89" s="602">
        <v>31</v>
      </c>
      <c r="C89" s="616">
        <v>39082</v>
      </c>
      <c r="D89" s="617">
        <f ca="1">'Deal Depiction'!J14</f>
        <v>1</v>
      </c>
      <c r="E89" s="602">
        <f>SUM('Revenues &amp; Expenses'!BJ90:$BJ$258)</f>
        <v>84020117.693447247</v>
      </c>
      <c r="F89" s="618">
        <f t="shared" ca="1" si="12"/>
        <v>68168466.493341029</v>
      </c>
      <c r="G89" s="635">
        <f t="shared" ca="1" si="8"/>
        <v>15851651.200106218</v>
      </c>
      <c r="H89" s="635">
        <f t="shared" ca="1" si="9"/>
        <v>0</v>
      </c>
      <c r="K89" s="618">
        <f t="shared" ca="1" si="10"/>
        <v>1059139.9402864368</v>
      </c>
      <c r="L89" s="618">
        <f ca="1">K89*'Revenues &amp; Expenses'!N90</f>
        <v>643995.42054857954</v>
      </c>
      <c r="M89" s="618">
        <f ca="1">SUM(L89:$L$257)</f>
        <v>68168466.493340969</v>
      </c>
      <c r="O89" s="602">
        <f ca="1">HLOOKUP(C89,'Debt Amortization'!$H$5:$AB$9,5)</f>
        <v>103983695.93929136</v>
      </c>
    </row>
    <row r="90" spans="1:15">
      <c r="A90" s="615">
        <f t="shared" si="11"/>
        <v>80</v>
      </c>
      <c r="B90" s="602">
        <v>31</v>
      </c>
      <c r="C90" s="616">
        <v>39113</v>
      </c>
      <c r="D90" s="617">
        <f ca="1">D101</f>
        <v>1</v>
      </c>
      <c r="E90" s="602">
        <f>SUM('Revenues &amp; Expenses'!BJ91:$BJ$258)</f>
        <v>84020117.693447247</v>
      </c>
      <c r="F90" s="618">
        <f t="shared" ca="1" si="12"/>
        <v>67524471.072792456</v>
      </c>
      <c r="G90" s="635">
        <f t="shared" ca="1" si="8"/>
        <v>16495646.620654792</v>
      </c>
      <c r="H90" s="635">
        <f t="shared" ca="1" si="9"/>
        <v>0</v>
      </c>
      <c r="K90" s="618">
        <f t="shared" ca="1" si="10"/>
        <v>1059139.9402864368</v>
      </c>
      <c r="L90" s="618">
        <f ca="1">K90*'Revenues &amp; Expenses'!N91</f>
        <v>639941.7221223471</v>
      </c>
      <c r="M90" s="618">
        <f ca="1">SUM(L90:$L$257)</f>
        <v>67524471.072792396</v>
      </c>
      <c r="O90" s="602">
        <f ca="1">HLOOKUP(C90,'Debt Amortization'!$H$5:$AB$9,5)</f>
        <v>100371705.94106238</v>
      </c>
    </row>
    <row r="91" spans="1:15">
      <c r="A91" s="615">
        <f t="shared" si="11"/>
        <v>81</v>
      </c>
      <c r="B91" s="602">
        <v>28</v>
      </c>
      <c r="C91" s="616">
        <v>39141</v>
      </c>
      <c r="D91" s="617">
        <f ca="1">D101</f>
        <v>1</v>
      </c>
      <c r="E91" s="602">
        <f>SUM('Revenues &amp; Expenses'!BJ92:$BJ$258)</f>
        <v>84020117.693447247</v>
      </c>
      <c r="F91" s="618">
        <f t="shared" ca="1" si="12"/>
        <v>66884529.350670107</v>
      </c>
      <c r="G91" s="635">
        <f t="shared" ca="1" si="8"/>
        <v>17135588.34277714</v>
      </c>
      <c r="H91" s="635">
        <f t="shared" ca="1" si="9"/>
        <v>0</v>
      </c>
      <c r="K91" s="618">
        <f t="shared" ca="1" si="10"/>
        <v>1059139.9402864368</v>
      </c>
      <c r="L91" s="618">
        <f ca="1">K91*'Revenues &amp; Expenses'!N92</f>
        <v>635911.01748279226</v>
      </c>
      <c r="M91" s="618">
        <f ca="1">SUM(L91:$L$257)</f>
        <v>66884529.350670047</v>
      </c>
      <c r="O91" s="602">
        <f ca="1">HLOOKUP(C91,'Debt Amortization'!$H$5:$AB$9,5)</f>
        <v>100371705.94106238</v>
      </c>
    </row>
    <row r="92" spans="1:15">
      <c r="A92" s="615">
        <f t="shared" si="11"/>
        <v>82</v>
      </c>
      <c r="B92" s="602">
        <v>31</v>
      </c>
      <c r="C92" s="616">
        <v>39172</v>
      </c>
      <c r="D92" s="617">
        <f ca="1">D101</f>
        <v>1</v>
      </c>
      <c r="E92" s="602">
        <f>SUM('Revenues &amp; Expenses'!BJ93:$BJ$258)</f>
        <v>84020117.693447247</v>
      </c>
      <c r="F92" s="618">
        <f t="shared" ca="1" si="12"/>
        <v>66248618.333187319</v>
      </c>
      <c r="G92" s="635">
        <f t="shared" ca="1" si="8"/>
        <v>17771499.360259928</v>
      </c>
      <c r="H92" s="635">
        <f t="shared" ca="1" si="9"/>
        <v>0</v>
      </c>
      <c r="K92" s="618">
        <f t="shared" ca="1" si="10"/>
        <v>1059139.9402864368</v>
      </c>
      <c r="L92" s="618">
        <f ca="1">K92*'Revenues &amp; Expenses'!N93</f>
        <v>632290.05076177069</v>
      </c>
      <c r="M92" s="618">
        <f ca="1">SUM(L92:$L$257)</f>
        <v>66248618.333187245</v>
      </c>
      <c r="O92" s="602">
        <f ca="1">HLOOKUP(C92,'Debt Amortization'!$H$5:$AB$9,5)</f>
        <v>100371705.94106238</v>
      </c>
    </row>
    <row r="93" spans="1:15">
      <c r="A93" s="615">
        <f t="shared" si="11"/>
        <v>83</v>
      </c>
      <c r="B93" s="602">
        <v>30</v>
      </c>
      <c r="C93" s="616">
        <v>39202</v>
      </c>
      <c r="D93" s="617">
        <f ca="1">D101</f>
        <v>1</v>
      </c>
      <c r="E93" s="602">
        <f>SUM('Revenues &amp; Expenses'!BJ94:$BJ$258)</f>
        <v>84020117.693447247</v>
      </c>
      <c r="F93" s="618">
        <f t="shared" ca="1" si="12"/>
        <v>65616328.28242553</v>
      </c>
      <c r="G93" s="635">
        <f t="shared" ca="1" si="8"/>
        <v>18403789.411021717</v>
      </c>
      <c r="H93" s="635">
        <f t="shared" ca="1" si="9"/>
        <v>0</v>
      </c>
      <c r="K93" s="618">
        <f t="shared" ca="1" si="10"/>
        <v>1059139.9402864368</v>
      </c>
      <c r="L93" s="618">
        <f ca="1">K93*'Revenues &amp; Expenses'!N94</f>
        <v>628336.66322024364</v>
      </c>
      <c r="M93" s="618">
        <f ca="1">SUM(L93:$L$257)</f>
        <v>65616328.282425486</v>
      </c>
      <c r="O93" s="602">
        <f ca="1">HLOOKUP(C93,'Debt Amortization'!$H$5:$AB$9,5)</f>
        <v>100371705.94106238</v>
      </c>
    </row>
    <row r="94" spans="1:15">
      <c r="A94" s="615">
        <f t="shared" si="11"/>
        <v>84</v>
      </c>
      <c r="B94" s="602">
        <v>31</v>
      </c>
      <c r="C94" s="616">
        <v>39233</v>
      </c>
      <c r="D94" s="617">
        <f ca="1">D101</f>
        <v>1</v>
      </c>
      <c r="E94" s="602">
        <f>SUM('Revenues &amp; Expenses'!BJ95:$BJ$258)</f>
        <v>84020117.693447247</v>
      </c>
      <c r="F94" s="618">
        <f t="shared" ca="1" si="12"/>
        <v>64987991.619205303</v>
      </c>
      <c r="G94" s="635">
        <f t="shared" ca="1" si="8"/>
        <v>19032126.074241944</v>
      </c>
      <c r="H94" s="635">
        <f t="shared" ca="1" si="9"/>
        <v>0</v>
      </c>
      <c r="K94" s="618">
        <f t="shared" ca="1" si="10"/>
        <v>1059139.9402864368</v>
      </c>
      <c r="L94" s="618">
        <f ca="1">K94*'Revenues &amp; Expenses'!N95</f>
        <v>624539.074107619</v>
      </c>
      <c r="M94" s="618">
        <f ca="1">SUM(L94:$L$257)</f>
        <v>64987991.619205244</v>
      </c>
      <c r="O94" s="602">
        <f ca="1">HLOOKUP(C94,'Debt Amortization'!$H$5:$AB$9,5)</f>
        <v>100371705.94106238</v>
      </c>
    </row>
    <row r="95" spans="1:15">
      <c r="A95" s="615">
        <f t="shared" si="11"/>
        <v>85</v>
      </c>
      <c r="B95" s="602">
        <v>30</v>
      </c>
      <c r="C95" s="616">
        <v>39263</v>
      </c>
      <c r="D95" s="617">
        <f ca="1">D101</f>
        <v>1</v>
      </c>
      <c r="E95" s="602">
        <f>SUM('Revenues &amp; Expenses'!BJ96:$BJ$258)</f>
        <v>84020117.693447247</v>
      </c>
      <c r="F95" s="618">
        <f t="shared" ca="1" si="12"/>
        <v>64363452.545097671</v>
      </c>
      <c r="G95" s="635">
        <f t="shared" ca="1" si="8"/>
        <v>19656665.148349576</v>
      </c>
      <c r="H95" s="635">
        <f t="shared" ca="1" si="9"/>
        <v>0</v>
      </c>
      <c r="K95" s="618">
        <f t="shared" ca="1" si="10"/>
        <v>1059139.9402864368</v>
      </c>
      <c r="L95" s="618">
        <f ca="1">K95*'Revenues &amp; Expenses'!N96</f>
        <v>620637.51242880698</v>
      </c>
      <c r="M95" s="618">
        <f ca="1">SUM(L95:$L$257)</f>
        <v>64363452.545097627</v>
      </c>
      <c r="O95" s="602">
        <f ca="1">HLOOKUP(C95,'Debt Amortization'!$H$5:$AB$9,5)</f>
        <v>100371705.94106238</v>
      </c>
    </row>
    <row r="96" spans="1:15">
      <c r="A96" s="615">
        <f t="shared" si="11"/>
        <v>86</v>
      </c>
      <c r="B96" s="602">
        <v>31</v>
      </c>
      <c r="C96" s="616">
        <v>39294</v>
      </c>
      <c r="D96" s="617">
        <f ca="1">D101</f>
        <v>1</v>
      </c>
      <c r="E96" s="602">
        <f>SUM('Revenues &amp; Expenses'!BJ97:$BJ$258)</f>
        <v>82883249.021092057</v>
      </c>
      <c r="F96" s="618">
        <f t="shared" ca="1" si="12"/>
        <v>63742815.032668881</v>
      </c>
      <c r="G96" s="635">
        <f t="shared" ca="1" si="8"/>
        <v>19140433.988423176</v>
      </c>
      <c r="H96" s="635">
        <f t="shared" ca="1" si="9"/>
        <v>0</v>
      </c>
      <c r="K96" s="618">
        <f t="shared" ca="1" si="10"/>
        <v>1059139.9402864368</v>
      </c>
      <c r="L96" s="618">
        <f ca="1">K96*'Revenues &amp; Expenses'!N97</f>
        <v>616883.57584346563</v>
      </c>
      <c r="M96" s="618">
        <f ca="1">SUM(L96:$L$257)</f>
        <v>63742815.032668814</v>
      </c>
      <c r="O96" s="602">
        <f ca="1">HLOOKUP(C96,'Debt Amortization'!$H$5:$AB$9,5)</f>
        <v>100371705.94106238</v>
      </c>
    </row>
    <row r="97" spans="1:15">
      <c r="A97" s="615">
        <f t="shared" si="11"/>
        <v>87</v>
      </c>
      <c r="B97" s="602">
        <v>31</v>
      </c>
      <c r="C97" s="616">
        <v>39325</v>
      </c>
      <c r="D97" s="617">
        <f ca="1">D101</f>
        <v>1</v>
      </c>
      <c r="E97" s="602">
        <f>SUM('Revenues &amp; Expenses'!BJ98:$BJ$258)</f>
        <v>79065214.684721321</v>
      </c>
      <c r="F97" s="618">
        <f t="shared" ca="1" si="12"/>
        <v>63125931.456825398</v>
      </c>
      <c r="G97" s="635">
        <f t="shared" ca="1" si="8"/>
        <v>15939283.227895923</v>
      </c>
      <c r="H97" s="635">
        <f t="shared" ca="1" si="9"/>
        <v>0</v>
      </c>
      <c r="K97" s="618">
        <f t="shared" ca="1" si="10"/>
        <v>1059139.9402864368</v>
      </c>
      <c r="L97" s="618">
        <f ca="1">K97*'Revenues &amp; Expenses'!N98</f>
        <v>613026.88131594157</v>
      </c>
      <c r="M97" s="618">
        <f ca="1">SUM(L97:$L$257)</f>
        <v>63125931.456825346</v>
      </c>
      <c r="O97" s="602">
        <f ca="1">HLOOKUP(C97,'Debt Amortization'!$H$5:$AB$9,5)</f>
        <v>100371705.94106238</v>
      </c>
    </row>
    <row r="98" spans="1:15">
      <c r="A98" s="615">
        <f t="shared" si="11"/>
        <v>88</v>
      </c>
      <c r="B98" s="602">
        <v>30</v>
      </c>
      <c r="C98" s="616">
        <v>39355</v>
      </c>
      <c r="D98" s="617">
        <f ca="1">D101</f>
        <v>1</v>
      </c>
      <c r="E98" s="602">
        <f>SUM('Revenues &amp; Expenses'!BJ99:$BJ$258)</f>
        <v>76383990.497571245</v>
      </c>
      <c r="F98" s="618">
        <f t="shared" ca="1" si="12"/>
        <v>62512904.575509451</v>
      </c>
      <c r="G98" s="635">
        <f t="shared" ca="1" si="8"/>
        <v>13871085.922061794</v>
      </c>
      <c r="H98" s="635">
        <f t="shared" ca="1" si="9"/>
        <v>0</v>
      </c>
      <c r="K98" s="618">
        <f t="shared" ca="1" si="10"/>
        <v>1059139.9402864368</v>
      </c>
      <c r="L98" s="618">
        <f ca="1">K98*'Revenues &amp; Expenses'!N99</f>
        <v>609192.8048632564</v>
      </c>
      <c r="M98" s="618">
        <f ca="1">SUM(L98:$L$257)</f>
        <v>62512904.575509407</v>
      </c>
      <c r="O98" s="602">
        <f ca="1">HLOOKUP(C98,'Debt Amortization'!$H$5:$AB$9,5)</f>
        <v>100371705.94106238</v>
      </c>
    </row>
    <row r="99" spans="1:15">
      <c r="A99" s="615">
        <f t="shared" si="11"/>
        <v>89</v>
      </c>
      <c r="B99" s="602">
        <v>31</v>
      </c>
      <c r="C99" s="616">
        <v>39386</v>
      </c>
      <c r="D99" s="617">
        <f ca="1">D101</f>
        <v>1</v>
      </c>
      <c r="E99" s="602">
        <f>SUM('Revenues &amp; Expenses'!BJ100:$BJ$258)</f>
        <v>76383990.497571245</v>
      </c>
      <c r="F99" s="618">
        <f t="shared" ca="1" si="12"/>
        <v>61903711.770646207</v>
      </c>
      <c r="G99" s="635">
        <f t="shared" ca="1" si="8"/>
        <v>14480278.726925038</v>
      </c>
      <c r="H99" s="635">
        <f t="shared" ca="1" si="9"/>
        <v>0</v>
      </c>
      <c r="K99" s="618">
        <f t="shared" ca="1" si="10"/>
        <v>1059139.9402864368</v>
      </c>
      <c r="L99" s="618">
        <f ca="1">K99*'Revenues &amp; Expenses'!N100</f>
        <v>605503.82813771488</v>
      </c>
      <c r="M99" s="618">
        <f ca="1">SUM(L99:$L$257)</f>
        <v>61903711.770646155</v>
      </c>
      <c r="O99" s="602">
        <f ca="1">HLOOKUP(C99,'Debt Amortization'!$H$5:$AB$9,5)</f>
        <v>100371705.94106238</v>
      </c>
    </row>
    <row r="100" spans="1:15">
      <c r="A100" s="615">
        <f t="shared" si="11"/>
        <v>90</v>
      </c>
      <c r="B100" s="602">
        <v>30</v>
      </c>
      <c r="C100" s="616">
        <v>39416</v>
      </c>
      <c r="D100" s="617">
        <f ca="1">D101</f>
        <v>1</v>
      </c>
      <c r="E100" s="602">
        <f>SUM('Revenues &amp; Expenses'!BJ101:$BJ$258)</f>
        <v>76383990.497571245</v>
      </c>
      <c r="F100" s="618">
        <f t="shared" ca="1" si="12"/>
        <v>61298207.942508481</v>
      </c>
      <c r="G100" s="635">
        <f t="shared" ca="1" si="8"/>
        <v>15085782.555062763</v>
      </c>
      <c r="H100" s="635">
        <f t="shared" ca="1" si="9"/>
        <v>0</v>
      </c>
      <c r="K100" s="618">
        <f t="shared" ca="1" si="10"/>
        <v>1059139.9402864368</v>
      </c>
      <c r="L100" s="618">
        <f ca="1">K100*'Revenues &amp; Expenses'!N101</f>
        <v>601713.90050827491</v>
      </c>
      <c r="M100" s="618">
        <f ca="1">SUM(L100:$L$257)</f>
        <v>61298207.942508429</v>
      </c>
      <c r="O100" s="602">
        <f ca="1">HLOOKUP(C100,'Debt Amortization'!$H$5:$AB$9,5)</f>
        <v>100371705.94106238</v>
      </c>
    </row>
    <row r="101" spans="1:15">
      <c r="A101" s="615">
        <f t="shared" si="11"/>
        <v>91</v>
      </c>
      <c r="B101" s="602">
        <v>31</v>
      </c>
      <c r="C101" s="616">
        <v>39447</v>
      </c>
      <c r="D101" s="617">
        <f ca="1">'Deal Depiction'!J15</f>
        <v>1</v>
      </c>
      <c r="E101" s="602">
        <f>SUM('Revenues &amp; Expenses'!BJ102:$BJ$258)</f>
        <v>76383990.497571245</v>
      </c>
      <c r="F101" s="618">
        <f t="shared" ca="1" si="12"/>
        <v>60696494.042000212</v>
      </c>
      <c r="G101" s="635">
        <f t="shared" ca="1" si="8"/>
        <v>15687496.455571033</v>
      </c>
      <c r="H101" s="635">
        <f t="shared" ca="1" si="9"/>
        <v>0</v>
      </c>
      <c r="K101" s="618">
        <f t="shared" ca="1" si="10"/>
        <v>1059139.9402864368</v>
      </c>
      <c r="L101" s="618">
        <f ca="1">K101*'Revenues &amp; Expenses'!N102</f>
        <v>598067.42021940264</v>
      </c>
      <c r="M101" s="618">
        <f ca="1">SUM(L101:$L$257)</f>
        <v>60696494.04200016</v>
      </c>
      <c r="O101" s="602">
        <f ca="1">HLOOKUP(C101,'Debt Amortization'!$H$5:$AB$9,5)</f>
        <v>100371705.94106238</v>
      </c>
    </row>
    <row r="102" spans="1:15">
      <c r="A102" s="615">
        <f t="shared" si="11"/>
        <v>92</v>
      </c>
      <c r="B102" s="602">
        <v>31</v>
      </c>
      <c r="C102" s="616">
        <v>39478</v>
      </c>
      <c r="D102" s="617">
        <f ca="1">D113</f>
        <v>1</v>
      </c>
      <c r="E102" s="602">
        <f>SUM('Revenues &amp; Expenses'!BJ103:$BJ$258)</f>
        <v>76383990.497571245</v>
      </c>
      <c r="F102" s="618">
        <f t="shared" ca="1" si="12"/>
        <v>60098426.621780805</v>
      </c>
      <c r="G102" s="635">
        <f t="shared" ca="1" si="8"/>
        <v>16285563.87579044</v>
      </c>
      <c r="H102" s="635">
        <f t="shared" ca="1" si="9"/>
        <v>0</v>
      </c>
      <c r="K102" s="618">
        <f t="shared" ca="1" si="10"/>
        <v>1059139.9402864368</v>
      </c>
      <c r="L102" s="618">
        <f ca="1">K102*'Revenues &amp; Expenses'!N103</f>
        <v>594321.17088220373</v>
      </c>
      <c r="M102" s="618">
        <f ca="1">SUM(L102:$L$257)</f>
        <v>60098426.621780753</v>
      </c>
      <c r="O102" s="602">
        <f ca="1">HLOOKUP(C102,'Debt Amortization'!$H$5:$AB$9,5)</f>
        <v>96443697.528520107</v>
      </c>
    </row>
    <row r="103" spans="1:15">
      <c r="A103" s="615">
        <f t="shared" si="11"/>
        <v>93</v>
      </c>
      <c r="B103" s="602">
        <v>29</v>
      </c>
      <c r="C103" s="616">
        <v>39507</v>
      </c>
      <c r="D103" s="617">
        <f ca="1">D113</f>
        <v>1</v>
      </c>
      <c r="E103" s="602">
        <f>SUM('Revenues &amp; Expenses'!BJ104:$BJ$258)</f>
        <v>76383990.497571245</v>
      </c>
      <c r="F103" s="618">
        <f t="shared" ca="1" si="12"/>
        <v>59504105.450898595</v>
      </c>
      <c r="G103" s="635">
        <f t="shared" ca="1" si="8"/>
        <v>16879885.04667265</v>
      </c>
      <c r="H103" s="635">
        <f t="shared" ca="1" si="9"/>
        <v>0</v>
      </c>
      <c r="K103" s="618">
        <f t="shared" ca="1" si="10"/>
        <v>1059139.9402864368</v>
      </c>
      <c r="L103" s="618">
        <f ca="1">K103*'Revenues &amp; Expenses'!N104</f>
        <v>590596.93984474265</v>
      </c>
      <c r="M103" s="618">
        <f ca="1">SUM(L103:$L$257)</f>
        <v>59504105.450898543</v>
      </c>
      <c r="O103" s="602">
        <f ca="1">HLOOKUP(C103,'Debt Amortization'!$H$5:$AB$9,5)</f>
        <v>96443697.528520107</v>
      </c>
    </row>
    <row r="104" spans="1:15">
      <c r="A104" s="615">
        <f t="shared" si="11"/>
        <v>94</v>
      </c>
      <c r="B104" s="602">
        <v>31</v>
      </c>
      <c r="C104" s="616">
        <v>39538</v>
      </c>
      <c r="D104" s="617">
        <f ca="1">D113</f>
        <v>1</v>
      </c>
      <c r="E104" s="602">
        <f>SUM('Revenues &amp; Expenses'!BJ105:$BJ$258)</f>
        <v>76383990.497571245</v>
      </c>
      <c r="F104" s="618">
        <f t="shared" ca="1" si="12"/>
        <v>58913508.511053853</v>
      </c>
      <c r="G104" s="635">
        <f t="shared" ca="1" si="8"/>
        <v>17470481.986517392</v>
      </c>
      <c r="H104" s="635">
        <f t="shared" ca="1" si="9"/>
        <v>0</v>
      </c>
      <c r="K104" s="618">
        <f t="shared" ca="1" si="10"/>
        <v>1059139.9402864368</v>
      </c>
      <c r="L104" s="618">
        <f ca="1">K104*'Revenues &amp; Expenses'!N105</f>
        <v>587132.80900536641</v>
      </c>
      <c r="M104" s="618">
        <f ca="1">SUM(L104:$L$257)</f>
        <v>58913508.511053801</v>
      </c>
      <c r="O104" s="602">
        <f ca="1">HLOOKUP(C104,'Debt Amortization'!$H$5:$AB$9,5)</f>
        <v>96443697.528520107</v>
      </c>
    </row>
    <row r="105" spans="1:15">
      <c r="A105" s="615">
        <f t="shared" si="11"/>
        <v>95</v>
      </c>
      <c r="B105" s="602">
        <v>30</v>
      </c>
      <c r="C105" s="616">
        <v>39568</v>
      </c>
      <c r="D105" s="617">
        <f ca="1">D113</f>
        <v>1</v>
      </c>
      <c r="E105" s="602">
        <f>SUM('Revenues &amp; Expenses'!BJ106:$BJ$258)</f>
        <v>76383990.497571245</v>
      </c>
      <c r="F105" s="618">
        <f t="shared" ca="1" si="12"/>
        <v>58326375.702048488</v>
      </c>
      <c r="G105" s="635">
        <f t="shared" ca="1" si="8"/>
        <v>18057614.795522757</v>
      </c>
      <c r="H105" s="635">
        <f t="shared" ca="1" si="9"/>
        <v>0</v>
      </c>
      <c r="K105" s="618">
        <f t="shared" ca="1" si="10"/>
        <v>1059139.9402864368</v>
      </c>
      <c r="L105" s="618">
        <f ca="1">K105*'Revenues &amp; Expenses'!N106</f>
        <v>583450.85435422393</v>
      </c>
      <c r="M105" s="618">
        <f ca="1">SUM(L105:$L$257)</f>
        <v>58326375.702048436</v>
      </c>
      <c r="O105" s="602">
        <f ca="1">HLOOKUP(C105,'Debt Amortization'!$H$5:$AB$9,5)</f>
        <v>96443697.528520107</v>
      </c>
    </row>
    <row r="106" spans="1:15">
      <c r="A106" s="615">
        <f t="shared" si="11"/>
        <v>96</v>
      </c>
      <c r="B106" s="602">
        <v>31</v>
      </c>
      <c r="C106" s="616">
        <v>39599</v>
      </c>
      <c r="D106" s="617">
        <f ca="1">D113</f>
        <v>1</v>
      </c>
      <c r="E106" s="602">
        <f>SUM('Revenues &amp; Expenses'!BJ107:$BJ$258)</f>
        <v>76383990.497571245</v>
      </c>
      <c r="F106" s="618">
        <f t="shared" ca="1" si="12"/>
        <v>57742924.847694255</v>
      </c>
      <c r="G106" s="635">
        <f t="shared" ca="1" si="8"/>
        <v>18641065.649876989</v>
      </c>
      <c r="H106" s="635">
        <f t="shared" ca="1" si="9"/>
        <v>0</v>
      </c>
      <c r="K106" s="618">
        <f t="shared" ca="1" si="10"/>
        <v>1059139.9402864368</v>
      </c>
      <c r="L106" s="618">
        <f ca="1">K106*'Revenues &amp; Expenses'!N107</f>
        <v>579908.30487771309</v>
      </c>
      <c r="M106" s="618">
        <f ca="1">SUM(L106:$L$257)</f>
        <v>57742924.847694211</v>
      </c>
      <c r="O106" s="602">
        <f ca="1">HLOOKUP(C106,'Debt Amortization'!$H$5:$AB$9,5)</f>
        <v>96443697.528520107</v>
      </c>
    </row>
    <row r="107" spans="1:15">
      <c r="A107" s="615">
        <f t="shared" si="11"/>
        <v>97</v>
      </c>
      <c r="B107" s="602">
        <v>30</v>
      </c>
      <c r="C107" s="616">
        <v>39629</v>
      </c>
      <c r="D107" s="617">
        <f ca="1">D113</f>
        <v>1</v>
      </c>
      <c r="E107" s="602">
        <f>SUM('Revenues &amp; Expenses'!BJ108:$BJ$258)</f>
        <v>76383990.497571245</v>
      </c>
      <c r="F107" s="618">
        <f t="shared" ca="1" si="12"/>
        <v>57163016.542816542</v>
      </c>
      <c r="G107" s="635">
        <f t="shared" ca="1" si="8"/>
        <v>19220973.954754703</v>
      </c>
      <c r="H107" s="635">
        <f t="shared" ca="1" si="9"/>
        <v>0</v>
      </c>
      <c r="K107" s="618">
        <f t="shared" ca="1" si="10"/>
        <v>1059139.9402864368</v>
      </c>
      <c r="L107" s="618">
        <f ca="1">K107*'Revenues &amp; Expenses'!N108</f>
        <v>576268.87572252203</v>
      </c>
      <c r="M107" s="618">
        <f ca="1">SUM(L107:$L$257)</f>
        <v>57163016.54281649</v>
      </c>
      <c r="O107" s="602">
        <f ca="1">HLOOKUP(C107,'Debt Amortization'!$H$5:$AB$9,5)</f>
        <v>96443697.528520107</v>
      </c>
    </row>
    <row r="108" spans="1:15">
      <c r="A108" s="615">
        <f t="shared" si="11"/>
        <v>98</v>
      </c>
      <c r="B108" s="602">
        <v>31</v>
      </c>
      <c r="C108" s="616">
        <v>39660</v>
      </c>
      <c r="D108" s="617">
        <f ca="1">D113</f>
        <v>1</v>
      </c>
      <c r="E108" s="602">
        <f>SUM('Revenues &amp; Expenses'!BJ109:$BJ$258)</f>
        <v>75224901.163550466</v>
      </c>
      <c r="F108" s="618">
        <f t="shared" ca="1" si="12"/>
        <v>56586747.667094029</v>
      </c>
      <c r="G108" s="635">
        <f t="shared" ca="1" si="8"/>
        <v>18638153.496456437</v>
      </c>
      <c r="H108" s="635">
        <f t="shared" ca="1" si="9"/>
        <v>0</v>
      </c>
      <c r="K108" s="618">
        <f t="shared" ca="1" si="10"/>
        <v>1059139.9402864368</v>
      </c>
      <c r="L108" s="618">
        <f ca="1">K108*'Revenues &amp; Expenses'!N109</f>
        <v>572767.25932983914</v>
      </c>
      <c r="M108" s="618">
        <f ca="1">SUM(L108:$L$257)</f>
        <v>56586747.667093977</v>
      </c>
      <c r="O108" s="602">
        <f ca="1">HLOOKUP(C108,'Debt Amortization'!$H$5:$AB$9,5)</f>
        <v>96443697.528520107</v>
      </c>
    </row>
    <row r="109" spans="1:15">
      <c r="A109" s="615">
        <f t="shared" si="11"/>
        <v>99</v>
      </c>
      <c r="B109" s="602">
        <v>31</v>
      </c>
      <c r="C109" s="616">
        <v>39691</v>
      </c>
      <c r="D109" s="617">
        <f ca="1">D113</f>
        <v>1</v>
      </c>
      <c r="E109" s="602">
        <f>SUM('Revenues &amp; Expenses'!BJ110:$BJ$258)</f>
        <v>71725162.247805506</v>
      </c>
      <c r="F109" s="618">
        <f t="shared" ca="1" si="12"/>
        <v>56013980.407764189</v>
      </c>
      <c r="G109" s="635">
        <f t="shared" ca="1" si="8"/>
        <v>15711181.840041317</v>
      </c>
      <c r="H109" s="635">
        <f t="shared" ca="1" si="9"/>
        <v>0</v>
      </c>
      <c r="K109" s="618">
        <f t="shared" ca="1" si="10"/>
        <v>1059139.9402864368</v>
      </c>
      <c r="L109" s="618">
        <f ca="1">K109*'Revenues &amp; Expenses'!N110</f>
        <v>569169.90083162428</v>
      </c>
      <c r="M109" s="618">
        <f ca="1">SUM(L109:$L$257)</f>
        <v>56013980.407764137</v>
      </c>
      <c r="O109" s="602">
        <f ca="1">HLOOKUP(C109,'Debt Amortization'!$H$5:$AB$9,5)</f>
        <v>96443697.528520107</v>
      </c>
    </row>
    <row r="110" spans="1:15">
      <c r="A110" s="615">
        <f t="shared" si="11"/>
        <v>100</v>
      </c>
      <c r="B110" s="602">
        <v>30</v>
      </c>
      <c r="C110" s="616">
        <v>39721</v>
      </c>
      <c r="D110" s="617">
        <f ca="1">D113</f>
        <v>1</v>
      </c>
      <c r="E110" s="602">
        <f>SUM('Revenues &amp; Expenses'!BJ111:$BJ$258)</f>
        <v>69008649.87874338</v>
      </c>
      <c r="F110" s="618">
        <f t="shared" ca="1" si="12"/>
        <v>55444810.506932564</v>
      </c>
      <c r="G110" s="635">
        <f t="shared" ca="1" si="8"/>
        <v>13563839.371810816</v>
      </c>
      <c r="H110" s="635">
        <f t="shared" ca="1" si="9"/>
        <v>0</v>
      </c>
      <c r="K110" s="618">
        <f t="shared" ca="1" si="10"/>
        <v>1059139.9402864368</v>
      </c>
      <c r="L110" s="618">
        <f ca="1">K110*'Revenues &amp; Expenses'!N111</f>
        <v>565593.7496094713</v>
      </c>
      <c r="M110" s="618">
        <f ca="1">SUM(L110:$L$257)</f>
        <v>55444810.506932519</v>
      </c>
      <c r="O110" s="602">
        <f ca="1">HLOOKUP(C110,'Debt Amortization'!$H$5:$AB$9,5)</f>
        <v>96443697.528520107</v>
      </c>
    </row>
    <row r="111" spans="1:15">
      <c r="A111" s="615">
        <f t="shared" si="11"/>
        <v>101</v>
      </c>
      <c r="B111" s="602">
        <v>31</v>
      </c>
      <c r="C111" s="616">
        <v>39752</v>
      </c>
      <c r="D111" s="617">
        <f ca="1">D113</f>
        <v>1</v>
      </c>
      <c r="E111" s="602">
        <f>SUM('Revenues &amp; Expenses'!BJ112:$BJ$258)</f>
        <v>69008649.87874338</v>
      </c>
      <c r="F111" s="618">
        <f t="shared" ca="1" si="12"/>
        <v>54879216.757323094</v>
      </c>
      <c r="G111" s="635">
        <f t="shared" ca="1" si="8"/>
        <v>14129433.121420287</v>
      </c>
      <c r="H111" s="635">
        <f t="shared" ca="1" si="9"/>
        <v>0</v>
      </c>
      <c r="K111" s="618">
        <f t="shared" ca="1" si="10"/>
        <v>1059139.9402864368</v>
      </c>
      <c r="L111" s="618">
        <f ca="1">K111*'Revenues &amp; Expenses'!N112</f>
        <v>562153.04122303007</v>
      </c>
      <c r="M111" s="618">
        <f ca="1">SUM(L111:$L$257)</f>
        <v>54879216.757323049</v>
      </c>
      <c r="O111" s="602">
        <f ca="1">HLOOKUP(C111,'Debt Amortization'!$H$5:$AB$9,5)</f>
        <v>96443697.528520107</v>
      </c>
    </row>
    <row r="112" spans="1:15">
      <c r="A112" s="615">
        <f t="shared" si="11"/>
        <v>102</v>
      </c>
      <c r="B112" s="602">
        <v>30</v>
      </c>
      <c r="C112" s="616">
        <v>39782</v>
      </c>
      <c r="D112" s="617">
        <f ca="1">D113</f>
        <v>1</v>
      </c>
      <c r="E112" s="602">
        <f>SUM('Revenues &amp; Expenses'!BJ113:$BJ$258)</f>
        <v>69008649.87874338</v>
      </c>
      <c r="F112" s="618">
        <f t="shared" ca="1" si="12"/>
        <v>54317063.716100074</v>
      </c>
      <c r="G112" s="635">
        <f t="shared" ca="1" si="8"/>
        <v>14691586.162643306</v>
      </c>
      <c r="H112" s="635">
        <f t="shared" ca="1" si="9"/>
        <v>0</v>
      </c>
      <c r="K112" s="618">
        <f t="shared" ca="1" si="10"/>
        <v>1059139.9402864368</v>
      </c>
      <c r="L112" s="618">
        <f ca="1">K112*'Revenues &amp; Expenses'!N113</f>
        <v>558618.2829989274</v>
      </c>
      <c r="M112" s="618">
        <f ca="1">SUM(L112:$L$257)</f>
        <v>54317063.71610003</v>
      </c>
      <c r="O112" s="602">
        <f ca="1">HLOOKUP(C112,'Debt Amortization'!$H$5:$AB$9,5)</f>
        <v>96443697.528520107</v>
      </c>
    </row>
    <row r="113" spans="1:15">
      <c r="A113" s="615">
        <f t="shared" si="11"/>
        <v>103</v>
      </c>
      <c r="B113" s="602">
        <v>31</v>
      </c>
      <c r="C113" s="616">
        <v>39813</v>
      </c>
      <c r="D113" s="617">
        <f ca="1">'Deal Depiction'!J16</f>
        <v>1</v>
      </c>
      <c r="E113" s="602">
        <f>SUM('Revenues &amp; Expenses'!BJ114:$BJ$258)</f>
        <v>69008649.87874338</v>
      </c>
      <c r="F113" s="618">
        <f t="shared" ca="1" si="12"/>
        <v>53758445.43310114</v>
      </c>
      <c r="G113" s="635">
        <f t="shared" ca="1" si="8"/>
        <v>15250204.44564224</v>
      </c>
      <c r="H113" s="635">
        <f t="shared" ca="1" si="9"/>
        <v>0</v>
      </c>
      <c r="K113" s="618">
        <f t="shared" ca="1" si="10"/>
        <v>1059139.9402864368</v>
      </c>
      <c r="L113" s="618">
        <f ca="1">K113*'Revenues &amp; Expenses'!N114</f>
        <v>555217.41705906321</v>
      </c>
      <c r="M113" s="618">
        <f ca="1">SUM(L113:$L$257)</f>
        <v>53758445.43310111</v>
      </c>
      <c r="O113" s="602">
        <f ca="1">HLOOKUP(C113,'Debt Amortization'!$H$5:$AB$9,5)</f>
        <v>92172021.777322665</v>
      </c>
    </row>
    <row r="114" spans="1:15">
      <c r="A114" s="615">
        <f t="shared" si="11"/>
        <v>104</v>
      </c>
      <c r="B114" s="602">
        <v>31</v>
      </c>
      <c r="C114" s="616">
        <v>39844</v>
      </c>
      <c r="D114" s="617">
        <f ca="1">D125</f>
        <v>1</v>
      </c>
      <c r="E114" s="602">
        <f>SUM('Revenues &amp; Expenses'!BJ115:$BJ$258)</f>
        <v>69008649.87874338</v>
      </c>
      <c r="F114" s="618">
        <f t="shared" ca="1" si="12"/>
        <v>53203228.016042076</v>
      </c>
      <c r="G114" s="635">
        <f t="shared" ca="1" si="8"/>
        <v>15805421.862701304</v>
      </c>
      <c r="H114" s="635">
        <f t="shared" ca="1" si="9"/>
        <v>0</v>
      </c>
      <c r="K114" s="618">
        <f t="shared" ca="1" si="10"/>
        <v>1059139.9402864368</v>
      </c>
      <c r="L114" s="618">
        <f ca="1">K114*'Revenues &amp; Expenses'!N115</f>
        <v>551723.60798273166</v>
      </c>
      <c r="M114" s="618">
        <f ca="1">SUM(L114:$L$257)</f>
        <v>53203228.016042046</v>
      </c>
      <c r="O114" s="602">
        <f ca="1">HLOOKUP(C114,'Debt Amortization'!$H$5:$AB$9,5)</f>
        <v>92172021.777322665</v>
      </c>
    </row>
    <row r="115" spans="1:15">
      <c r="A115" s="615">
        <f t="shared" si="11"/>
        <v>105</v>
      </c>
      <c r="B115" s="602">
        <v>28</v>
      </c>
      <c r="C115" s="616">
        <v>39872</v>
      </c>
      <c r="D115" s="617">
        <f ca="1">D125</f>
        <v>1</v>
      </c>
      <c r="E115" s="602">
        <f>SUM('Revenues &amp; Expenses'!BJ116:$BJ$258)</f>
        <v>69008649.87874338</v>
      </c>
      <c r="F115" s="618">
        <f t="shared" ca="1" si="12"/>
        <v>52651504.408059351</v>
      </c>
      <c r="G115" s="635">
        <f t="shared" ca="1" si="8"/>
        <v>16357145.470684029</v>
      </c>
      <c r="H115" s="635">
        <f t="shared" ca="1" si="9"/>
        <v>0</v>
      </c>
      <c r="K115" s="618">
        <f t="shared" ca="1" si="10"/>
        <v>1059139.9402864368</v>
      </c>
      <c r="L115" s="618">
        <f ca="1">K115*'Revenues &amp; Expenses'!N116</f>
        <v>548250.44041652477</v>
      </c>
      <c r="M115" s="618">
        <f ca="1">SUM(L115:$L$257)</f>
        <v>52651504.408059314</v>
      </c>
      <c r="O115" s="602">
        <f ca="1">HLOOKUP(C115,'Debt Amortization'!$H$5:$AB$9,5)</f>
        <v>92172021.777322665</v>
      </c>
    </row>
    <row r="116" spans="1:15">
      <c r="A116" s="615">
        <f t="shared" si="11"/>
        <v>106</v>
      </c>
      <c r="B116" s="602">
        <v>31</v>
      </c>
      <c r="C116" s="616">
        <v>39903</v>
      </c>
      <c r="D116" s="617">
        <f ca="1">D125</f>
        <v>1</v>
      </c>
      <c r="E116" s="602">
        <f>SUM('Revenues &amp; Expenses'!BJ117:$BJ$258)</f>
        <v>69008649.87874338</v>
      </c>
      <c r="F116" s="618">
        <f t="shared" ca="1" si="12"/>
        <v>52103253.967642821</v>
      </c>
      <c r="G116" s="635">
        <f t="shared" ca="1" si="8"/>
        <v>16905395.911100559</v>
      </c>
      <c r="H116" s="635">
        <f t="shared" ca="1" si="9"/>
        <v>0</v>
      </c>
      <c r="K116" s="618">
        <f t="shared" ca="1" si="10"/>
        <v>1059139.9402864368</v>
      </c>
      <c r="L116" s="618">
        <f ca="1">K116*'Revenues &amp; Expenses'!N117</f>
        <v>545131.0336944114</v>
      </c>
      <c r="M116" s="618">
        <f ca="1">SUM(L116:$L$257)</f>
        <v>52103253.967642792</v>
      </c>
      <c r="O116" s="602">
        <f ca="1">HLOOKUP(C116,'Debt Amortization'!$H$5:$AB$9,5)</f>
        <v>92172021.777322665</v>
      </c>
    </row>
    <row r="117" spans="1:15">
      <c r="A117" s="615">
        <f t="shared" si="11"/>
        <v>107</v>
      </c>
      <c r="B117" s="602">
        <v>30</v>
      </c>
      <c r="C117" s="616">
        <v>39933</v>
      </c>
      <c r="D117" s="617">
        <f ca="1">D125</f>
        <v>1</v>
      </c>
      <c r="E117" s="602">
        <f>SUM('Revenues &amp; Expenses'!BJ118:$BJ$258)</f>
        <v>69008649.87874338</v>
      </c>
      <c r="F117" s="618">
        <f t="shared" ca="1" si="12"/>
        <v>51558122.93394842</v>
      </c>
      <c r="G117" s="635">
        <f t="shared" ca="1" si="8"/>
        <v>17450526.94479496</v>
      </c>
      <c r="H117" s="635">
        <f t="shared" ca="1" si="9"/>
        <v>0</v>
      </c>
      <c r="K117" s="618">
        <f t="shared" ca="1" si="10"/>
        <v>1059139.9402864368</v>
      </c>
      <c r="L117" s="618">
        <f ca="1">K117*'Revenues &amp; Expenses'!N118</f>
        <v>541696.83999038965</v>
      </c>
      <c r="M117" s="618">
        <f ca="1">SUM(L117:$L$257)</f>
        <v>51558122.93394839</v>
      </c>
      <c r="O117" s="602">
        <f ca="1">HLOOKUP(C117,'Debt Amortization'!$H$5:$AB$9,5)</f>
        <v>92172021.777322665</v>
      </c>
    </row>
    <row r="118" spans="1:15">
      <c r="A118" s="615">
        <f t="shared" si="11"/>
        <v>108</v>
      </c>
      <c r="B118" s="602">
        <v>31</v>
      </c>
      <c r="C118" s="616">
        <v>39964</v>
      </c>
      <c r="D118" s="617">
        <f ca="1">D125</f>
        <v>1</v>
      </c>
      <c r="E118" s="602">
        <f>SUM('Revenues &amp; Expenses'!BJ119:$BJ$258)</f>
        <v>69008649.87874338</v>
      </c>
      <c r="F118" s="618">
        <f t="shared" ca="1" si="12"/>
        <v>51016426.093958028</v>
      </c>
      <c r="G118" s="635">
        <f t="shared" ca="1" si="8"/>
        <v>17992223.784785353</v>
      </c>
      <c r="H118" s="635">
        <f t="shared" ca="1" si="9"/>
        <v>0</v>
      </c>
      <c r="K118" s="618">
        <f t="shared" ca="1" si="10"/>
        <v>1059139.9402864368</v>
      </c>
      <c r="L118" s="618">
        <f ca="1">K118*'Revenues &amp; Expenses'!N119</f>
        <v>538392.77057956031</v>
      </c>
      <c r="M118" s="618">
        <f ca="1">SUM(L118:$L$257)</f>
        <v>51016426.093958005</v>
      </c>
      <c r="O118" s="602">
        <f ca="1">HLOOKUP(C118,'Debt Amortization'!$H$5:$AB$9,5)</f>
        <v>92172021.777322665</v>
      </c>
    </row>
    <row r="119" spans="1:15">
      <c r="A119" s="615">
        <f t="shared" si="11"/>
        <v>109</v>
      </c>
      <c r="B119" s="602">
        <v>30</v>
      </c>
      <c r="C119" s="616">
        <v>39994</v>
      </c>
      <c r="D119" s="617">
        <f ca="1">D125</f>
        <v>1</v>
      </c>
      <c r="E119" s="602">
        <f>SUM('Revenues &amp; Expenses'!BJ120:$BJ$258)</f>
        <v>69008649.87874338</v>
      </c>
      <c r="F119" s="618">
        <f t="shared" ca="1" si="12"/>
        <v>50478033.323378466</v>
      </c>
      <c r="G119" s="635">
        <f t="shared" ca="1" si="8"/>
        <v>18530616.555364914</v>
      </c>
      <c r="H119" s="635">
        <f t="shared" ca="1" si="9"/>
        <v>0</v>
      </c>
      <c r="K119" s="618">
        <f t="shared" ca="1" si="10"/>
        <v>1059139.9402864368</v>
      </c>
      <c r="L119" s="618">
        <f ca="1">K119*'Revenues &amp; Expenses'!N120</f>
        <v>534998.44580063794</v>
      </c>
      <c r="M119" s="618">
        <f ca="1">SUM(L119:$L$257)</f>
        <v>50478033.323378444</v>
      </c>
      <c r="O119" s="602">
        <f ca="1">HLOOKUP(C119,'Debt Amortization'!$H$5:$AB$9,5)</f>
        <v>92172021.777322665</v>
      </c>
    </row>
    <row r="120" spans="1:15">
      <c r="A120" s="615">
        <f t="shared" si="11"/>
        <v>110</v>
      </c>
      <c r="B120" s="602">
        <v>31</v>
      </c>
      <c r="C120" s="616">
        <v>40025</v>
      </c>
      <c r="D120" s="617">
        <f ca="1">D125</f>
        <v>1</v>
      </c>
      <c r="E120" s="602">
        <f>SUM('Revenues &amp; Expenses'!BJ121:$BJ$258)</f>
        <v>67924817.967664897</v>
      </c>
      <c r="F120" s="618">
        <f t="shared" ca="1" si="12"/>
        <v>49943034.877577849</v>
      </c>
      <c r="G120" s="635">
        <f t="shared" ca="1" si="8"/>
        <v>17981783.090087049</v>
      </c>
      <c r="H120" s="635">
        <f t="shared" ca="1" si="9"/>
        <v>0</v>
      </c>
      <c r="K120" s="618">
        <f t="shared" ca="1" si="10"/>
        <v>1059139.9402864368</v>
      </c>
      <c r="L120" s="618">
        <f ca="1">K120*'Revenues &amp; Expenses'!N121</f>
        <v>531732.75112475513</v>
      </c>
      <c r="M120" s="618">
        <f ca="1">SUM(L120:$L$257)</f>
        <v>49943034.877577811</v>
      </c>
      <c r="O120" s="602">
        <f ca="1">HLOOKUP(C120,'Debt Amortization'!$H$5:$AB$9,5)</f>
        <v>92172021.777322665</v>
      </c>
    </row>
    <row r="121" spans="1:15">
      <c r="A121" s="615">
        <f t="shared" si="11"/>
        <v>111</v>
      </c>
      <c r="B121" s="602">
        <v>31</v>
      </c>
      <c r="C121" s="616">
        <v>40056</v>
      </c>
      <c r="D121" s="617">
        <f ca="1">D125</f>
        <v>1</v>
      </c>
      <c r="E121" s="602">
        <f>SUM('Revenues &amp; Expenses'!BJ122:$BJ$258)</f>
        <v>64559680.8375296</v>
      </c>
      <c r="F121" s="618">
        <f t="shared" ca="1" si="12"/>
        <v>49411302.126453079</v>
      </c>
      <c r="G121" s="635">
        <f t="shared" ca="1" si="8"/>
        <v>15148378.71107652</v>
      </c>
      <c r="H121" s="635">
        <f t="shared" ca="1" si="9"/>
        <v>0</v>
      </c>
      <c r="K121" s="618">
        <f t="shared" ca="1" si="10"/>
        <v>1059139.9402864368</v>
      </c>
      <c r="L121" s="618">
        <f ca="1">K121*'Revenues &amp; Expenses'!N122</f>
        <v>528377.86626399239</v>
      </c>
      <c r="M121" s="618">
        <f ca="1">SUM(L121:$L$257)</f>
        <v>49411302.126453057</v>
      </c>
      <c r="O121" s="602">
        <f ca="1">HLOOKUP(C121,'Debt Amortization'!$H$5:$AB$9,5)</f>
        <v>92172021.777322665</v>
      </c>
    </row>
    <row r="122" spans="1:15">
      <c r="A122" s="615">
        <f t="shared" si="11"/>
        <v>112</v>
      </c>
      <c r="B122" s="602">
        <v>30</v>
      </c>
      <c r="C122" s="616">
        <v>40086</v>
      </c>
      <c r="D122" s="617">
        <f ca="1">D125</f>
        <v>1</v>
      </c>
      <c r="E122" s="602">
        <f>SUM('Revenues &amp; Expenses'!BJ123:$BJ$258)</f>
        <v>61803977.533396475</v>
      </c>
      <c r="F122" s="618">
        <f t="shared" ca="1" si="12"/>
        <v>48882924.260189094</v>
      </c>
      <c r="G122" s="635">
        <f t="shared" ca="1" si="8"/>
        <v>12921053.273207381</v>
      </c>
      <c r="H122" s="635">
        <f t="shared" ca="1" si="9"/>
        <v>0</v>
      </c>
      <c r="K122" s="618">
        <f t="shared" ca="1" si="10"/>
        <v>1059139.9402864368</v>
      </c>
      <c r="L122" s="618">
        <f ca="1">K122*'Revenues &amp; Expenses'!N123</f>
        <v>525042.86157573678</v>
      </c>
      <c r="M122" s="618">
        <f ca="1">SUM(L122:$L$257)</f>
        <v>48882924.260189064</v>
      </c>
      <c r="O122" s="602">
        <f ca="1">HLOOKUP(C122,'Debt Amortization'!$H$5:$AB$9,5)</f>
        <v>92172021.777322665</v>
      </c>
    </row>
    <row r="123" spans="1:15">
      <c r="A123" s="615">
        <f t="shared" si="11"/>
        <v>113</v>
      </c>
      <c r="B123" s="602">
        <v>31</v>
      </c>
      <c r="C123" s="616">
        <v>40117</v>
      </c>
      <c r="D123" s="617">
        <f ca="1">D125</f>
        <v>1</v>
      </c>
      <c r="E123" s="602">
        <f>SUM('Revenues &amp; Expenses'!BJ124:$BJ$258)</f>
        <v>61803977.533396475</v>
      </c>
      <c r="F123" s="618">
        <f t="shared" ca="1" si="12"/>
        <v>48357881.398613356</v>
      </c>
      <c r="G123" s="635">
        <f t="shared" ca="1" si="8"/>
        <v>13446096.134783119</v>
      </c>
      <c r="H123" s="635">
        <f t="shared" ca="1" si="9"/>
        <v>0</v>
      </c>
      <c r="K123" s="618">
        <f t="shared" ca="1" si="10"/>
        <v>1059139.9402864368</v>
      </c>
      <c r="L123" s="618">
        <f ca="1">K123*'Revenues &amp; Expenses'!N124</f>
        <v>521834.26342710876</v>
      </c>
      <c r="M123" s="618">
        <f ca="1">SUM(L123:$L$257)</f>
        <v>48357881.398613326</v>
      </c>
      <c r="O123" s="602">
        <f ca="1">HLOOKUP(C123,'Debt Amortization'!$H$5:$AB$9,5)</f>
        <v>92172021.777322665</v>
      </c>
    </row>
    <row r="124" spans="1:15">
      <c r="A124" s="615">
        <f t="shared" si="11"/>
        <v>114</v>
      </c>
      <c r="B124" s="602">
        <v>30</v>
      </c>
      <c r="C124" s="616">
        <v>40147</v>
      </c>
      <c r="D124" s="617">
        <f ca="1">D125</f>
        <v>1</v>
      </c>
      <c r="E124" s="602">
        <f>SUM('Revenues &amp; Expenses'!BJ125:$BJ$258)</f>
        <v>61803977.533396475</v>
      </c>
      <c r="F124" s="618">
        <f t="shared" ca="1" si="12"/>
        <v>47836047.135186248</v>
      </c>
      <c r="G124" s="635">
        <f t="shared" ca="1" si="8"/>
        <v>13967930.398210227</v>
      </c>
      <c r="H124" s="635">
        <f t="shared" ca="1" si="9"/>
        <v>0</v>
      </c>
      <c r="K124" s="618">
        <f t="shared" ca="1" si="10"/>
        <v>1059139.9402864368</v>
      </c>
      <c r="L124" s="618">
        <f ca="1">K124*'Revenues &amp; Expenses'!N125</f>
        <v>518538.0595435155</v>
      </c>
      <c r="M124" s="618">
        <f ca="1">SUM(L124:$L$257)</f>
        <v>47836047.135186218</v>
      </c>
      <c r="O124" s="602">
        <f ca="1">HLOOKUP(C124,'Debt Amortization'!$H$5:$AB$9,5)</f>
        <v>92172021.777322665</v>
      </c>
    </row>
    <row r="125" spans="1:15">
      <c r="A125" s="615">
        <f t="shared" si="11"/>
        <v>115</v>
      </c>
      <c r="B125" s="602">
        <v>31</v>
      </c>
      <c r="C125" s="616">
        <v>40178</v>
      </c>
      <c r="D125" s="617">
        <f ca="1">'Deal Depiction'!J17</f>
        <v>1</v>
      </c>
      <c r="E125" s="602">
        <f>SUM('Revenues &amp; Expenses'!BJ126:$BJ$258)</f>
        <v>61803977.533396475</v>
      </c>
      <c r="F125" s="618">
        <f t="shared" ca="1" si="12"/>
        <v>47317509.075642727</v>
      </c>
      <c r="G125" s="635">
        <f t="shared" ca="1" si="8"/>
        <v>14486468.457753748</v>
      </c>
      <c r="H125" s="635">
        <f t="shared" ca="1" si="9"/>
        <v>0</v>
      </c>
      <c r="K125" s="618">
        <f t="shared" ca="1" si="10"/>
        <v>1059139.9402864368</v>
      </c>
      <c r="L125" s="618">
        <f ca="1">K125*'Revenues &amp; Expenses'!N126</f>
        <v>515366.80752808595</v>
      </c>
      <c r="M125" s="618">
        <f ca="1">SUM(L125:$L$257)</f>
        <v>47317509.075642698</v>
      </c>
      <c r="O125" s="602">
        <f ca="1">HLOOKUP(C125,'Debt Amortization'!$H$5:$AB$9,5)</f>
        <v>92172021.777322665</v>
      </c>
    </row>
    <row r="126" spans="1:15">
      <c r="A126" s="615">
        <f t="shared" si="11"/>
        <v>116</v>
      </c>
      <c r="B126" s="602">
        <v>31</v>
      </c>
      <c r="C126" s="616">
        <v>40209</v>
      </c>
      <c r="D126" s="617">
        <f ca="1">D137</f>
        <v>1</v>
      </c>
      <c r="E126" s="602">
        <f>SUM('Revenues &amp; Expenses'!BJ127:$BJ$258)</f>
        <v>61803977.533396475</v>
      </c>
      <c r="F126" s="618">
        <f t="shared" ca="1" si="12"/>
        <v>46802142.268114649</v>
      </c>
      <c r="G126" s="635">
        <f t="shared" ca="1" si="8"/>
        <v>15001835.265281826</v>
      </c>
      <c r="H126" s="635">
        <f t="shared" ca="1" si="9"/>
        <v>0</v>
      </c>
      <c r="K126" s="618">
        <f t="shared" ca="1" si="10"/>
        <v>1059139.9402864368</v>
      </c>
      <c r="L126" s="618">
        <f ca="1">K126*'Revenues &amp; Expenses'!N127</f>
        <v>512108.9858836417</v>
      </c>
      <c r="M126" s="618">
        <f ca="1">SUM(L126:$L$257)</f>
        <v>46802142.268114612</v>
      </c>
      <c r="O126" s="602">
        <f ca="1">HLOOKUP(C126,'Debt Amortization'!$H$5:$AB$9,5)</f>
        <v>87526610.7173298</v>
      </c>
    </row>
    <row r="127" spans="1:15">
      <c r="A127" s="615">
        <f t="shared" si="11"/>
        <v>117</v>
      </c>
      <c r="B127" s="602">
        <v>28</v>
      </c>
      <c r="C127" s="616">
        <v>40237</v>
      </c>
      <c r="D127" s="617">
        <f ca="1">D137</f>
        <v>1</v>
      </c>
      <c r="E127" s="602">
        <f>SUM('Revenues &amp; Expenses'!BJ128:$BJ$258)</f>
        <v>61803977.533396475</v>
      </c>
      <c r="F127" s="618">
        <f t="shared" ca="1" si="12"/>
        <v>46290033.28223101</v>
      </c>
      <c r="G127" s="635">
        <f t="shared" ca="1" si="8"/>
        <v>15513944.251165465</v>
      </c>
      <c r="H127" s="635">
        <f t="shared" ca="1" si="9"/>
        <v>0</v>
      </c>
      <c r="K127" s="618">
        <f t="shared" ca="1" si="10"/>
        <v>1059139.9402864368</v>
      </c>
      <c r="L127" s="618">
        <f ca="1">K127*'Revenues &amp; Expenses'!N128</f>
        <v>508870.51087552495</v>
      </c>
      <c r="M127" s="618">
        <f ca="1">SUM(L127:$L$257)</f>
        <v>46290033.282230973</v>
      </c>
      <c r="O127" s="602">
        <f ca="1">HLOOKUP(C127,'Debt Amortization'!$H$5:$AB$9,5)</f>
        <v>87526610.7173298</v>
      </c>
    </row>
    <row r="128" spans="1:15">
      <c r="A128" s="615">
        <f t="shared" si="11"/>
        <v>118</v>
      </c>
      <c r="B128" s="602">
        <v>31</v>
      </c>
      <c r="C128" s="616">
        <v>40268</v>
      </c>
      <c r="D128" s="617">
        <f ca="1">D137</f>
        <v>1</v>
      </c>
      <c r="E128" s="602">
        <f>SUM('Revenues &amp; Expenses'!BJ129:$BJ$258)</f>
        <v>61803977.533396475</v>
      </c>
      <c r="F128" s="618">
        <f t="shared" ca="1" si="12"/>
        <v>45781162.771355473</v>
      </c>
      <c r="G128" s="635">
        <f t="shared" ca="1" si="8"/>
        <v>16022814.762041003</v>
      </c>
      <c r="H128" s="635">
        <f t="shared" ca="1" si="9"/>
        <v>0</v>
      </c>
      <c r="K128" s="618">
        <f t="shared" ca="1" si="10"/>
        <v>1059139.9402864368</v>
      </c>
      <c r="L128" s="618">
        <f ca="1">K128*'Revenues &amp; Expenses'!N129</f>
        <v>505961.97691936186</v>
      </c>
      <c r="M128" s="618">
        <f ca="1">SUM(L128:$L$257)</f>
        <v>45781162.771355443</v>
      </c>
      <c r="O128" s="602">
        <f ca="1">HLOOKUP(C128,'Debt Amortization'!$H$5:$AB$9,5)</f>
        <v>87526610.7173298</v>
      </c>
    </row>
    <row r="129" spans="1:15">
      <c r="A129" s="615">
        <f t="shared" si="11"/>
        <v>119</v>
      </c>
      <c r="B129" s="602">
        <v>30</v>
      </c>
      <c r="C129" s="616">
        <v>40298</v>
      </c>
      <c r="D129" s="617">
        <f ca="1">D137</f>
        <v>1</v>
      </c>
      <c r="E129" s="602">
        <f>SUM('Revenues &amp; Expenses'!BJ130:$BJ$258)</f>
        <v>61803977.533396475</v>
      </c>
      <c r="F129" s="618">
        <f t="shared" ca="1" si="12"/>
        <v>45275200.794436119</v>
      </c>
      <c r="G129" s="635">
        <f t="shared" ca="1" si="8"/>
        <v>16528776.738960356</v>
      </c>
      <c r="H129" s="635">
        <f t="shared" ca="1" si="9"/>
        <v>0</v>
      </c>
      <c r="K129" s="618">
        <f t="shared" ca="1" si="10"/>
        <v>1059139.9402864368</v>
      </c>
      <c r="L129" s="618">
        <f ca="1">K129*'Revenues &amp; Expenses'!N130</f>
        <v>502837.15494621592</v>
      </c>
      <c r="M129" s="618">
        <f ca="1">SUM(L129:$L$257)</f>
        <v>45275200.794436075</v>
      </c>
      <c r="O129" s="602">
        <f ca="1">HLOOKUP(C129,'Debt Amortization'!$H$5:$AB$9,5)</f>
        <v>87526610.7173298</v>
      </c>
    </row>
    <row r="130" spans="1:15">
      <c r="A130" s="615">
        <f t="shared" si="11"/>
        <v>120</v>
      </c>
      <c r="B130" s="602">
        <v>31</v>
      </c>
      <c r="C130" s="616">
        <v>40329</v>
      </c>
      <c r="D130" s="617">
        <f ca="1">D137</f>
        <v>1</v>
      </c>
      <c r="E130" s="602">
        <f>SUM('Revenues &amp; Expenses'!BJ131:$BJ$258)</f>
        <v>61803977.533396475</v>
      </c>
      <c r="F130" s="618">
        <f t="shared" ca="1" si="12"/>
        <v>44772363.639489897</v>
      </c>
      <c r="G130" s="635">
        <f t="shared" ca="1" si="8"/>
        <v>17031613.893906578</v>
      </c>
      <c r="H130" s="635">
        <f t="shared" ca="1" si="9"/>
        <v>0</v>
      </c>
      <c r="K130" s="618">
        <f t="shared" ca="1" si="10"/>
        <v>1059139.9402864368</v>
      </c>
      <c r="L130" s="618">
        <f ca="1">K130*'Revenues &amp; Expenses'!N131</f>
        <v>499853.37433335639</v>
      </c>
      <c r="M130" s="618">
        <f ca="1">SUM(L130:$L$257)</f>
        <v>44772363.639489867</v>
      </c>
      <c r="O130" s="602">
        <f ca="1">HLOOKUP(C130,'Debt Amortization'!$H$5:$AB$9,5)</f>
        <v>87526610.7173298</v>
      </c>
    </row>
    <row r="131" spans="1:15">
      <c r="A131" s="615">
        <f t="shared" si="11"/>
        <v>121</v>
      </c>
      <c r="B131" s="602">
        <v>30</v>
      </c>
      <c r="C131" s="616">
        <v>40359</v>
      </c>
      <c r="D131" s="617">
        <f ca="1">D137</f>
        <v>1</v>
      </c>
      <c r="E131" s="602">
        <f>SUM('Revenues &amp; Expenses'!BJ132:$BJ$258)</f>
        <v>61803977.533396475</v>
      </c>
      <c r="F131" s="618">
        <f t="shared" ca="1" si="12"/>
        <v>44272510.265156545</v>
      </c>
      <c r="G131" s="635">
        <f t="shared" ca="1" si="8"/>
        <v>17531467.26823993</v>
      </c>
      <c r="H131" s="635">
        <f t="shared" ca="1" si="9"/>
        <v>0</v>
      </c>
      <c r="K131" s="618">
        <f t="shared" ca="1" si="10"/>
        <v>1059139.9402864368</v>
      </c>
      <c r="L131" s="618">
        <f ca="1">K131*'Revenues &amp; Expenses'!N132</f>
        <v>496789.14757100475</v>
      </c>
      <c r="M131" s="618">
        <f ca="1">SUM(L131:$L$257)</f>
        <v>44272510.2651565</v>
      </c>
      <c r="O131" s="602">
        <f ca="1">HLOOKUP(C131,'Debt Amortization'!$H$5:$AB$9,5)</f>
        <v>87526610.7173298</v>
      </c>
    </row>
    <row r="132" spans="1:15">
      <c r="A132" s="615">
        <f t="shared" si="11"/>
        <v>122</v>
      </c>
      <c r="B132" s="602">
        <v>31</v>
      </c>
      <c r="C132" s="616">
        <v>40390</v>
      </c>
      <c r="D132" s="617">
        <f ca="1">D137</f>
        <v>1</v>
      </c>
      <c r="E132" s="602">
        <f>SUM('Revenues &amp; Expenses'!BJ133:$BJ$258)</f>
        <v>60797312.745027155</v>
      </c>
      <c r="F132" s="618">
        <f t="shared" ca="1" si="12"/>
        <v>43775721.117585532</v>
      </c>
      <c r="G132" s="635">
        <f t="shared" ca="1" si="8"/>
        <v>17021591.627441622</v>
      </c>
      <c r="H132" s="635">
        <f t="shared" ca="1" si="9"/>
        <v>0</v>
      </c>
      <c r="K132" s="618">
        <f t="shared" ca="1" si="10"/>
        <v>1059139.9402864368</v>
      </c>
      <c r="L132" s="618">
        <f ca="1">K132*'Revenues &amp; Expenses'!N133</f>
        <v>493842.05151195306</v>
      </c>
      <c r="M132" s="618">
        <f ca="1">SUM(L132:$L$257)</f>
        <v>43775721.117585503</v>
      </c>
      <c r="O132" s="602">
        <f ca="1">HLOOKUP(C132,'Debt Amortization'!$H$5:$AB$9,5)</f>
        <v>87526610.7173298</v>
      </c>
    </row>
    <row r="133" spans="1:15">
      <c r="A133" s="615">
        <f t="shared" si="11"/>
        <v>123</v>
      </c>
      <c r="B133" s="602">
        <v>31</v>
      </c>
      <c r="C133" s="616">
        <v>40421</v>
      </c>
      <c r="D133" s="617">
        <f ca="1">D137</f>
        <v>1</v>
      </c>
      <c r="E133" s="602">
        <f>SUM('Revenues &amp; Expenses'!BJ134:$BJ$258)</f>
        <v>57419247.452363081</v>
      </c>
      <c r="F133" s="618">
        <f t="shared" ca="1" si="12"/>
        <v>43281879.066073589</v>
      </c>
      <c r="G133" s="635">
        <f t="shared" ca="1" si="8"/>
        <v>14137368.386289492</v>
      </c>
      <c r="H133" s="635">
        <f t="shared" ca="1" si="9"/>
        <v>0</v>
      </c>
      <c r="K133" s="618">
        <f t="shared" ca="1" si="10"/>
        <v>1059139.9402864368</v>
      </c>
      <c r="L133" s="618">
        <f ca="1">K133*'Revenues &amp; Expenses'!N134</f>
        <v>490815.4935135945</v>
      </c>
      <c r="M133" s="618">
        <f ca="1">SUM(L133:$L$257)</f>
        <v>43281879.066073552</v>
      </c>
      <c r="O133" s="602">
        <f ca="1">HLOOKUP(C133,'Debt Amortization'!$H$5:$AB$9,5)</f>
        <v>87526610.7173298</v>
      </c>
    </row>
    <row r="134" spans="1:15">
      <c r="A134" s="615">
        <f t="shared" si="11"/>
        <v>124</v>
      </c>
      <c r="B134" s="602">
        <v>30</v>
      </c>
      <c r="C134" s="616">
        <v>40451</v>
      </c>
      <c r="D134" s="617">
        <f ca="1">D137</f>
        <v>1</v>
      </c>
      <c r="E134" s="602">
        <f>SUM('Revenues &amp; Expenses'!BJ135:$BJ$258)</f>
        <v>54867046.023276813</v>
      </c>
      <c r="F134" s="618">
        <f t="shared" ca="1" si="12"/>
        <v>42791063.572559997</v>
      </c>
      <c r="G134" s="635">
        <f t="shared" ca="1" si="8"/>
        <v>12075982.450716816</v>
      </c>
      <c r="H134" s="635">
        <f t="shared" ca="1" si="9"/>
        <v>0</v>
      </c>
      <c r="K134" s="618">
        <f t="shared" ca="1" si="10"/>
        <v>1059139.9402864368</v>
      </c>
      <c r="L134" s="618">
        <f ca="1">K134*'Revenues &amp; Expenses'!N135</f>
        <v>487807.89714558376</v>
      </c>
      <c r="M134" s="618">
        <f ca="1">SUM(L134:$L$257)</f>
        <v>42791063.57255996</v>
      </c>
      <c r="O134" s="602">
        <f ca="1">HLOOKUP(C134,'Debt Amortization'!$H$5:$AB$9,5)</f>
        <v>87526610.7173298</v>
      </c>
    </row>
    <row r="135" spans="1:15">
      <c r="A135" s="615">
        <f t="shared" si="11"/>
        <v>125</v>
      </c>
      <c r="B135" s="602">
        <v>31</v>
      </c>
      <c r="C135" s="616">
        <v>40482</v>
      </c>
      <c r="D135" s="617">
        <f ca="1">D137</f>
        <v>1</v>
      </c>
      <c r="E135" s="602">
        <f>SUM('Revenues &amp; Expenses'!BJ136:$BJ$258)</f>
        <v>54867046.023276813</v>
      </c>
      <c r="F135" s="618">
        <f t="shared" ca="1" si="12"/>
        <v>42303255.675414413</v>
      </c>
      <c r="G135" s="635">
        <f t="shared" ca="1" si="8"/>
        <v>12563790.3478624</v>
      </c>
      <c r="H135" s="635">
        <f t="shared" ca="1" si="9"/>
        <v>0</v>
      </c>
      <c r="K135" s="618">
        <f t="shared" ca="1" si="10"/>
        <v>1059139.9402864368</v>
      </c>
      <c r="L135" s="618">
        <f ca="1">K135*'Revenues &amp; Expenses'!N136</f>
        <v>484915.2597844025</v>
      </c>
      <c r="M135" s="618">
        <f ca="1">SUM(L135:$L$257)</f>
        <v>42303255.675414376</v>
      </c>
      <c r="O135" s="602">
        <f ca="1">HLOOKUP(C135,'Debt Amortization'!$H$5:$AB$9,5)</f>
        <v>87526610.7173298</v>
      </c>
    </row>
    <row r="136" spans="1:15">
      <c r="A136" s="615">
        <f t="shared" si="11"/>
        <v>126</v>
      </c>
      <c r="B136" s="602">
        <v>30</v>
      </c>
      <c r="C136" s="616">
        <v>40512</v>
      </c>
      <c r="D136" s="617">
        <f ca="1">D137</f>
        <v>1</v>
      </c>
      <c r="E136" s="602">
        <f>SUM('Revenues &amp; Expenses'!BJ137:$BJ$258)</f>
        <v>54867046.023276813</v>
      </c>
      <c r="F136" s="618">
        <f t="shared" ca="1" si="12"/>
        <v>41818340.415630013</v>
      </c>
      <c r="G136" s="635">
        <f t="shared" ca="1" si="8"/>
        <v>13048705.607646801</v>
      </c>
      <c r="H136" s="635">
        <f t="shared" ca="1" si="9"/>
        <v>0</v>
      </c>
      <c r="K136" s="618">
        <f t="shared" ca="1" si="10"/>
        <v>1059139.9402864368</v>
      </c>
      <c r="L136" s="618">
        <f ca="1">K136*'Revenues &amp; Expenses'!N137</f>
        <v>481944.62166667345</v>
      </c>
      <c r="M136" s="618">
        <f ca="1">SUM(L136:$L$257)</f>
        <v>41818340.415629983</v>
      </c>
      <c r="O136" s="602">
        <f ca="1">HLOOKUP(C136,'Debt Amortization'!$H$5:$AB$9,5)</f>
        <v>87526610.7173298</v>
      </c>
    </row>
    <row r="137" spans="1:15">
      <c r="A137" s="615">
        <f t="shared" si="11"/>
        <v>127</v>
      </c>
      <c r="B137" s="602">
        <v>31</v>
      </c>
      <c r="C137" s="616">
        <v>40543</v>
      </c>
      <c r="D137" s="617">
        <f ca="1">'Deal Depiction'!J18</f>
        <v>1</v>
      </c>
      <c r="E137" s="602">
        <f>SUM('Revenues &amp; Expenses'!BJ138:$BJ$258)</f>
        <v>54867046.023276813</v>
      </c>
      <c r="F137" s="618">
        <f t="shared" ca="1" si="12"/>
        <v>41336395.793963343</v>
      </c>
      <c r="G137" s="635">
        <f t="shared" ca="1" si="8"/>
        <v>13530650.22931347</v>
      </c>
      <c r="H137" s="635">
        <f t="shared" ca="1" si="9"/>
        <v>0</v>
      </c>
      <c r="K137" s="618">
        <f t="shared" ca="1" si="10"/>
        <v>1059139.9402864368</v>
      </c>
      <c r="L137" s="618">
        <f ca="1">K137*'Revenues &amp; Expenses'!N138</f>
        <v>479087.52532854315</v>
      </c>
      <c r="M137" s="618">
        <f ca="1">SUM(L137:$L$257)</f>
        <v>41336395.793963298</v>
      </c>
      <c r="O137" s="602">
        <f ca="1">HLOOKUP(C137,'Debt Amortization'!$H$5:$AB$9,5)</f>
        <v>87526610.7173298</v>
      </c>
    </row>
    <row r="138" spans="1:15">
      <c r="A138" s="615">
        <f t="shared" si="11"/>
        <v>128</v>
      </c>
      <c r="B138" s="602">
        <v>31</v>
      </c>
      <c r="C138" s="616">
        <v>40574</v>
      </c>
      <c r="D138" s="617">
        <f ca="1">D149</f>
        <v>1</v>
      </c>
      <c r="E138" s="602">
        <f>SUM('Revenues &amp; Expenses'!BJ139:$BJ$258)</f>
        <v>54867046.023276813</v>
      </c>
      <c r="F138" s="618">
        <f t="shared" ca="1" si="12"/>
        <v>40857308.268634796</v>
      </c>
      <c r="G138" s="635">
        <f t="shared" ca="1" si="8"/>
        <v>14009737.754642017</v>
      </c>
      <c r="H138" s="635">
        <f t="shared" ca="1" si="9"/>
        <v>0</v>
      </c>
      <c r="K138" s="618">
        <f t="shared" ca="1" si="10"/>
        <v>1059139.9402864368</v>
      </c>
      <c r="L138" s="618">
        <f ca="1">K138*'Revenues &amp; Expenses'!N139</f>
        <v>476153.38190784998</v>
      </c>
      <c r="M138" s="618">
        <f ca="1">SUM(L138:$L$257)</f>
        <v>40857308.268634766</v>
      </c>
      <c r="O138" s="602">
        <f ca="1">HLOOKUP(C138,'Debt Amortization'!$H$5:$AB$9,5)</f>
        <v>82474765.686663747</v>
      </c>
    </row>
    <row r="139" spans="1:15">
      <c r="A139" s="615">
        <f t="shared" si="11"/>
        <v>129</v>
      </c>
      <c r="B139" s="602">
        <v>28</v>
      </c>
      <c r="C139" s="616">
        <v>40602</v>
      </c>
      <c r="D139" s="617">
        <f ca="1">D149</f>
        <v>1</v>
      </c>
      <c r="E139" s="602">
        <f>SUM('Revenues &amp; Expenses'!BJ140:$BJ$258)</f>
        <v>54867046.023276813</v>
      </c>
      <c r="F139" s="618">
        <f t="shared" ca="1" si="12"/>
        <v>40381154.886726946</v>
      </c>
      <c r="G139" s="635">
        <f t="shared" ca="1" si="8"/>
        <v>14485891.136549868</v>
      </c>
      <c r="H139" s="635">
        <f t="shared" ca="1" si="9"/>
        <v>0</v>
      </c>
      <c r="K139" s="618">
        <f t="shared" ca="1" si="10"/>
        <v>1059139.9402864368</v>
      </c>
      <c r="L139" s="618">
        <f ca="1">K139*'Revenues &amp; Expenses'!N140</f>
        <v>473237.6092270583</v>
      </c>
      <c r="M139" s="618">
        <f ca="1">SUM(L139:$L$257)</f>
        <v>40381154.886726916</v>
      </c>
      <c r="O139" s="602">
        <f ca="1">HLOOKUP(C139,'Debt Amortization'!$H$5:$AB$9,5)</f>
        <v>82474765.686663747</v>
      </c>
    </row>
    <row r="140" spans="1:15">
      <c r="A140" s="615">
        <f t="shared" si="11"/>
        <v>130</v>
      </c>
      <c r="B140" s="602">
        <v>31</v>
      </c>
      <c r="C140" s="616">
        <v>40633</v>
      </c>
      <c r="D140" s="617">
        <f ca="1">D149</f>
        <v>1</v>
      </c>
      <c r="E140" s="602">
        <f>SUM('Revenues &amp; Expenses'!BJ141:$BJ$258)</f>
        <v>54867046.023276813</v>
      </c>
      <c r="F140" s="618">
        <f t="shared" ca="1" si="12"/>
        <v>39907917.277499892</v>
      </c>
      <c r="G140" s="635">
        <f t="shared" ref="G140:G203" ca="1" si="13">IF(AND(D140=1,E140-F140&gt;0),E140-F140,0)</f>
        <v>14959128.745776922</v>
      </c>
      <c r="H140" s="635">
        <f t="shared" ref="H140:H203" ca="1" si="14">IF(AND(D140=1,F140-E140&gt;0),F140-E140,0)</f>
        <v>0</v>
      </c>
      <c r="K140" s="618">
        <f t="shared" ref="K140:K203" ca="1" si="15">($K$2*315000)/12</f>
        <v>1059139.9402864368</v>
      </c>
      <c r="L140" s="618">
        <f ca="1">K140*'Revenues &amp; Expenses'!N141</f>
        <v>470619.70045676793</v>
      </c>
      <c r="M140" s="618">
        <f ca="1">SUM(L140:$L$257)</f>
        <v>39907917.277499862</v>
      </c>
      <c r="O140" s="602">
        <f ca="1">HLOOKUP(C140,'Debt Amortization'!$H$5:$AB$9,5)</f>
        <v>82474765.686663747</v>
      </c>
    </row>
    <row r="141" spans="1:15">
      <c r="A141" s="615">
        <f t="shared" ref="A141:A204" si="16">A140+1</f>
        <v>131</v>
      </c>
      <c r="B141" s="602">
        <v>30</v>
      </c>
      <c r="C141" s="616">
        <v>40663</v>
      </c>
      <c r="D141" s="617">
        <f ca="1">D149</f>
        <v>1</v>
      </c>
      <c r="E141" s="602">
        <f>SUM('Revenues &amp; Expenses'!BJ142:$BJ$258)</f>
        <v>54867046.023276813</v>
      </c>
      <c r="F141" s="618">
        <f t="shared" ca="1" si="12"/>
        <v>39437297.577043124</v>
      </c>
      <c r="G141" s="635">
        <f t="shared" ca="1" si="13"/>
        <v>15429748.44623369</v>
      </c>
      <c r="H141" s="635">
        <f t="shared" ca="1" si="14"/>
        <v>0</v>
      </c>
      <c r="K141" s="618">
        <f t="shared" ca="1" si="15"/>
        <v>1059139.9402864368</v>
      </c>
      <c r="L141" s="618">
        <f ca="1">K141*'Revenues &amp; Expenses'!N142</f>
        <v>467738.56768596714</v>
      </c>
      <c r="M141" s="618">
        <f ca="1">SUM(L141:$L$257)</f>
        <v>39437297.577043094</v>
      </c>
      <c r="O141" s="602">
        <f ca="1">HLOOKUP(C141,'Debt Amortization'!$H$5:$AB$9,5)</f>
        <v>82474765.686663747</v>
      </c>
    </row>
    <row r="142" spans="1:15">
      <c r="A142" s="615">
        <f t="shared" si="16"/>
        <v>132</v>
      </c>
      <c r="B142" s="602">
        <v>31</v>
      </c>
      <c r="C142" s="616">
        <v>40694</v>
      </c>
      <c r="D142" s="617">
        <f ca="1">D149</f>
        <v>1</v>
      </c>
      <c r="E142" s="602">
        <f>SUM('Revenues &amp; Expenses'!BJ143:$BJ$258)</f>
        <v>54867046.023276813</v>
      </c>
      <c r="F142" s="618">
        <f t="shared" ca="1" si="12"/>
        <v>38969559.009357162</v>
      </c>
      <c r="G142" s="635">
        <f t="shared" ca="1" si="13"/>
        <v>15897487.013919652</v>
      </c>
      <c r="H142" s="635">
        <f t="shared" ca="1" si="14"/>
        <v>0</v>
      </c>
      <c r="K142" s="618">
        <f t="shared" ca="1" si="15"/>
        <v>1059139.9402864368</v>
      </c>
      <c r="L142" s="618">
        <f ca="1">K142*'Revenues &amp; Expenses'!N143</f>
        <v>464967.54469330062</v>
      </c>
      <c r="M142" s="618">
        <f ca="1">SUM(L142:$L$257)</f>
        <v>38969559.009357125</v>
      </c>
      <c r="O142" s="602">
        <f ca="1">HLOOKUP(C142,'Debt Amortization'!$H$5:$AB$9,5)</f>
        <v>82474765.686663747</v>
      </c>
    </row>
    <row r="143" spans="1:15">
      <c r="A143" s="615">
        <f t="shared" si="16"/>
        <v>133</v>
      </c>
      <c r="B143" s="602">
        <v>30</v>
      </c>
      <c r="C143" s="616">
        <v>40724</v>
      </c>
      <c r="D143" s="617">
        <f ca="1">D149</f>
        <v>1</v>
      </c>
      <c r="E143" s="602">
        <f>SUM('Revenues &amp; Expenses'!BJ144:$BJ$258)</f>
        <v>54867046.023276813</v>
      </c>
      <c r="F143" s="618">
        <f t="shared" ca="1" si="12"/>
        <v>38504591.464663856</v>
      </c>
      <c r="G143" s="635">
        <f t="shared" ca="1" si="13"/>
        <v>16362454.558612958</v>
      </c>
      <c r="H143" s="635">
        <f t="shared" ca="1" si="14"/>
        <v>0</v>
      </c>
      <c r="K143" s="618">
        <f t="shared" ca="1" si="15"/>
        <v>1059139.9402864368</v>
      </c>
      <c r="L143" s="618">
        <f ca="1">K143*'Revenues &amp; Expenses'!N144</f>
        <v>462121.78446849081</v>
      </c>
      <c r="M143" s="618">
        <f ca="1">SUM(L143:$L$257)</f>
        <v>38504591.464663826</v>
      </c>
      <c r="O143" s="602">
        <f ca="1">HLOOKUP(C143,'Debt Amortization'!$H$5:$AB$9,5)</f>
        <v>82474765.686663747</v>
      </c>
    </row>
    <row r="144" spans="1:15">
      <c r="A144" s="615">
        <f t="shared" si="16"/>
        <v>134</v>
      </c>
      <c r="B144" s="602">
        <v>31</v>
      </c>
      <c r="C144" s="616">
        <v>40755</v>
      </c>
      <c r="D144" s="617">
        <f ca="1">D149</f>
        <v>1</v>
      </c>
      <c r="E144" s="602">
        <f>SUM('Revenues &amp; Expenses'!BJ145:$BJ$258)</f>
        <v>53857061.205637366</v>
      </c>
      <c r="F144" s="618">
        <f t="shared" ca="1" si="12"/>
        <v>38042469.680195369</v>
      </c>
      <c r="G144" s="635">
        <f t="shared" ca="1" si="13"/>
        <v>15814591.525441997</v>
      </c>
      <c r="H144" s="635">
        <f t="shared" ca="1" si="14"/>
        <v>0</v>
      </c>
      <c r="K144" s="618">
        <f t="shared" ca="1" si="15"/>
        <v>1059139.9402864368</v>
      </c>
      <c r="L144" s="618">
        <f ca="1">K144*'Revenues &amp; Expenses'!N145</f>
        <v>459384.77778658777</v>
      </c>
      <c r="M144" s="618">
        <f ca="1">SUM(L144:$L$257)</f>
        <v>38042469.680195332</v>
      </c>
      <c r="O144" s="602">
        <f ca="1">HLOOKUP(C144,'Debt Amortization'!$H$5:$AB$9,5)</f>
        <v>82474765.686663747</v>
      </c>
    </row>
    <row r="145" spans="1:15">
      <c r="A145" s="615">
        <f t="shared" si="16"/>
        <v>135</v>
      </c>
      <c r="B145" s="602">
        <v>31</v>
      </c>
      <c r="C145" s="616">
        <v>40786</v>
      </c>
      <c r="D145" s="617">
        <f ca="1">D149</f>
        <v>1</v>
      </c>
      <c r="E145" s="602">
        <f>SUM('Revenues &amp; Expenses'!BJ146:$BJ$258)</f>
        <v>50613234.768165968</v>
      </c>
      <c r="F145" s="618">
        <f t="shared" ca="1" si="12"/>
        <v>37583084.902408786</v>
      </c>
      <c r="G145" s="635">
        <f t="shared" ca="1" si="13"/>
        <v>13030149.865757182</v>
      </c>
      <c r="H145" s="635">
        <f t="shared" ca="1" si="14"/>
        <v>0</v>
      </c>
      <c r="K145" s="618">
        <f t="shared" ca="1" si="15"/>
        <v>1059139.9402864368</v>
      </c>
      <c r="L145" s="618">
        <f ca="1">K145*'Revenues &amp; Expenses'!N146</f>
        <v>456573.94682429492</v>
      </c>
      <c r="M145" s="618">
        <f ca="1">SUM(L145:$L$257)</f>
        <v>37583084.902408741</v>
      </c>
      <c r="O145" s="602">
        <f ca="1">HLOOKUP(C145,'Debt Amortization'!$H$5:$AB$9,5)</f>
        <v>82474765.686663747</v>
      </c>
    </row>
    <row r="146" spans="1:15">
      <c r="A146" s="615">
        <f t="shared" si="16"/>
        <v>136</v>
      </c>
      <c r="B146" s="602">
        <v>30</v>
      </c>
      <c r="C146" s="616">
        <v>40816</v>
      </c>
      <c r="D146" s="617">
        <f ca="1">D149</f>
        <v>1</v>
      </c>
      <c r="E146" s="602">
        <f>SUM('Revenues &amp; Expenses'!BJ147:$BJ$258)</f>
        <v>48256474.206725605</v>
      </c>
      <c r="F146" s="618">
        <f t="shared" ca="1" si="12"/>
        <v>37126510.955584489</v>
      </c>
      <c r="G146" s="635">
        <f t="shared" ca="1" si="13"/>
        <v>11129963.251141116</v>
      </c>
      <c r="H146" s="635">
        <f t="shared" ca="1" si="14"/>
        <v>0</v>
      </c>
      <c r="K146" s="618">
        <f t="shared" ca="1" si="15"/>
        <v>1059139.9402864368</v>
      </c>
      <c r="L146" s="618">
        <f ca="1">K146*'Revenues &amp; Expenses'!N147</f>
        <v>453780.69873651967</v>
      </c>
      <c r="M146" s="618">
        <f ca="1">SUM(L146:$L$257)</f>
        <v>37126510.955584452</v>
      </c>
      <c r="O146" s="602">
        <f ca="1">HLOOKUP(C146,'Debt Amortization'!$H$5:$AB$9,5)</f>
        <v>82474765.686663747</v>
      </c>
    </row>
    <row r="147" spans="1:15">
      <c r="A147" s="615">
        <f t="shared" si="16"/>
        <v>137</v>
      </c>
      <c r="B147" s="602">
        <v>31</v>
      </c>
      <c r="C147" s="616">
        <v>40847</v>
      </c>
      <c r="D147" s="617">
        <f ca="1">D149</f>
        <v>1</v>
      </c>
      <c r="E147" s="602">
        <f>SUM('Revenues &amp; Expenses'!BJ148:$BJ$258)</f>
        <v>48256474.206725605</v>
      </c>
      <c r="F147" s="618">
        <f t="shared" ref="F147:F210" ca="1" si="17">M147</f>
        <v>36672730.256847978</v>
      </c>
      <c r="G147" s="635">
        <f t="shared" ca="1" si="13"/>
        <v>11583743.949877627</v>
      </c>
      <c r="H147" s="635">
        <f t="shared" ca="1" si="14"/>
        <v>0</v>
      </c>
      <c r="K147" s="618">
        <f t="shared" ca="1" si="15"/>
        <v>1059139.9402864368</v>
      </c>
      <c r="L147" s="618">
        <f ca="1">K147*'Revenues &amp; Expenses'!N148</f>
        <v>451094.19089863548</v>
      </c>
      <c r="M147" s="618">
        <f ca="1">SUM(L147:$L$257)</f>
        <v>36672730.256847925</v>
      </c>
      <c r="O147" s="602">
        <f ca="1">HLOOKUP(C147,'Debt Amortization'!$H$5:$AB$9,5)</f>
        <v>82474765.686663747</v>
      </c>
    </row>
    <row r="148" spans="1:15">
      <c r="A148" s="615">
        <f t="shared" si="16"/>
        <v>138</v>
      </c>
      <c r="B148" s="602">
        <v>30</v>
      </c>
      <c r="C148" s="616">
        <v>40877</v>
      </c>
      <c r="D148" s="617">
        <f ca="1">D149</f>
        <v>1</v>
      </c>
      <c r="E148" s="602">
        <f>SUM('Revenues &amp; Expenses'!BJ149:$BJ$258)</f>
        <v>48256474.206725605</v>
      </c>
      <c r="F148" s="618">
        <f t="shared" ca="1" si="17"/>
        <v>36221636.065949336</v>
      </c>
      <c r="G148" s="635">
        <f t="shared" ca="1" si="13"/>
        <v>12034838.140776269</v>
      </c>
      <c r="H148" s="635">
        <f t="shared" ca="1" si="14"/>
        <v>0</v>
      </c>
      <c r="K148" s="618">
        <f t="shared" ca="1" si="15"/>
        <v>1059139.9402864368</v>
      </c>
      <c r="L148" s="618">
        <f ca="1">K148*'Revenues &amp; Expenses'!N149</f>
        <v>448335.21420290426</v>
      </c>
      <c r="M148" s="618">
        <f ca="1">SUM(L148:$L$257)</f>
        <v>36221636.065949291</v>
      </c>
      <c r="O148" s="602">
        <f ca="1">HLOOKUP(C148,'Debt Amortization'!$H$5:$AB$9,5)</f>
        <v>82474765.686663747</v>
      </c>
    </row>
    <row r="149" spans="1:15">
      <c r="A149" s="615">
        <f t="shared" si="16"/>
        <v>139</v>
      </c>
      <c r="B149" s="602">
        <v>31</v>
      </c>
      <c r="C149" s="616">
        <v>40908</v>
      </c>
      <c r="D149" s="617">
        <f ca="1">'Deal Depiction'!J19</f>
        <v>1</v>
      </c>
      <c r="E149" s="602">
        <f>SUM('Revenues &amp; Expenses'!BJ150:$BJ$258)</f>
        <v>48256474.206725605</v>
      </c>
      <c r="F149" s="618">
        <f t="shared" ca="1" si="17"/>
        <v>35773300.85174644</v>
      </c>
      <c r="G149" s="635">
        <f t="shared" ca="1" si="13"/>
        <v>12483173.354979165</v>
      </c>
      <c r="H149" s="635">
        <f t="shared" ca="1" si="14"/>
        <v>0</v>
      </c>
      <c r="K149" s="618">
        <f t="shared" ca="1" si="15"/>
        <v>1059139.9402864368</v>
      </c>
      <c r="L149" s="618">
        <f ca="1">K149*'Revenues &amp; Expenses'!N150</f>
        <v>445681.66387137829</v>
      </c>
      <c r="M149" s="618">
        <f ca="1">SUM(L149:$L$257)</f>
        <v>35773300.851746395</v>
      </c>
      <c r="O149" s="602">
        <f ca="1">HLOOKUP(C149,'Debt Amortization'!$H$5:$AB$9,5)</f>
        <v>82474765.686663747</v>
      </c>
    </row>
    <row r="150" spans="1:15">
      <c r="A150" s="615">
        <f t="shared" si="16"/>
        <v>140</v>
      </c>
      <c r="B150" s="602">
        <v>31</v>
      </c>
      <c r="C150" s="616">
        <v>40939</v>
      </c>
      <c r="D150" s="617">
        <f ca="1">D161</f>
        <v>1</v>
      </c>
      <c r="E150" s="602">
        <f>SUM('Revenues &amp; Expenses'!BJ151:$BJ$258)</f>
        <v>48256474.206725605</v>
      </c>
      <c r="F150" s="618">
        <f t="shared" ca="1" si="17"/>
        <v>35327619.187875062</v>
      </c>
      <c r="G150" s="635">
        <f t="shared" ca="1" si="13"/>
        <v>12928855.018850543</v>
      </c>
      <c r="H150" s="635">
        <f t="shared" ca="1" si="14"/>
        <v>0</v>
      </c>
      <c r="K150" s="618">
        <f t="shared" ca="1" si="15"/>
        <v>1059139.9402864368</v>
      </c>
      <c r="L150" s="618">
        <f ca="1">K150*'Revenues &amp; Expenses'!N151</f>
        <v>442956.52935001376</v>
      </c>
      <c r="M150" s="618">
        <f ca="1">SUM(L150:$L$257)</f>
        <v>35327619.18787501</v>
      </c>
      <c r="O150" s="602">
        <f ca="1">HLOOKUP(C150,'Debt Amortization'!$H$5:$AB$9,5)</f>
        <v>76980927.168548897</v>
      </c>
    </row>
    <row r="151" spans="1:15">
      <c r="A151" s="615">
        <f t="shared" si="16"/>
        <v>141</v>
      </c>
      <c r="B151" s="602">
        <v>29</v>
      </c>
      <c r="C151" s="616">
        <v>40968</v>
      </c>
      <c r="D151" s="617">
        <f ca="1">D161</f>
        <v>1</v>
      </c>
      <c r="E151" s="602">
        <f>SUM('Revenues &amp; Expenses'!BJ152:$BJ$258)</f>
        <v>48256474.206725605</v>
      </c>
      <c r="F151" s="618">
        <f t="shared" ca="1" si="17"/>
        <v>34884662.658525042</v>
      </c>
      <c r="G151" s="635">
        <f t="shared" ca="1" si="13"/>
        <v>13371811.548200563</v>
      </c>
      <c r="H151" s="635">
        <f t="shared" ca="1" si="14"/>
        <v>0</v>
      </c>
      <c r="K151" s="618">
        <f t="shared" ca="1" si="15"/>
        <v>1059139.9402864368</v>
      </c>
      <c r="L151" s="618">
        <f ca="1">K151*'Revenues &amp; Expenses'!N152</f>
        <v>440248.43058025936</v>
      </c>
      <c r="M151" s="618">
        <f ca="1">SUM(L151:$L$257)</f>
        <v>34884662.65852499</v>
      </c>
      <c r="O151" s="602">
        <f ca="1">HLOOKUP(C151,'Debt Amortization'!$H$5:$AB$9,5)</f>
        <v>76980927.168548897</v>
      </c>
    </row>
    <row r="152" spans="1:15">
      <c r="A152" s="615">
        <f t="shared" si="16"/>
        <v>142</v>
      </c>
      <c r="B152" s="602">
        <v>31</v>
      </c>
      <c r="C152" s="616">
        <v>40999</v>
      </c>
      <c r="D152" s="617">
        <f ca="1">D161</f>
        <v>1</v>
      </c>
      <c r="E152" s="602">
        <f>SUM('Revenues &amp; Expenses'!BJ153:$BJ$258)</f>
        <v>48256474.206725605</v>
      </c>
      <c r="F152" s="618">
        <f t="shared" ca="1" si="17"/>
        <v>34444414.227944791</v>
      </c>
      <c r="G152" s="635">
        <f t="shared" ca="1" si="13"/>
        <v>13812059.978780814</v>
      </c>
      <c r="H152" s="635">
        <f t="shared" ca="1" si="14"/>
        <v>0</v>
      </c>
      <c r="K152" s="618">
        <f t="shared" ca="1" si="15"/>
        <v>1059139.9402864368</v>
      </c>
      <c r="L152" s="618">
        <f ca="1">K152*'Revenues &amp; Expenses'!N153</f>
        <v>437730.37412405934</v>
      </c>
      <c r="M152" s="618">
        <f ca="1">SUM(L152:$L$257)</f>
        <v>34444414.227944732</v>
      </c>
      <c r="O152" s="602">
        <f ca="1">HLOOKUP(C152,'Debt Amortization'!$H$5:$AB$9,5)</f>
        <v>76980927.168548897</v>
      </c>
    </row>
    <row r="153" spans="1:15">
      <c r="A153" s="615">
        <f t="shared" si="16"/>
        <v>143</v>
      </c>
      <c r="B153" s="602">
        <v>30</v>
      </c>
      <c r="C153" s="616">
        <v>41029</v>
      </c>
      <c r="D153" s="617">
        <f ca="1">D161</f>
        <v>1</v>
      </c>
      <c r="E153" s="602">
        <f>SUM('Revenues &amp; Expenses'!BJ154:$BJ$258)</f>
        <v>48256474.206725605</v>
      </c>
      <c r="F153" s="618">
        <f t="shared" ca="1" si="17"/>
        <v>34006683.853820726</v>
      </c>
      <c r="G153" s="635">
        <f t="shared" ca="1" si="13"/>
        <v>14249790.352904879</v>
      </c>
      <c r="H153" s="635">
        <f t="shared" ca="1" si="14"/>
        <v>0</v>
      </c>
      <c r="K153" s="618">
        <f t="shared" ca="1" si="15"/>
        <v>1059139.9402864368</v>
      </c>
      <c r="L153" s="618">
        <f ca="1">K153*'Revenues &amp; Expenses'!N154</f>
        <v>435054.93954514974</v>
      </c>
      <c r="M153" s="618">
        <f ca="1">SUM(L153:$L$257)</f>
        <v>34006683.853820674</v>
      </c>
      <c r="O153" s="602">
        <f ca="1">HLOOKUP(C153,'Debt Amortization'!$H$5:$AB$9,5)</f>
        <v>76980927.168548897</v>
      </c>
    </row>
    <row r="154" spans="1:15">
      <c r="A154" s="615">
        <f t="shared" si="16"/>
        <v>144</v>
      </c>
      <c r="B154" s="602">
        <v>31</v>
      </c>
      <c r="C154" s="616">
        <v>41060</v>
      </c>
      <c r="D154" s="617">
        <f ca="1">D161</f>
        <v>1</v>
      </c>
      <c r="E154" s="602">
        <f>SUM('Revenues &amp; Expenses'!BJ155:$BJ$258)</f>
        <v>48256474.206725605</v>
      </c>
      <c r="F154" s="618">
        <f t="shared" ca="1" si="17"/>
        <v>33571628.914275579</v>
      </c>
      <c r="G154" s="635">
        <f t="shared" ca="1" si="13"/>
        <v>14684845.292450026</v>
      </c>
      <c r="H154" s="635">
        <f t="shared" ca="1" si="14"/>
        <v>0</v>
      </c>
      <c r="K154" s="618">
        <f t="shared" ca="1" si="15"/>
        <v>1059139.9402864368</v>
      </c>
      <c r="L154" s="618">
        <f ca="1">K154*'Revenues &amp; Expenses'!N155</f>
        <v>432481.72873878712</v>
      </c>
      <c r="M154" s="618">
        <f ca="1">SUM(L154:$L$257)</f>
        <v>33571628.914275527</v>
      </c>
      <c r="O154" s="602">
        <f ca="1">HLOOKUP(C154,'Debt Amortization'!$H$5:$AB$9,5)</f>
        <v>76980927.168548897</v>
      </c>
    </row>
    <row r="155" spans="1:15">
      <c r="A155" s="615">
        <f t="shared" si="16"/>
        <v>145</v>
      </c>
      <c r="B155" s="602">
        <v>30</v>
      </c>
      <c r="C155" s="616">
        <v>41090</v>
      </c>
      <c r="D155" s="617">
        <f ca="1">D161</f>
        <v>1</v>
      </c>
      <c r="E155" s="602">
        <f>SUM('Revenues &amp; Expenses'!BJ156:$BJ$258)</f>
        <v>48256474.206725605</v>
      </c>
      <c r="F155" s="618">
        <f t="shared" ca="1" si="17"/>
        <v>33139147.185536794</v>
      </c>
      <c r="G155" s="635">
        <f t="shared" ca="1" si="13"/>
        <v>15117327.02118881</v>
      </c>
      <c r="H155" s="635">
        <f t="shared" ca="1" si="14"/>
        <v>0</v>
      </c>
      <c r="K155" s="618">
        <f t="shared" ca="1" si="15"/>
        <v>1059139.9402864368</v>
      </c>
      <c r="L155" s="618">
        <f ca="1">K155*'Revenues &amp; Expenses'!N156</f>
        <v>429839.09049651952</v>
      </c>
      <c r="M155" s="618">
        <f ca="1">SUM(L155:$L$257)</f>
        <v>33139147.185536738</v>
      </c>
      <c r="O155" s="602">
        <f ca="1">HLOOKUP(C155,'Debt Amortization'!$H$5:$AB$9,5)</f>
        <v>76980927.168548897</v>
      </c>
    </row>
    <row r="156" spans="1:15">
      <c r="A156" s="615">
        <f t="shared" si="16"/>
        <v>146</v>
      </c>
      <c r="B156" s="602">
        <v>31</v>
      </c>
      <c r="C156" s="616">
        <v>41121</v>
      </c>
      <c r="D156" s="617">
        <f ca="1">D161</f>
        <v>1</v>
      </c>
      <c r="E156" s="602">
        <f>SUM('Revenues &amp; Expenses'!BJ157:$BJ$258)</f>
        <v>47247657.727054447</v>
      </c>
      <c r="F156" s="618">
        <f t="shared" ca="1" si="17"/>
        <v>32709308.095040273</v>
      </c>
      <c r="G156" s="635">
        <f t="shared" ca="1" si="13"/>
        <v>14538349.632014174</v>
      </c>
      <c r="H156" s="635">
        <f t="shared" ca="1" si="14"/>
        <v>0</v>
      </c>
      <c r="K156" s="618">
        <f t="shared" ca="1" si="15"/>
        <v>1059139.9402864368</v>
      </c>
      <c r="L156" s="618">
        <f ca="1">K156*'Revenues &amp; Expenses'!N157</f>
        <v>427297.41886406037</v>
      </c>
      <c r="M156" s="618">
        <f ca="1">SUM(L156:$L$257)</f>
        <v>32709308.095040221</v>
      </c>
      <c r="O156" s="602">
        <f ca="1">HLOOKUP(C156,'Debt Amortization'!$H$5:$AB$9,5)</f>
        <v>76980927.168548897</v>
      </c>
    </row>
    <row r="157" spans="1:15">
      <c r="A157" s="615">
        <f t="shared" si="16"/>
        <v>147</v>
      </c>
      <c r="B157" s="602">
        <v>31</v>
      </c>
      <c r="C157" s="616">
        <v>41152</v>
      </c>
      <c r="D157" s="617">
        <f ca="1">D161</f>
        <v>1</v>
      </c>
      <c r="E157" s="602">
        <f>SUM('Revenues &amp; Expenses'!BJ158:$BJ$258)</f>
        <v>44272467.896960981</v>
      </c>
      <c r="F157" s="618">
        <f t="shared" ca="1" si="17"/>
        <v>32282010.676176213</v>
      </c>
      <c r="G157" s="635">
        <f t="shared" ca="1" si="13"/>
        <v>11990457.220784768</v>
      </c>
      <c r="H157" s="635">
        <f t="shared" ca="1" si="14"/>
        <v>0</v>
      </c>
      <c r="K157" s="618">
        <f t="shared" ca="1" si="15"/>
        <v>1059139.9402864368</v>
      </c>
      <c r="L157" s="618">
        <f ca="1">K157*'Revenues &amp; Expenses'!N158</f>
        <v>424687.16656923771</v>
      </c>
      <c r="M157" s="618">
        <f ca="1">SUM(L157:$L$257)</f>
        <v>32282010.676176164</v>
      </c>
      <c r="O157" s="602">
        <f ca="1">HLOOKUP(C157,'Debt Amortization'!$H$5:$AB$9,5)</f>
        <v>76980927.168548897</v>
      </c>
    </row>
    <row r="158" spans="1:15">
      <c r="A158" s="615">
        <f t="shared" si="16"/>
        <v>148</v>
      </c>
      <c r="B158" s="602">
        <v>30</v>
      </c>
      <c r="C158" s="616">
        <v>41182</v>
      </c>
      <c r="D158" s="617">
        <f ca="1">D161</f>
        <v>1</v>
      </c>
      <c r="E158" s="602">
        <f>SUM('Revenues &amp; Expenses'!BJ159:$BJ$258)</f>
        <v>41888935.395712003</v>
      </c>
      <c r="F158" s="618">
        <f t="shared" ca="1" si="17"/>
        <v>31857323.509606972</v>
      </c>
      <c r="G158" s="635">
        <f t="shared" ca="1" si="13"/>
        <v>10031611.886105031</v>
      </c>
      <c r="H158" s="635">
        <f t="shared" ca="1" si="14"/>
        <v>0</v>
      </c>
      <c r="K158" s="618">
        <f t="shared" ca="1" si="15"/>
        <v>1059139.9402864368</v>
      </c>
      <c r="L158" s="618">
        <f ca="1">K158*'Revenues &amp; Expenses'!N159</f>
        <v>422093.21711337136</v>
      </c>
      <c r="M158" s="618">
        <f ca="1">SUM(L158:$L$257)</f>
        <v>31857323.509606924</v>
      </c>
      <c r="O158" s="602">
        <f ca="1">HLOOKUP(C158,'Debt Amortization'!$H$5:$AB$9,5)</f>
        <v>76980927.168548897</v>
      </c>
    </row>
    <row r="159" spans="1:15">
      <c r="A159" s="615">
        <f t="shared" si="16"/>
        <v>149</v>
      </c>
      <c r="B159" s="602">
        <v>31</v>
      </c>
      <c r="C159" s="616">
        <v>41213</v>
      </c>
      <c r="D159" s="617">
        <f ca="1">D161</f>
        <v>1</v>
      </c>
      <c r="E159" s="602">
        <f>SUM('Revenues &amp; Expenses'!BJ160:$BJ$258)</f>
        <v>41888935.395712003</v>
      </c>
      <c r="F159" s="618">
        <f t="shared" ca="1" si="17"/>
        <v>31435230.2924936</v>
      </c>
      <c r="G159" s="635">
        <f t="shared" ca="1" si="13"/>
        <v>10453705.103218403</v>
      </c>
      <c r="H159" s="635">
        <f t="shared" ca="1" si="14"/>
        <v>0</v>
      </c>
      <c r="K159" s="618">
        <f t="shared" ca="1" si="15"/>
        <v>1059139.9402864368</v>
      </c>
      <c r="L159" s="618">
        <f ca="1">K159*'Revenues &amp; Expenses'!N160</f>
        <v>419598.36800065142</v>
      </c>
      <c r="M159" s="618">
        <f ca="1">SUM(L159:$L$257)</f>
        <v>31435230.292493548</v>
      </c>
      <c r="O159" s="602">
        <f ca="1">HLOOKUP(C159,'Debt Amortization'!$H$5:$AB$9,5)</f>
        <v>76980927.168548897</v>
      </c>
    </row>
    <row r="160" spans="1:15">
      <c r="A160" s="615">
        <f t="shared" si="16"/>
        <v>150</v>
      </c>
      <c r="B160" s="602">
        <v>30</v>
      </c>
      <c r="C160" s="616">
        <v>41243</v>
      </c>
      <c r="D160" s="617">
        <f ca="1">D161</f>
        <v>1</v>
      </c>
      <c r="E160" s="602">
        <f>SUM('Revenues &amp; Expenses'!BJ161:$BJ$258)</f>
        <v>41888935.395712003</v>
      </c>
      <c r="F160" s="618">
        <f t="shared" ca="1" si="17"/>
        <v>31015631.924492948</v>
      </c>
      <c r="G160" s="635">
        <f t="shared" ca="1" si="13"/>
        <v>10873303.471219055</v>
      </c>
      <c r="H160" s="635">
        <f t="shared" ca="1" si="14"/>
        <v>0</v>
      </c>
      <c r="K160" s="618">
        <f t="shared" ca="1" si="15"/>
        <v>1059139.9402864368</v>
      </c>
      <c r="L160" s="618">
        <f ca="1">K160*'Revenues &amp; Expenses'!N161</f>
        <v>417036.19542561122</v>
      </c>
      <c r="M160" s="618">
        <f ca="1">SUM(L160:$L$257)</f>
        <v>31015631.924492899</v>
      </c>
      <c r="O160" s="602">
        <f ca="1">HLOOKUP(C160,'Debt Amortization'!$H$5:$AB$9,5)</f>
        <v>76980927.168548897</v>
      </c>
    </row>
    <row r="161" spans="1:15">
      <c r="A161" s="615">
        <f t="shared" si="16"/>
        <v>151</v>
      </c>
      <c r="B161" s="602">
        <v>31</v>
      </c>
      <c r="C161" s="616">
        <v>41274</v>
      </c>
      <c r="D161" s="617">
        <f ca="1">'Deal Depiction'!J20</f>
        <v>1</v>
      </c>
      <c r="E161" s="602">
        <f>SUM('Revenues &amp; Expenses'!BJ162:$BJ$258)</f>
        <v>41888935.395712003</v>
      </c>
      <c r="F161" s="618">
        <f t="shared" ca="1" si="17"/>
        <v>30598595.72906734</v>
      </c>
      <c r="G161" s="635">
        <f t="shared" ca="1" si="13"/>
        <v>11290339.666644663</v>
      </c>
      <c r="H161" s="635">
        <f t="shared" ca="1" si="14"/>
        <v>0</v>
      </c>
      <c r="K161" s="618">
        <f t="shared" ca="1" si="15"/>
        <v>1059139.9402864368</v>
      </c>
      <c r="L161" s="618">
        <f ca="1">K161*'Revenues &amp; Expenses'!N162</f>
        <v>414571.90522941313</v>
      </c>
      <c r="M161" s="618">
        <f ca="1">SUM(L161:$L$257)</f>
        <v>30598595.729067292</v>
      </c>
      <c r="O161" s="602">
        <f ca="1">HLOOKUP(C161,'Debt Amortization'!$H$5:$AB$9,5)</f>
        <v>71006424.490832493</v>
      </c>
    </row>
    <row r="162" spans="1:15">
      <c r="A162" s="615">
        <f t="shared" si="16"/>
        <v>152</v>
      </c>
      <c r="B162" s="602">
        <v>31</v>
      </c>
      <c r="C162" s="616">
        <v>41305</v>
      </c>
      <c r="D162" s="617">
        <f ca="1">D173</f>
        <v>1</v>
      </c>
      <c r="E162" s="602">
        <f>SUM('Revenues &amp; Expenses'!BJ163:$BJ$258)</f>
        <v>41888935.395712003</v>
      </c>
      <c r="F162" s="618">
        <f t="shared" ca="1" si="17"/>
        <v>30184023.823837925</v>
      </c>
      <c r="G162" s="635">
        <f t="shared" ca="1" si="13"/>
        <v>11704911.571874078</v>
      </c>
      <c r="H162" s="635">
        <f t="shared" ca="1" si="14"/>
        <v>0</v>
      </c>
      <c r="K162" s="618">
        <f t="shared" ca="1" si="15"/>
        <v>1059139.9402864368</v>
      </c>
      <c r="L162" s="618">
        <f ca="1">K162*'Revenues &amp; Expenses'!N163</f>
        <v>412041.11214964697</v>
      </c>
      <c r="M162" s="618">
        <f ca="1">SUM(L162:$L$257)</f>
        <v>30184023.82383788</v>
      </c>
      <c r="O162" s="602">
        <f ca="1">HLOOKUP(C162,'Debt Amortization'!$H$5:$AB$9,5)</f>
        <v>71006424.490832493</v>
      </c>
    </row>
    <row r="163" spans="1:15">
      <c r="A163" s="615">
        <f t="shared" si="16"/>
        <v>153</v>
      </c>
      <c r="B163" s="602">
        <v>28</v>
      </c>
      <c r="C163" s="616">
        <v>41333</v>
      </c>
      <c r="D163" s="617">
        <f ca="1">D173</f>
        <v>1</v>
      </c>
      <c r="E163" s="602">
        <f>SUM('Revenues &amp; Expenses'!BJ164:$BJ$258)</f>
        <v>41888935.395712003</v>
      </c>
      <c r="F163" s="618">
        <f t="shared" ca="1" si="17"/>
        <v>29771982.711688276</v>
      </c>
      <c r="G163" s="635">
        <f t="shared" ca="1" si="13"/>
        <v>12116952.684023727</v>
      </c>
      <c r="H163" s="635">
        <f t="shared" ca="1" si="14"/>
        <v>0</v>
      </c>
      <c r="K163" s="618">
        <f t="shared" ca="1" si="15"/>
        <v>1059139.9402864368</v>
      </c>
      <c r="L163" s="618">
        <f ca="1">K163*'Revenues &amp; Expenses'!N164</f>
        <v>409526.11536230554</v>
      </c>
      <c r="M163" s="618">
        <f ca="1">SUM(L163:$L$257)</f>
        <v>29771982.711688232</v>
      </c>
      <c r="O163" s="602">
        <f ca="1">HLOOKUP(C163,'Debt Amortization'!$H$5:$AB$9,5)</f>
        <v>71006424.490832493</v>
      </c>
    </row>
    <row r="164" spans="1:15">
      <c r="A164" s="615">
        <f t="shared" si="16"/>
        <v>154</v>
      </c>
      <c r="B164" s="602">
        <v>31</v>
      </c>
      <c r="C164" s="616">
        <v>41364</v>
      </c>
      <c r="D164" s="617">
        <f ca="1">D173</f>
        <v>1</v>
      </c>
      <c r="E164" s="602">
        <f>SUM('Revenues &amp; Expenses'!BJ165:$BJ$258)</f>
        <v>41888935.395712003</v>
      </c>
      <c r="F164" s="618">
        <f t="shared" ca="1" si="17"/>
        <v>29362456.596325975</v>
      </c>
      <c r="G164" s="635">
        <f t="shared" ca="1" si="13"/>
        <v>12526478.799386028</v>
      </c>
      <c r="H164" s="635">
        <f t="shared" ca="1" si="14"/>
        <v>0</v>
      </c>
      <c r="K164" s="618">
        <f t="shared" ca="1" si="15"/>
        <v>1059139.9402864368</v>
      </c>
      <c r="L164" s="618">
        <f ca="1">K164*'Revenues &amp; Expenses'!N165</f>
        <v>407267.99886759522</v>
      </c>
      <c r="M164" s="618">
        <f ca="1">SUM(L164:$L$257)</f>
        <v>29362456.59632593</v>
      </c>
      <c r="O164" s="602">
        <f ca="1">HLOOKUP(C164,'Debt Amortization'!$H$5:$AB$9,5)</f>
        <v>71006424.490832493</v>
      </c>
    </row>
    <row r="165" spans="1:15">
      <c r="A165" s="615">
        <f t="shared" si="16"/>
        <v>155</v>
      </c>
      <c r="B165" s="602">
        <v>30</v>
      </c>
      <c r="C165" s="616">
        <v>41394</v>
      </c>
      <c r="D165" s="617">
        <f ca="1">D173</f>
        <v>1</v>
      </c>
      <c r="E165" s="602">
        <f>SUM('Revenues &amp; Expenses'!BJ166:$BJ$258)</f>
        <v>41888935.395712003</v>
      </c>
      <c r="F165" s="618">
        <f t="shared" ca="1" si="17"/>
        <v>28955188.597458377</v>
      </c>
      <c r="G165" s="635">
        <f t="shared" ca="1" si="13"/>
        <v>12933746.798253626</v>
      </c>
      <c r="H165" s="635">
        <f t="shared" ca="1" si="14"/>
        <v>0</v>
      </c>
      <c r="K165" s="618">
        <f t="shared" ca="1" si="15"/>
        <v>1059139.9402864368</v>
      </c>
      <c r="L165" s="618">
        <f ca="1">K165*'Revenues &amp; Expenses'!N166</f>
        <v>404782.78843139013</v>
      </c>
      <c r="M165" s="618">
        <f ca="1">SUM(L165:$L$257)</f>
        <v>28955188.597458337</v>
      </c>
      <c r="O165" s="602">
        <f ca="1">HLOOKUP(C165,'Debt Amortization'!$H$5:$AB$9,5)</f>
        <v>71006424.490832493</v>
      </c>
    </row>
    <row r="166" spans="1:15">
      <c r="A166" s="615">
        <f t="shared" si="16"/>
        <v>156</v>
      </c>
      <c r="B166" s="602">
        <v>31</v>
      </c>
      <c r="C166" s="616">
        <v>41425</v>
      </c>
      <c r="D166" s="617">
        <f ca="1">D173</f>
        <v>1</v>
      </c>
      <c r="E166" s="602">
        <f>SUM('Revenues &amp; Expenses'!BJ167:$BJ$258)</f>
        <v>41888935.395712003</v>
      </c>
      <c r="F166" s="618">
        <f t="shared" ca="1" si="17"/>
        <v>28550405.809026986</v>
      </c>
      <c r="G166" s="635">
        <f t="shared" ca="1" si="13"/>
        <v>13338529.586685017</v>
      </c>
      <c r="H166" s="635">
        <f t="shared" ca="1" si="14"/>
        <v>0</v>
      </c>
      <c r="K166" s="618">
        <f t="shared" ca="1" si="15"/>
        <v>1059139.9402864368</v>
      </c>
      <c r="L166" s="618">
        <f ca="1">K166*'Revenues &amp; Expenses'!N167</f>
        <v>402392.51072182652</v>
      </c>
      <c r="M166" s="618">
        <f ca="1">SUM(L166:$L$257)</f>
        <v>28550405.809026945</v>
      </c>
      <c r="O166" s="602">
        <f ca="1">HLOOKUP(C166,'Debt Amortization'!$H$5:$AB$9,5)</f>
        <v>71006424.490832493</v>
      </c>
    </row>
    <row r="167" spans="1:15">
      <c r="A167" s="615">
        <f t="shared" si="16"/>
        <v>157</v>
      </c>
      <c r="B167" s="602">
        <v>30</v>
      </c>
      <c r="C167" s="616">
        <v>41455</v>
      </c>
      <c r="D167" s="617">
        <f ca="1">D173</f>
        <v>1</v>
      </c>
      <c r="E167" s="602">
        <f>SUM('Revenues &amp; Expenses'!BJ168:$BJ$258)</f>
        <v>41888935.395712003</v>
      </c>
      <c r="F167" s="618">
        <f t="shared" ca="1" si="17"/>
        <v>28148013.298305161</v>
      </c>
      <c r="G167" s="635">
        <f t="shared" ca="1" si="13"/>
        <v>13740922.097406842</v>
      </c>
      <c r="H167" s="635">
        <f t="shared" ca="1" si="14"/>
        <v>0</v>
      </c>
      <c r="K167" s="618">
        <f t="shared" ca="1" si="15"/>
        <v>1059139.9402864368</v>
      </c>
      <c r="L167" s="618">
        <f ca="1">K167*'Revenues &amp; Expenses'!N168</f>
        <v>399937.71774443134</v>
      </c>
      <c r="M167" s="618">
        <f ca="1">SUM(L167:$L$257)</f>
        <v>28148013.29830512</v>
      </c>
      <c r="O167" s="602">
        <f ca="1">HLOOKUP(C167,'Debt Amortization'!$H$5:$AB$9,5)</f>
        <v>71006424.490832493</v>
      </c>
    </row>
    <row r="168" spans="1:15">
      <c r="A168" s="615">
        <f t="shared" si="16"/>
        <v>158</v>
      </c>
      <c r="B168" s="602">
        <v>31</v>
      </c>
      <c r="C168" s="616">
        <v>41486</v>
      </c>
      <c r="D168" s="617">
        <f ca="1">D173</f>
        <v>1</v>
      </c>
      <c r="E168" s="602">
        <f>SUM('Revenues &amp; Expenses'!BJ169:$BJ$258)</f>
        <v>40972174.328454375</v>
      </c>
      <c r="F168" s="618">
        <f t="shared" ca="1" si="17"/>
        <v>27748075.580560729</v>
      </c>
      <c r="G168" s="635">
        <f t="shared" ca="1" si="13"/>
        <v>13224098.747893646</v>
      </c>
      <c r="H168" s="635">
        <f t="shared" ca="1" si="14"/>
        <v>0</v>
      </c>
      <c r="K168" s="618">
        <f t="shared" ca="1" si="15"/>
        <v>1059139.9402864368</v>
      </c>
      <c r="L168" s="618">
        <f ca="1">K168*'Revenues &amp; Expenses'!N169</f>
        <v>397576.69179361942</v>
      </c>
      <c r="M168" s="618">
        <f ca="1">SUM(L168:$L$257)</f>
        <v>27748075.580560688</v>
      </c>
      <c r="O168" s="602">
        <f ca="1">HLOOKUP(C168,'Debt Amortization'!$H$5:$AB$9,5)</f>
        <v>71006424.490832493</v>
      </c>
    </row>
    <row r="169" spans="1:15">
      <c r="A169" s="615">
        <f t="shared" si="16"/>
        <v>159</v>
      </c>
      <c r="B169" s="602">
        <v>31</v>
      </c>
      <c r="C169" s="616">
        <v>41517</v>
      </c>
      <c r="D169" s="617">
        <f ca="1">D173</f>
        <v>1</v>
      </c>
      <c r="E169" s="602">
        <f>SUM('Revenues &amp; Expenses'!BJ170:$BJ$258)</f>
        <v>38121892.016991183</v>
      </c>
      <c r="F169" s="618">
        <f t="shared" ca="1" si="17"/>
        <v>27350498.888767108</v>
      </c>
      <c r="G169" s="635">
        <f t="shared" ca="1" si="13"/>
        <v>10771393.128224075</v>
      </c>
      <c r="H169" s="635">
        <f t="shared" ca="1" si="14"/>
        <v>0</v>
      </c>
      <c r="K169" s="618">
        <f t="shared" ca="1" si="15"/>
        <v>1059139.9402864368</v>
      </c>
      <c r="L169" s="618">
        <f ca="1">K169*'Revenues &amp; Expenses'!N170</f>
        <v>395151.93621719576</v>
      </c>
      <c r="M169" s="618">
        <f ca="1">SUM(L169:$L$257)</f>
        <v>27350498.888767067</v>
      </c>
      <c r="O169" s="602">
        <f ca="1">HLOOKUP(C169,'Debt Amortization'!$H$5:$AB$9,5)</f>
        <v>71006424.490832493</v>
      </c>
    </row>
    <row r="170" spans="1:15">
      <c r="A170" s="615">
        <f t="shared" si="16"/>
        <v>160</v>
      </c>
      <c r="B170" s="602">
        <v>30</v>
      </c>
      <c r="C170" s="616">
        <v>41547</v>
      </c>
      <c r="D170" s="617">
        <f ca="1">D173</f>
        <v>1</v>
      </c>
      <c r="E170" s="602">
        <f>SUM('Revenues &amp; Expenses'!BJ171:$BJ$258)</f>
        <v>35719711.887260899</v>
      </c>
      <c r="F170" s="618">
        <f t="shared" ca="1" si="17"/>
        <v>26955346.952549912</v>
      </c>
      <c r="G170" s="635">
        <f t="shared" ca="1" si="13"/>
        <v>8764364.9347109869</v>
      </c>
      <c r="H170" s="635">
        <f t="shared" ca="1" si="14"/>
        <v>0</v>
      </c>
      <c r="K170" s="618">
        <f t="shared" ca="1" si="15"/>
        <v>1059139.9402864368</v>
      </c>
      <c r="L170" s="618">
        <f ca="1">K170*'Revenues &amp; Expenses'!N171</f>
        <v>392742.30145358265</v>
      </c>
      <c r="M170" s="618">
        <f ca="1">SUM(L170:$L$257)</f>
        <v>26955346.952549879</v>
      </c>
      <c r="O170" s="602">
        <f ca="1">HLOOKUP(C170,'Debt Amortization'!$H$5:$AB$9,5)</f>
        <v>71006424.490832493</v>
      </c>
    </row>
    <row r="171" spans="1:15">
      <c r="A171" s="615">
        <f t="shared" si="16"/>
        <v>161</v>
      </c>
      <c r="B171" s="602">
        <v>31</v>
      </c>
      <c r="C171" s="616">
        <v>41578</v>
      </c>
      <c r="D171" s="617">
        <f ca="1">D173</f>
        <v>1</v>
      </c>
      <c r="E171" s="602">
        <f>SUM('Revenues &amp; Expenses'!BJ172:$BJ$258)</f>
        <v>35719711.887260899</v>
      </c>
      <c r="F171" s="618">
        <f t="shared" ca="1" si="17"/>
        <v>26562604.651096329</v>
      </c>
      <c r="G171" s="635">
        <f t="shared" ca="1" si="13"/>
        <v>9157107.2361645699</v>
      </c>
      <c r="H171" s="635">
        <f t="shared" ca="1" si="14"/>
        <v>0</v>
      </c>
      <c r="K171" s="618">
        <f t="shared" ca="1" si="15"/>
        <v>1059139.9402864368</v>
      </c>
      <c r="L171" s="618">
        <f ca="1">K171*'Revenues &amp; Expenses'!N172</f>
        <v>390424.70318618068</v>
      </c>
      <c r="M171" s="618">
        <f ca="1">SUM(L171:$L$257)</f>
        <v>26562604.651096296</v>
      </c>
      <c r="O171" s="602">
        <f ca="1">HLOOKUP(C171,'Debt Amortization'!$H$5:$AB$9,5)</f>
        <v>71006424.490832493</v>
      </c>
    </row>
    <row r="172" spans="1:15">
      <c r="A172" s="615">
        <f t="shared" si="16"/>
        <v>162</v>
      </c>
      <c r="B172" s="602">
        <v>30</v>
      </c>
      <c r="C172" s="616">
        <v>41608</v>
      </c>
      <c r="D172" s="617">
        <f ca="1">D173</f>
        <v>1</v>
      </c>
      <c r="E172" s="602">
        <f>SUM('Revenues &amp; Expenses'!BJ173:$BJ$258)</f>
        <v>35719711.887260899</v>
      </c>
      <c r="F172" s="618">
        <f t="shared" ca="1" si="17"/>
        <v>26172179.947910145</v>
      </c>
      <c r="G172" s="635">
        <f t="shared" ca="1" si="13"/>
        <v>9547531.939350754</v>
      </c>
      <c r="H172" s="635">
        <f t="shared" ca="1" si="14"/>
        <v>0</v>
      </c>
      <c r="K172" s="618">
        <f t="shared" ca="1" si="15"/>
        <v>1059139.9402864368</v>
      </c>
      <c r="L172" s="618">
        <f ca="1">K172*'Revenues &amp; Expenses'!N173</f>
        <v>388044.54175923666</v>
      </c>
      <c r="M172" s="618">
        <f ca="1">SUM(L172:$L$257)</f>
        <v>26172179.947910111</v>
      </c>
      <c r="O172" s="602">
        <f ca="1">HLOOKUP(C172,'Debt Amortization'!$H$5:$AB$9,5)</f>
        <v>71006424.490832493</v>
      </c>
    </row>
    <row r="173" spans="1:15">
      <c r="A173" s="615">
        <f t="shared" si="16"/>
        <v>163</v>
      </c>
      <c r="B173" s="602">
        <v>31</v>
      </c>
      <c r="C173" s="616">
        <v>41639</v>
      </c>
      <c r="D173" s="617">
        <f ca="1">'Deal Depiction'!J21</f>
        <v>1</v>
      </c>
      <c r="E173" s="602">
        <f>SUM('Revenues &amp; Expenses'!BJ174:$BJ$258)</f>
        <v>35719711.887260899</v>
      </c>
      <c r="F173" s="618">
        <f t="shared" ca="1" si="17"/>
        <v>25784135.406150911</v>
      </c>
      <c r="G173" s="635">
        <f t="shared" ca="1" si="13"/>
        <v>9935576.4811099879</v>
      </c>
      <c r="H173" s="635">
        <f t="shared" ca="1" si="14"/>
        <v>0</v>
      </c>
      <c r="K173" s="618">
        <f t="shared" ca="1" si="15"/>
        <v>1059139.9402864368</v>
      </c>
      <c r="L173" s="618">
        <f ca="1">K173*'Revenues &amp; Expenses'!N174</f>
        <v>385755.2874219098</v>
      </c>
      <c r="M173" s="618">
        <f ca="1">SUM(L173:$L$257)</f>
        <v>25784135.406150881</v>
      </c>
      <c r="O173" s="602">
        <f ca="1">HLOOKUP(C173,'Debt Amortization'!$H$5:$AB$9,5)</f>
        <v>71006424.490832493</v>
      </c>
    </row>
    <row r="174" spans="1:15">
      <c r="A174" s="615">
        <f t="shared" si="16"/>
        <v>164</v>
      </c>
      <c r="B174" s="602">
        <v>31</v>
      </c>
      <c r="C174" s="616">
        <v>41670</v>
      </c>
      <c r="D174" s="617">
        <f ca="1">D185</f>
        <v>1</v>
      </c>
      <c r="E174" s="602">
        <f>SUM('Revenues &amp; Expenses'!BJ175:$BJ$258)</f>
        <v>35719711.887260899</v>
      </c>
      <c r="F174" s="618">
        <f t="shared" ca="1" si="17"/>
        <v>25398380.118728999</v>
      </c>
      <c r="G174" s="635">
        <f t="shared" ca="1" si="13"/>
        <v>10321331.7685319</v>
      </c>
      <c r="H174" s="635">
        <f t="shared" ca="1" si="14"/>
        <v>0</v>
      </c>
      <c r="K174" s="618">
        <f t="shared" ca="1" si="15"/>
        <v>1059139.9402864368</v>
      </c>
      <c r="L174" s="618">
        <f ca="1">K174*'Revenues &amp; Expenses'!N175</f>
        <v>383404.2312993306</v>
      </c>
      <c r="M174" s="618">
        <f ca="1">SUM(L174:$L$257)</f>
        <v>25398380.118728969</v>
      </c>
      <c r="O174" s="602">
        <f ca="1">HLOOKUP(C174,'Debt Amortization'!$H$5:$AB$9,5)</f>
        <v>64509203.626341507</v>
      </c>
    </row>
    <row r="175" spans="1:15">
      <c r="A175" s="615">
        <f t="shared" si="16"/>
        <v>165</v>
      </c>
      <c r="B175" s="602">
        <v>28</v>
      </c>
      <c r="C175" s="616">
        <v>41698</v>
      </c>
      <c r="D175" s="617">
        <f ca="1">D185</f>
        <v>1</v>
      </c>
      <c r="E175" s="602">
        <f>SUM('Revenues &amp; Expenses'!BJ176:$BJ$258)</f>
        <v>35719711.887260899</v>
      </c>
      <c r="F175" s="618">
        <f t="shared" ca="1" si="17"/>
        <v>25014975.887429669</v>
      </c>
      <c r="G175" s="635">
        <f t="shared" ca="1" si="13"/>
        <v>10704735.999831229</v>
      </c>
      <c r="H175" s="635">
        <f t="shared" ca="1" si="14"/>
        <v>0</v>
      </c>
      <c r="K175" s="618">
        <f t="shared" ca="1" si="15"/>
        <v>1059139.9402864368</v>
      </c>
      <c r="L175" s="618">
        <f ca="1">K175*'Revenues &amp; Expenses'!N176</f>
        <v>381067.826859625</v>
      </c>
      <c r="M175" s="618">
        <f ca="1">SUM(L175:$L$257)</f>
        <v>25014975.887429636</v>
      </c>
      <c r="O175" s="602">
        <f ca="1">HLOOKUP(C175,'Debt Amortization'!$H$5:$AB$9,5)</f>
        <v>64509203.626341507</v>
      </c>
    </row>
    <row r="176" spans="1:15">
      <c r="A176" s="615">
        <f t="shared" si="16"/>
        <v>166</v>
      </c>
      <c r="B176" s="602">
        <v>31</v>
      </c>
      <c r="C176" s="616">
        <v>41729</v>
      </c>
      <c r="D176" s="617">
        <f ca="1">D185</f>
        <v>1</v>
      </c>
      <c r="E176" s="602">
        <f>SUM('Revenues &amp; Expenses'!BJ177:$BJ$258)</f>
        <v>35719711.887260899</v>
      </c>
      <c r="F176" s="618">
        <f t="shared" ca="1" si="17"/>
        <v>24633908.060570046</v>
      </c>
      <c r="G176" s="635">
        <f t="shared" ca="1" si="13"/>
        <v>11085803.826690853</v>
      </c>
      <c r="H176" s="635">
        <f t="shared" ca="1" si="14"/>
        <v>0</v>
      </c>
      <c r="K176" s="618">
        <f t="shared" ca="1" si="15"/>
        <v>1059139.9402864368</v>
      </c>
      <c r="L176" s="618">
        <f ca="1">K176*'Revenues &amp; Expenses'!N177</f>
        <v>378970.04194945097</v>
      </c>
      <c r="M176" s="618">
        <f ca="1">SUM(L176:$L$257)</f>
        <v>24633908.060570013</v>
      </c>
      <c r="O176" s="602">
        <f ca="1">HLOOKUP(C176,'Debt Amortization'!$H$5:$AB$9,5)</f>
        <v>64509203.626341507</v>
      </c>
    </row>
    <row r="177" spans="1:15">
      <c r="A177" s="615">
        <f t="shared" si="16"/>
        <v>167</v>
      </c>
      <c r="B177" s="602">
        <v>30</v>
      </c>
      <c r="C177" s="616">
        <v>41759</v>
      </c>
      <c r="D177" s="617">
        <f ca="1">D185</f>
        <v>1</v>
      </c>
      <c r="E177" s="602">
        <f>SUM('Revenues &amp; Expenses'!BJ178:$BJ$258)</f>
        <v>35719711.887260899</v>
      </c>
      <c r="F177" s="618">
        <f t="shared" ca="1" si="17"/>
        <v>24254938.018620595</v>
      </c>
      <c r="G177" s="635">
        <f t="shared" ca="1" si="13"/>
        <v>11464773.868640304</v>
      </c>
      <c r="H177" s="635">
        <f t="shared" ca="1" si="14"/>
        <v>0</v>
      </c>
      <c r="K177" s="618">
        <f t="shared" ca="1" si="15"/>
        <v>1059139.9402864368</v>
      </c>
      <c r="L177" s="618">
        <f ca="1">K177*'Revenues &amp; Expenses'!N178</f>
        <v>376661.26590480452</v>
      </c>
      <c r="M177" s="618">
        <f ca="1">SUM(L177:$L$257)</f>
        <v>24254938.018620562</v>
      </c>
      <c r="O177" s="602">
        <f ca="1">HLOOKUP(C177,'Debt Amortization'!$H$5:$AB$9,5)</f>
        <v>64509203.626341507</v>
      </c>
    </row>
    <row r="178" spans="1:15">
      <c r="A178" s="615">
        <f t="shared" si="16"/>
        <v>168</v>
      </c>
      <c r="B178" s="602">
        <v>31</v>
      </c>
      <c r="C178" s="616">
        <v>41790</v>
      </c>
      <c r="D178" s="617">
        <f ca="1">D185</f>
        <v>1</v>
      </c>
      <c r="E178" s="602">
        <f>SUM('Revenues &amp; Expenses'!BJ179:$BJ$258)</f>
        <v>35719711.887260899</v>
      </c>
      <c r="F178" s="618">
        <f t="shared" ca="1" si="17"/>
        <v>23878276.752715793</v>
      </c>
      <c r="G178" s="635">
        <f t="shared" ca="1" si="13"/>
        <v>11841435.134545106</v>
      </c>
      <c r="H178" s="635">
        <f t="shared" ca="1" si="14"/>
        <v>0</v>
      </c>
      <c r="K178" s="618">
        <f t="shared" ca="1" si="15"/>
        <v>1059139.9402864368</v>
      </c>
      <c r="L178" s="618">
        <f ca="1">K178*'Revenues &amp; Expenses'!N179</f>
        <v>374440.66167672444</v>
      </c>
      <c r="M178" s="618">
        <f ca="1">SUM(L178:$L$257)</f>
        <v>23878276.752715763</v>
      </c>
      <c r="O178" s="602">
        <f ca="1">HLOOKUP(C178,'Debt Amortization'!$H$5:$AB$9,5)</f>
        <v>64509203.626341507</v>
      </c>
    </row>
    <row r="179" spans="1:15">
      <c r="A179" s="615">
        <f t="shared" si="16"/>
        <v>169</v>
      </c>
      <c r="B179" s="602">
        <v>30</v>
      </c>
      <c r="C179" s="616">
        <v>41820</v>
      </c>
      <c r="D179" s="617">
        <f ca="1">D185</f>
        <v>1</v>
      </c>
      <c r="E179" s="602">
        <f>SUM('Revenues &amp; Expenses'!BJ180:$BJ$258)</f>
        <v>35719711.887260899</v>
      </c>
      <c r="F179" s="618">
        <f t="shared" ca="1" si="17"/>
        <v>23503836.091039065</v>
      </c>
      <c r="G179" s="635">
        <f t="shared" ca="1" si="13"/>
        <v>12215875.796221834</v>
      </c>
      <c r="H179" s="635">
        <f t="shared" ca="1" si="14"/>
        <v>0</v>
      </c>
      <c r="K179" s="618">
        <f t="shared" ca="1" si="15"/>
        <v>1059139.9402864368</v>
      </c>
      <c r="L179" s="618">
        <f ca="1">K179*'Revenues &amp; Expenses'!N180</f>
        <v>372160.09993327654</v>
      </c>
      <c r="M179" s="618">
        <f ca="1">SUM(L179:$L$257)</f>
        <v>23503836.091039035</v>
      </c>
      <c r="O179" s="602">
        <f ca="1">HLOOKUP(C179,'Debt Amortization'!$H$5:$AB$9,5)</f>
        <v>64509203.626341507</v>
      </c>
    </row>
    <row r="180" spans="1:15">
      <c r="A180" s="615">
        <f t="shared" si="16"/>
        <v>170</v>
      </c>
      <c r="B180" s="602">
        <v>31</v>
      </c>
      <c r="C180" s="616">
        <v>41851</v>
      </c>
      <c r="D180" s="617">
        <f ca="1">D185</f>
        <v>1</v>
      </c>
      <c r="E180" s="602">
        <f>SUM('Revenues &amp; Expenses'!BJ181:$BJ$258)</f>
        <v>34889611.036554292</v>
      </c>
      <c r="F180" s="618">
        <f t="shared" ca="1" si="17"/>
        <v>23131675.991105787</v>
      </c>
      <c r="G180" s="635">
        <f t="shared" ca="1" si="13"/>
        <v>11757935.045448504</v>
      </c>
      <c r="H180" s="635">
        <f t="shared" ca="1" si="14"/>
        <v>0</v>
      </c>
      <c r="K180" s="618">
        <f t="shared" ca="1" si="15"/>
        <v>1059139.9402864368</v>
      </c>
      <c r="L180" s="618">
        <f ca="1">K180*'Revenues &amp; Expenses'!N181</f>
        <v>369966.62899344444</v>
      </c>
      <c r="M180" s="618">
        <f ca="1">SUM(L180:$L$257)</f>
        <v>23131675.991105754</v>
      </c>
      <c r="O180" s="602">
        <f ca="1">HLOOKUP(C180,'Debt Amortization'!$H$5:$AB$9,5)</f>
        <v>64509203.626341507</v>
      </c>
    </row>
    <row r="181" spans="1:15">
      <c r="A181" s="615">
        <f t="shared" si="16"/>
        <v>171</v>
      </c>
      <c r="B181" s="602">
        <v>31</v>
      </c>
      <c r="C181" s="616">
        <v>41882</v>
      </c>
      <c r="D181" s="617">
        <f ca="1">D185</f>
        <v>1</v>
      </c>
      <c r="E181" s="602">
        <f>SUM('Revenues &amp; Expenses'!BJ182:$BJ$258)</f>
        <v>32037574.342928264</v>
      </c>
      <c r="F181" s="618">
        <f t="shared" ca="1" si="17"/>
        <v>22761709.36211234</v>
      </c>
      <c r="G181" s="635">
        <f t="shared" ca="1" si="13"/>
        <v>9275864.9808159247</v>
      </c>
      <c r="H181" s="635">
        <f t="shared" ca="1" si="14"/>
        <v>0</v>
      </c>
      <c r="K181" s="618">
        <f t="shared" ca="1" si="15"/>
        <v>1059139.9402864368</v>
      </c>
      <c r="L181" s="618">
        <f ca="1">K181*'Revenues &amp; Expenses'!N182</f>
        <v>367713.92954415339</v>
      </c>
      <c r="M181" s="618">
        <f ca="1">SUM(L181:$L$257)</f>
        <v>22761709.362112317</v>
      </c>
      <c r="O181" s="602">
        <f ca="1">HLOOKUP(C181,'Debt Amortization'!$H$5:$AB$9,5)</f>
        <v>64509203.626341507</v>
      </c>
    </row>
    <row r="182" spans="1:15">
      <c r="A182" s="615">
        <f t="shared" si="16"/>
        <v>172</v>
      </c>
      <c r="B182" s="602">
        <v>30</v>
      </c>
      <c r="C182" s="616">
        <v>41912</v>
      </c>
      <c r="D182" s="617">
        <f ca="1">D185</f>
        <v>1</v>
      </c>
      <c r="E182" s="602">
        <f>SUM('Revenues &amp; Expenses'!BJ183:$BJ$258)</f>
        <v>29825631.111745398</v>
      </c>
      <c r="F182" s="618">
        <f t="shared" ca="1" si="17"/>
        <v>22393995.432568185</v>
      </c>
      <c r="G182" s="635">
        <f t="shared" ca="1" si="13"/>
        <v>7431635.6791772135</v>
      </c>
      <c r="H182" s="635">
        <f t="shared" ca="1" si="14"/>
        <v>0</v>
      </c>
      <c r="K182" s="618">
        <f t="shared" ca="1" si="15"/>
        <v>1059139.9402864368</v>
      </c>
      <c r="L182" s="618">
        <f ca="1">K182*'Revenues &amp; Expenses'!N183</f>
        <v>365475.25615871209</v>
      </c>
      <c r="M182" s="618">
        <f ca="1">SUM(L182:$L$257)</f>
        <v>22393995.432568159</v>
      </c>
      <c r="O182" s="602">
        <f ca="1">HLOOKUP(C182,'Debt Amortization'!$H$5:$AB$9,5)</f>
        <v>64509203.626341507</v>
      </c>
    </row>
    <row r="183" spans="1:15">
      <c r="A183" s="615">
        <f t="shared" si="16"/>
        <v>173</v>
      </c>
      <c r="B183" s="602">
        <v>31</v>
      </c>
      <c r="C183" s="616">
        <v>41943</v>
      </c>
      <c r="D183" s="617">
        <f ca="1">D185</f>
        <v>1</v>
      </c>
      <c r="E183" s="602">
        <f>SUM('Revenues &amp; Expenses'!BJ184:$BJ$258)</f>
        <v>29825631.111745398</v>
      </c>
      <c r="F183" s="618">
        <f t="shared" ca="1" si="17"/>
        <v>22028520.176409476</v>
      </c>
      <c r="G183" s="635">
        <f t="shared" ca="1" si="13"/>
        <v>7797110.935335923</v>
      </c>
      <c r="H183" s="635">
        <f t="shared" ca="1" si="14"/>
        <v>0</v>
      </c>
      <c r="K183" s="618">
        <f t="shared" ca="1" si="15"/>
        <v>1059139.9402864368</v>
      </c>
      <c r="L183" s="618">
        <f ca="1">K183*'Revenues &amp; Expenses'!N184</f>
        <v>363322.06873031019</v>
      </c>
      <c r="M183" s="618">
        <f ca="1">SUM(L183:$L$257)</f>
        <v>22028520.176409449</v>
      </c>
      <c r="O183" s="602">
        <f ca="1">HLOOKUP(C183,'Debt Amortization'!$H$5:$AB$9,5)</f>
        <v>64509203.626341507</v>
      </c>
    </row>
    <row r="184" spans="1:15">
      <c r="A184" s="615">
        <f t="shared" si="16"/>
        <v>174</v>
      </c>
      <c r="B184" s="602">
        <v>30</v>
      </c>
      <c r="C184" s="616">
        <v>41973</v>
      </c>
      <c r="D184" s="617">
        <f ca="1">D185</f>
        <v>1</v>
      </c>
      <c r="E184" s="602">
        <f>SUM('Revenues &amp; Expenses'!BJ185:$BJ$258)</f>
        <v>29825631.111745398</v>
      </c>
      <c r="F184" s="618">
        <f t="shared" ca="1" si="17"/>
        <v>21665198.107679166</v>
      </c>
      <c r="G184" s="635">
        <f t="shared" ca="1" si="13"/>
        <v>8160433.0040662326</v>
      </c>
      <c r="H184" s="635">
        <f t="shared" ca="1" si="14"/>
        <v>0</v>
      </c>
      <c r="K184" s="618">
        <f t="shared" ca="1" si="15"/>
        <v>1059139.9402864368</v>
      </c>
      <c r="L184" s="618">
        <f ca="1">K184*'Revenues &amp; Expenses'!N185</f>
        <v>361110.73519435868</v>
      </c>
      <c r="M184" s="618">
        <f ca="1">SUM(L184:$L$257)</f>
        <v>21665198.10767914</v>
      </c>
      <c r="O184" s="602">
        <f ca="1">HLOOKUP(C184,'Debt Amortization'!$H$5:$AB$9,5)</f>
        <v>64509203.626341507</v>
      </c>
    </row>
    <row r="185" spans="1:15">
      <c r="A185" s="615">
        <f t="shared" si="16"/>
        <v>175</v>
      </c>
      <c r="B185" s="602">
        <v>31</v>
      </c>
      <c r="C185" s="616">
        <v>42004</v>
      </c>
      <c r="D185" s="617">
        <f ca="1">'Deal Depiction'!J22</f>
        <v>1</v>
      </c>
      <c r="E185" s="602">
        <f>SUM('Revenues &amp; Expenses'!BJ186:$BJ$258)</f>
        <v>29825631.111745398</v>
      </c>
      <c r="F185" s="618">
        <f t="shared" ca="1" si="17"/>
        <v>21304087.372484803</v>
      </c>
      <c r="G185" s="635">
        <f t="shared" ca="1" si="13"/>
        <v>8521543.7392605953</v>
      </c>
      <c r="H185" s="635">
        <f t="shared" ca="1" si="14"/>
        <v>0</v>
      </c>
      <c r="K185" s="618">
        <f t="shared" ca="1" si="15"/>
        <v>1059139.9402864368</v>
      </c>
      <c r="L185" s="618">
        <f ca="1">K185*'Revenues &amp; Expenses'!N186</f>
        <v>358983.84020999208</v>
      </c>
      <c r="M185" s="618">
        <f ca="1">SUM(L185:$L$257)</f>
        <v>21304087.372484777</v>
      </c>
      <c r="O185" s="602">
        <f ca="1">HLOOKUP(C185,'Debt Amortization'!$H$5:$AB$9,5)</f>
        <v>64509203.626341507</v>
      </c>
    </row>
    <row r="186" spans="1:15">
      <c r="A186" s="615">
        <f t="shared" si="16"/>
        <v>176</v>
      </c>
      <c r="B186" s="602">
        <v>31</v>
      </c>
      <c r="C186" s="616">
        <v>42035</v>
      </c>
      <c r="D186" s="617">
        <f ca="1">D197</f>
        <v>1</v>
      </c>
      <c r="E186" s="602">
        <f>SUM('Revenues &amp; Expenses'!BJ187:$BJ$258)</f>
        <v>29825631.111745398</v>
      </c>
      <c r="F186" s="618">
        <f t="shared" ca="1" si="17"/>
        <v>20945103.532274809</v>
      </c>
      <c r="G186" s="635">
        <f t="shared" ca="1" si="13"/>
        <v>8880527.5794705898</v>
      </c>
      <c r="H186" s="635">
        <f t="shared" ca="1" si="14"/>
        <v>0</v>
      </c>
      <c r="K186" s="618">
        <f t="shared" ca="1" si="15"/>
        <v>1059139.9402864368</v>
      </c>
      <c r="L186" s="618">
        <f ca="1">K186*'Revenues &amp; Expenses'!N187</f>
        <v>356799.50563871494</v>
      </c>
      <c r="M186" s="618">
        <f ca="1">SUM(L186:$L$257)</f>
        <v>20945103.532274786</v>
      </c>
      <c r="O186" s="602">
        <f ca="1">HLOOKUP(C186,'Debt Amortization'!$H$5:$AB$9,5)</f>
        <v>57443531.178084709</v>
      </c>
    </row>
    <row r="187" spans="1:15">
      <c r="A187" s="615">
        <f t="shared" si="16"/>
        <v>177</v>
      </c>
      <c r="B187" s="602">
        <v>28</v>
      </c>
      <c r="C187" s="616">
        <v>42063</v>
      </c>
      <c r="D187" s="617">
        <f ca="1">D197</f>
        <v>1</v>
      </c>
      <c r="E187" s="602">
        <f>SUM('Revenues &amp; Expenses'!BJ188:$BJ$258)</f>
        <v>29825631.111745398</v>
      </c>
      <c r="F187" s="618">
        <f t="shared" ca="1" si="17"/>
        <v>20588304.02663609</v>
      </c>
      <c r="G187" s="635">
        <f t="shared" ca="1" si="13"/>
        <v>9237327.0851093084</v>
      </c>
      <c r="H187" s="635">
        <f t="shared" ca="1" si="14"/>
        <v>0</v>
      </c>
      <c r="K187" s="618">
        <f t="shared" ca="1" si="15"/>
        <v>1059139.9402864368</v>
      </c>
      <c r="L187" s="618">
        <f ca="1">K187*'Revenues &amp; Expenses'!N188</f>
        <v>354628.76260621008</v>
      </c>
      <c r="M187" s="618">
        <f ca="1">SUM(L187:$L$257)</f>
        <v>20588304.026636075</v>
      </c>
      <c r="O187" s="602">
        <f ca="1">HLOOKUP(C187,'Debt Amortization'!$H$5:$AB$9,5)</f>
        <v>57443531.178084709</v>
      </c>
    </row>
    <row r="188" spans="1:15">
      <c r="A188" s="615">
        <f t="shared" si="16"/>
        <v>178</v>
      </c>
      <c r="B188" s="602">
        <v>31</v>
      </c>
      <c r="C188" s="616">
        <v>42094</v>
      </c>
      <c r="D188" s="617">
        <f ca="1">D197</f>
        <v>1</v>
      </c>
      <c r="E188" s="602">
        <f>SUM('Revenues &amp; Expenses'!BJ189:$BJ$258)</f>
        <v>29825631.111745398</v>
      </c>
      <c r="F188" s="618">
        <f t="shared" ca="1" si="17"/>
        <v>20233675.264029879</v>
      </c>
      <c r="G188" s="635">
        <f t="shared" ca="1" si="13"/>
        <v>9591955.8477155194</v>
      </c>
      <c r="H188" s="635">
        <f t="shared" ca="1" si="14"/>
        <v>0</v>
      </c>
      <c r="K188" s="618">
        <f t="shared" ca="1" si="15"/>
        <v>1059139.9402864368</v>
      </c>
      <c r="L188" s="618">
        <f ca="1">K188*'Revenues &amp; Expenses'!N189</f>
        <v>352679.70185681677</v>
      </c>
      <c r="M188" s="618">
        <f ca="1">SUM(L188:$L$257)</f>
        <v>20233675.264029864</v>
      </c>
      <c r="O188" s="602">
        <f ca="1">HLOOKUP(C188,'Debt Amortization'!$H$5:$AB$9,5)</f>
        <v>57443531.178084709</v>
      </c>
    </row>
    <row r="189" spans="1:15">
      <c r="A189" s="615">
        <f t="shared" si="16"/>
        <v>179</v>
      </c>
      <c r="B189" s="602">
        <v>30</v>
      </c>
      <c r="C189" s="616">
        <v>42124</v>
      </c>
      <c r="D189" s="617">
        <f ca="1">D197</f>
        <v>1</v>
      </c>
      <c r="E189" s="602">
        <f>SUM('Revenues &amp; Expenses'!BJ190:$BJ$258)</f>
        <v>29825631.111745398</v>
      </c>
      <c r="F189" s="618">
        <f t="shared" ca="1" si="17"/>
        <v>19880995.562173069</v>
      </c>
      <c r="G189" s="635">
        <f t="shared" ca="1" si="13"/>
        <v>9944635.54957233</v>
      </c>
      <c r="H189" s="635">
        <f t="shared" ca="1" si="14"/>
        <v>0</v>
      </c>
      <c r="K189" s="618">
        <f t="shared" ca="1" si="15"/>
        <v>1059139.9402864368</v>
      </c>
      <c r="L189" s="618">
        <f ca="1">K189*'Revenues &amp; Expenses'!N190</f>
        <v>350534.58848064073</v>
      </c>
      <c r="M189" s="618">
        <f ca="1">SUM(L189:$L$257)</f>
        <v>19880995.56217305</v>
      </c>
      <c r="O189" s="602">
        <f ca="1">HLOOKUP(C189,'Debt Amortization'!$H$5:$AB$9,5)</f>
        <v>57443531.178084709</v>
      </c>
    </row>
    <row r="190" spans="1:15">
      <c r="A190" s="615">
        <f t="shared" si="16"/>
        <v>180</v>
      </c>
      <c r="B190" s="602">
        <v>31</v>
      </c>
      <c r="C190" s="616">
        <v>42155</v>
      </c>
      <c r="D190" s="617">
        <f ca="1">D197</f>
        <v>1</v>
      </c>
      <c r="E190" s="602">
        <f>SUM('Revenues &amp; Expenses'!BJ191:$BJ$258)</f>
        <v>29825631.111745398</v>
      </c>
      <c r="F190" s="618">
        <f t="shared" ca="1" si="17"/>
        <v>19530460.973692425</v>
      </c>
      <c r="G190" s="635">
        <f t="shared" ca="1" si="13"/>
        <v>10295170.138052974</v>
      </c>
      <c r="H190" s="635">
        <f t="shared" ca="1" si="14"/>
        <v>0</v>
      </c>
      <c r="K190" s="618">
        <f t="shared" ca="1" si="15"/>
        <v>1059139.9402864368</v>
      </c>
      <c r="L190" s="618">
        <f ca="1">K190*'Revenues &amp; Expenses'!N191</f>
        <v>348471.37689639686</v>
      </c>
      <c r="M190" s="618">
        <f ca="1">SUM(L190:$L$257)</f>
        <v>19530460.973692406</v>
      </c>
      <c r="O190" s="602">
        <f ca="1">HLOOKUP(C190,'Debt Amortization'!$H$5:$AB$9,5)</f>
        <v>57443531.178084709</v>
      </c>
    </row>
    <row r="191" spans="1:15">
      <c r="A191" s="615">
        <f t="shared" si="16"/>
        <v>181</v>
      </c>
      <c r="B191" s="602">
        <v>30</v>
      </c>
      <c r="C191" s="616">
        <v>42185</v>
      </c>
      <c r="D191" s="617">
        <f ca="1">D197</f>
        <v>1</v>
      </c>
      <c r="E191" s="602">
        <f>SUM('Revenues &amp; Expenses'!BJ192:$BJ$258)</f>
        <v>29825631.111745398</v>
      </c>
      <c r="F191" s="618">
        <f t="shared" ca="1" si="17"/>
        <v>19181989.596796028</v>
      </c>
      <c r="G191" s="635">
        <f t="shared" ca="1" si="13"/>
        <v>10643641.51494937</v>
      </c>
      <c r="H191" s="635">
        <f t="shared" ca="1" si="14"/>
        <v>0</v>
      </c>
      <c r="K191" s="618">
        <f t="shared" ca="1" si="15"/>
        <v>1059139.9402864368</v>
      </c>
      <c r="L191" s="618">
        <f ca="1">K191*'Revenues &amp; Expenses'!N192</f>
        <v>346352.43717923114</v>
      </c>
      <c r="M191" s="618">
        <f ca="1">SUM(L191:$L$257)</f>
        <v>19181989.59679601</v>
      </c>
      <c r="O191" s="602">
        <f ca="1">HLOOKUP(C191,'Debt Amortization'!$H$5:$AB$9,5)</f>
        <v>57443531.178084709</v>
      </c>
    </row>
    <row r="192" spans="1:15">
      <c r="A192" s="615">
        <f t="shared" si="16"/>
        <v>182</v>
      </c>
      <c r="B192" s="602">
        <v>31</v>
      </c>
      <c r="C192" s="616">
        <v>42216</v>
      </c>
      <c r="D192" s="617">
        <f ca="1">D197</f>
        <v>1</v>
      </c>
      <c r="E192" s="602">
        <f>SUM('Revenues &amp; Expenses'!BJ193:$BJ$258)</f>
        <v>28997865.570064757</v>
      </c>
      <c r="F192" s="618">
        <f t="shared" ca="1" si="17"/>
        <v>18835637.159616794</v>
      </c>
      <c r="G192" s="635">
        <f t="shared" ca="1" si="13"/>
        <v>10162228.410447963</v>
      </c>
      <c r="H192" s="635">
        <f t="shared" ca="1" si="14"/>
        <v>0</v>
      </c>
      <c r="K192" s="618">
        <f t="shared" ca="1" si="15"/>
        <v>1059139.9402864368</v>
      </c>
      <c r="L192" s="618">
        <f ca="1">K192*'Revenues &amp; Expenses'!N193</f>
        <v>344314.39666314714</v>
      </c>
      <c r="M192" s="618">
        <f ca="1">SUM(L192:$L$257)</f>
        <v>18835637.15961678</v>
      </c>
      <c r="O192" s="602">
        <f ca="1">HLOOKUP(C192,'Debt Amortization'!$H$5:$AB$9,5)</f>
        <v>57443531.178084709</v>
      </c>
    </row>
    <row r="193" spans="1:15">
      <c r="A193" s="615">
        <f t="shared" si="16"/>
        <v>183</v>
      </c>
      <c r="B193" s="602">
        <v>31</v>
      </c>
      <c r="C193" s="616">
        <v>42247</v>
      </c>
      <c r="D193" s="617">
        <f ca="1">D197</f>
        <v>1</v>
      </c>
      <c r="E193" s="602">
        <f>SUM('Revenues &amp; Expenses'!BJ194:$BJ$258)</f>
        <v>26270416.850731354</v>
      </c>
      <c r="F193" s="618">
        <f t="shared" ca="1" si="17"/>
        <v>18491322.76295365</v>
      </c>
      <c r="G193" s="635">
        <f t="shared" ca="1" si="13"/>
        <v>7779094.087777704</v>
      </c>
      <c r="H193" s="635">
        <f t="shared" ca="1" si="14"/>
        <v>0</v>
      </c>
      <c r="K193" s="618">
        <f t="shared" ca="1" si="15"/>
        <v>1059139.9402864368</v>
      </c>
      <c r="L193" s="618">
        <f ca="1">K193*'Revenues &amp; Expenses'!N194</f>
        <v>342221.30454247724</v>
      </c>
      <c r="M193" s="618">
        <f ca="1">SUM(L193:$L$257)</f>
        <v>18491322.762953635</v>
      </c>
      <c r="O193" s="602">
        <f ca="1">HLOOKUP(C193,'Debt Amortization'!$H$5:$AB$9,5)</f>
        <v>57443531.178084709</v>
      </c>
    </row>
    <row r="194" spans="1:15">
      <c r="A194" s="615">
        <f t="shared" si="16"/>
        <v>184</v>
      </c>
      <c r="B194" s="602">
        <v>30</v>
      </c>
      <c r="C194" s="616">
        <v>42277</v>
      </c>
      <c r="D194" s="617">
        <f ca="1">D197</f>
        <v>1</v>
      </c>
      <c r="E194" s="602">
        <f>SUM('Revenues &amp; Expenses'!BJ195:$BJ$258)</f>
        <v>24240315.043813597</v>
      </c>
      <c r="F194" s="618">
        <f t="shared" ca="1" si="17"/>
        <v>18149101.458411172</v>
      </c>
      <c r="G194" s="635">
        <f t="shared" ca="1" si="13"/>
        <v>6091213.5854024254</v>
      </c>
      <c r="H194" s="635">
        <f t="shared" ca="1" si="14"/>
        <v>0</v>
      </c>
      <c r="K194" s="618">
        <f t="shared" ca="1" si="15"/>
        <v>1059139.9402864368</v>
      </c>
      <c r="L194" s="618">
        <f ca="1">K194*'Revenues &amp; Expenses'!N195</f>
        <v>340141.2244578033</v>
      </c>
      <c r="M194" s="618">
        <f ca="1">SUM(L194:$L$257)</f>
        <v>18149101.458411161</v>
      </c>
      <c r="O194" s="602">
        <f ca="1">HLOOKUP(C194,'Debt Amortization'!$H$5:$AB$9,5)</f>
        <v>57443531.178084709</v>
      </c>
    </row>
    <row r="195" spans="1:15">
      <c r="A195" s="615">
        <f t="shared" si="16"/>
        <v>185</v>
      </c>
      <c r="B195" s="602">
        <v>31</v>
      </c>
      <c r="C195" s="616">
        <v>42308</v>
      </c>
      <c r="D195" s="617">
        <f ca="1">D197</f>
        <v>1</v>
      </c>
      <c r="E195" s="602">
        <f>SUM('Revenues &amp; Expenses'!BJ196:$BJ$258)</f>
        <v>24240315.043813597</v>
      </c>
      <c r="F195" s="618">
        <f t="shared" ca="1" si="17"/>
        <v>17808960.233953372</v>
      </c>
      <c r="G195" s="635">
        <f t="shared" ca="1" si="13"/>
        <v>6431354.8098602258</v>
      </c>
      <c r="H195" s="635">
        <f t="shared" ca="1" si="14"/>
        <v>0</v>
      </c>
      <c r="K195" s="618">
        <f t="shared" ca="1" si="15"/>
        <v>1059139.9402864368</v>
      </c>
      <c r="L195" s="618">
        <f ca="1">K195*'Revenues &amp; Expenses'!N196</f>
        <v>338140.55511629966</v>
      </c>
      <c r="M195" s="618">
        <f ca="1">SUM(L195:$L$257)</f>
        <v>17808960.233953353</v>
      </c>
      <c r="O195" s="602">
        <f ca="1">HLOOKUP(C195,'Debt Amortization'!$H$5:$AB$9,5)</f>
        <v>57443531.178084709</v>
      </c>
    </row>
    <row r="196" spans="1:15">
      <c r="A196" s="615">
        <f t="shared" si="16"/>
        <v>186</v>
      </c>
      <c r="B196" s="602">
        <v>30</v>
      </c>
      <c r="C196" s="616">
        <v>42338</v>
      </c>
      <c r="D196" s="617">
        <f ca="1">D197</f>
        <v>1</v>
      </c>
      <c r="E196" s="602">
        <f>SUM('Revenues &amp; Expenses'!BJ197:$BJ$258)</f>
        <v>24240315.043813597</v>
      </c>
      <c r="F196" s="618">
        <f t="shared" ca="1" si="17"/>
        <v>17470819.678837068</v>
      </c>
      <c r="G196" s="635">
        <f t="shared" ca="1" si="13"/>
        <v>6769495.364976529</v>
      </c>
      <c r="H196" s="635">
        <f t="shared" ca="1" si="14"/>
        <v>0</v>
      </c>
      <c r="K196" s="618">
        <f t="shared" ca="1" si="15"/>
        <v>1059139.9402864368</v>
      </c>
      <c r="L196" s="618">
        <f ca="1">K196*'Revenues &amp; Expenses'!N197</f>
        <v>336085.8386788519</v>
      </c>
      <c r="M196" s="618">
        <f ca="1">SUM(L196:$L$257)</f>
        <v>17470819.67883705</v>
      </c>
      <c r="O196" s="602">
        <f ca="1">HLOOKUP(C196,'Debt Amortization'!$H$5:$AB$9,5)</f>
        <v>57443531.178084709</v>
      </c>
    </row>
    <row r="197" spans="1:15">
      <c r="A197" s="615">
        <f t="shared" si="16"/>
        <v>187</v>
      </c>
      <c r="B197" s="602">
        <v>31</v>
      </c>
      <c r="C197" s="616">
        <v>42369</v>
      </c>
      <c r="D197" s="617">
        <f ca="1">'Deal Depiction'!J23</f>
        <v>1</v>
      </c>
      <c r="E197" s="602">
        <f>SUM('Revenues &amp; Expenses'!BJ198:$BJ$258)</f>
        <v>24240315.043813597</v>
      </c>
      <c r="F197" s="618">
        <f t="shared" ca="1" si="17"/>
        <v>17134733.840158217</v>
      </c>
      <c r="G197" s="635">
        <f t="shared" ca="1" si="13"/>
        <v>7105581.2036553808</v>
      </c>
      <c r="H197" s="635">
        <f t="shared" ca="1" si="14"/>
        <v>0</v>
      </c>
      <c r="K197" s="618">
        <f t="shared" ca="1" si="15"/>
        <v>1059139.9402864368</v>
      </c>
      <c r="L197" s="618">
        <f ca="1">K197*'Revenues &amp; Expenses'!N198</f>
        <v>334109.56151744246</v>
      </c>
      <c r="M197" s="618">
        <f ca="1">SUM(L197:$L$257)</f>
        <v>17134733.840158202</v>
      </c>
      <c r="O197" s="602">
        <f ca="1">HLOOKUP(C197,'Debt Amortization'!$H$5:$AB$9,5)</f>
        <v>57443531.178084709</v>
      </c>
    </row>
    <row r="198" spans="1:15">
      <c r="A198" s="615">
        <f t="shared" si="16"/>
        <v>188</v>
      </c>
      <c r="B198" s="602">
        <v>31</v>
      </c>
      <c r="C198" s="616">
        <v>42400</v>
      </c>
      <c r="D198" s="617">
        <f ca="1">D209</f>
        <v>1</v>
      </c>
      <c r="E198" s="602">
        <f>SUM('Revenues &amp; Expenses'!BJ199:$BJ$258)</f>
        <v>24240315.043813597</v>
      </c>
      <c r="F198" s="618">
        <f t="shared" ca="1" si="17"/>
        <v>16800624.278640773</v>
      </c>
      <c r="G198" s="635">
        <f t="shared" ca="1" si="13"/>
        <v>7439690.7651728243</v>
      </c>
      <c r="H198" s="635">
        <f t="shared" ca="1" si="14"/>
        <v>0</v>
      </c>
      <c r="K198" s="618">
        <f t="shared" ca="1" si="15"/>
        <v>1059139.9402864368</v>
      </c>
      <c r="L198" s="618">
        <f ca="1">K198*'Revenues &amp; Expenses'!N199</f>
        <v>332079.89295258519</v>
      </c>
      <c r="M198" s="618">
        <f ca="1">SUM(L198:$L$257)</f>
        <v>16800624.278640758</v>
      </c>
      <c r="O198" s="602">
        <f ca="1">HLOOKUP(C198,'Debt Amortization'!$H$5:$AB$9,5)</f>
        <v>49759672.465677172</v>
      </c>
    </row>
    <row r="199" spans="1:15">
      <c r="A199" s="615">
        <f t="shared" si="16"/>
        <v>189</v>
      </c>
      <c r="B199" s="602">
        <v>29</v>
      </c>
      <c r="C199" s="616">
        <v>42429</v>
      </c>
      <c r="D199" s="617">
        <f ca="1">D209</f>
        <v>1</v>
      </c>
      <c r="E199" s="602">
        <f>SUM('Revenues &amp; Expenses'!BJ200:$BJ$258)</f>
        <v>24240315.043813597</v>
      </c>
      <c r="F199" s="618">
        <f t="shared" ca="1" si="17"/>
        <v>16468544.385688188</v>
      </c>
      <c r="G199" s="635">
        <f t="shared" ca="1" si="13"/>
        <v>7771770.6581254099</v>
      </c>
      <c r="H199" s="635">
        <f t="shared" ca="1" si="14"/>
        <v>0</v>
      </c>
      <c r="K199" s="618">
        <f t="shared" ca="1" si="15"/>
        <v>1059139.9402864368</v>
      </c>
      <c r="L199" s="618">
        <f ca="1">K199*'Revenues &amp; Expenses'!N200</f>
        <v>330062.8339065779</v>
      </c>
      <c r="M199" s="618">
        <f ca="1">SUM(L199:$L$257)</f>
        <v>16468544.385688173</v>
      </c>
      <c r="O199" s="602">
        <f ca="1">HLOOKUP(C199,'Debt Amortization'!$H$5:$AB$9,5)</f>
        <v>49759672.465677172</v>
      </c>
    </row>
    <row r="200" spans="1:15">
      <c r="A200" s="615">
        <f t="shared" si="16"/>
        <v>190</v>
      </c>
      <c r="B200" s="602">
        <v>31</v>
      </c>
      <c r="C200" s="616">
        <v>42460</v>
      </c>
      <c r="D200" s="617">
        <f ca="1">D209</f>
        <v>1</v>
      </c>
      <c r="E200" s="602">
        <f>SUM('Revenues &amp; Expenses'!BJ201:$BJ$258)</f>
        <v>24240315.043813597</v>
      </c>
      <c r="F200" s="618">
        <f t="shared" ca="1" si="17"/>
        <v>16138481.551781608</v>
      </c>
      <c r="G200" s="635">
        <f t="shared" ca="1" si="13"/>
        <v>8101833.4920319896</v>
      </c>
      <c r="H200" s="635">
        <f t="shared" ca="1" si="14"/>
        <v>0</v>
      </c>
      <c r="K200" s="618">
        <f t="shared" ca="1" si="15"/>
        <v>1059139.9402864368</v>
      </c>
      <c r="L200" s="618">
        <f ca="1">K200*'Revenues &amp; Expenses'!N201</f>
        <v>328187.25231668563</v>
      </c>
      <c r="M200" s="618">
        <f ca="1">SUM(L200:$L$257)</f>
        <v>16138481.551781597</v>
      </c>
      <c r="O200" s="602">
        <f ca="1">HLOOKUP(C200,'Debt Amortization'!$H$5:$AB$9,5)</f>
        <v>49759672.465677172</v>
      </c>
    </row>
    <row r="201" spans="1:15">
      <c r="A201" s="615">
        <f t="shared" si="16"/>
        <v>191</v>
      </c>
      <c r="B201" s="602">
        <v>30</v>
      </c>
      <c r="C201" s="616">
        <v>42490</v>
      </c>
      <c r="D201" s="617">
        <f ca="1">D209</f>
        <v>1</v>
      </c>
      <c r="E201" s="602">
        <f>SUM('Revenues &amp; Expenses'!BJ202:$BJ$258)</f>
        <v>24240315.043813597</v>
      </c>
      <c r="F201" s="618">
        <f t="shared" ca="1" si="17"/>
        <v>15810294.299464922</v>
      </c>
      <c r="G201" s="635">
        <f t="shared" ca="1" si="13"/>
        <v>8430020.744348675</v>
      </c>
      <c r="H201" s="635">
        <f t="shared" ca="1" si="14"/>
        <v>0</v>
      </c>
      <c r="K201" s="618">
        <f t="shared" ca="1" si="15"/>
        <v>1059139.9402864368</v>
      </c>
      <c r="L201" s="618">
        <f ca="1">K201*'Revenues &amp; Expenses'!N202</f>
        <v>326194.37199773465</v>
      </c>
      <c r="M201" s="618">
        <f ca="1">SUM(L201:$L$257)</f>
        <v>15810294.299464909</v>
      </c>
      <c r="O201" s="602">
        <f ca="1">HLOOKUP(C201,'Debt Amortization'!$H$5:$AB$9,5)</f>
        <v>49759672.465677172</v>
      </c>
    </row>
    <row r="202" spans="1:15">
      <c r="A202" s="615">
        <f t="shared" si="16"/>
        <v>192</v>
      </c>
      <c r="B202" s="602">
        <v>31</v>
      </c>
      <c r="C202" s="616">
        <v>42521</v>
      </c>
      <c r="D202" s="617">
        <f ca="1">D209</f>
        <v>1</v>
      </c>
      <c r="E202" s="602">
        <f>SUM('Revenues &amp; Expenses'!BJ203:$BJ$258)</f>
        <v>24240315.043813597</v>
      </c>
      <c r="F202" s="618">
        <f t="shared" ca="1" si="17"/>
        <v>15484099.927467188</v>
      </c>
      <c r="G202" s="635">
        <f t="shared" ca="1" si="13"/>
        <v>8756215.1163464095</v>
      </c>
      <c r="H202" s="635">
        <f t="shared" ca="1" si="14"/>
        <v>0</v>
      </c>
      <c r="K202" s="618">
        <f t="shared" ca="1" si="15"/>
        <v>1059139.9402864368</v>
      </c>
      <c r="L202" s="618">
        <f ca="1">K202*'Revenues &amp; Expenses'!N203</f>
        <v>324277.56269763655</v>
      </c>
      <c r="M202" s="618">
        <f ca="1">SUM(L202:$L$257)</f>
        <v>15484099.927467175</v>
      </c>
      <c r="O202" s="602">
        <f ca="1">HLOOKUP(C202,'Debt Amortization'!$H$5:$AB$9,5)</f>
        <v>49759672.465677172</v>
      </c>
    </row>
    <row r="203" spans="1:15">
      <c r="A203" s="615">
        <f t="shared" si="16"/>
        <v>193</v>
      </c>
      <c r="B203" s="602">
        <v>30</v>
      </c>
      <c r="C203" s="616">
        <v>42551</v>
      </c>
      <c r="D203" s="617">
        <f ca="1">D209</f>
        <v>1</v>
      </c>
      <c r="E203" s="602">
        <f>SUM('Revenues &amp; Expenses'!BJ204:$BJ$258)</f>
        <v>24240315.043813597</v>
      </c>
      <c r="F203" s="618">
        <f t="shared" ca="1" si="17"/>
        <v>15159822.364769554</v>
      </c>
      <c r="G203" s="635">
        <f t="shared" ca="1" si="13"/>
        <v>9080492.6790440436</v>
      </c>
      <c r="H203" s="635">
        <f t="shared" ca="1" si="14"/>
        <v>0</v>
      </c>
      <c r="K203" s="618">
        <f t="shared" ca="1" si="15"/>
        <v>1059139.9402864368</v>
      </c>
      <c r="L203" s="618">
        <f ca="1">K203*'Revenues &amp; Expenses'!N204</f>
        <v>322308.96073167934</v>
      </c>
      <c r="M203" s="618">
        <f ca="1">SUM(L203:$L$257)</f>
        <v>15159822.364769539</v>
      </c>
      <c r="O203" s="602">
        <f ca="1">HLOOKUP(C203,'Debt Amortization'!$H$5:$AB$9,5)</f>
        <v>49759672.465677172</v>
      </c>
    </row>
    <row r="204" spans="1:15">
      <c r="A204" s="615">
        <f t="shared" si="16"/>
        <v>194</v>
      </c>
      <c r="B204" s="602">
        <v>31</v>
      </c>
      <c r="C204" s="616">
        <v>42582</v>
      </c>
      <c r="D204" s="617">
        <f ca="1">D209</f>
        <v>1</v>
      </c>
      <c r="E204" s="602">
        <f>SUM('Revenues &amp; Expenses'!BJ205:$BJ$258)</f>
        <v>23417629.891672786</v>
      </c>
      <c r="F204" s="618">
        <f t="shared" ca="1" si="17"/>
        <v>14837513.404037872</v>
      </c>
      <c r="G204" s="635">
        <f t="shared" ref="G204:G257" ca="1" si="18">IF(AND(D204=1,E204-F204&gt;0),E204-F204,0)</f>
        <v>8580116.487634914</v>
      </c>
      <c r="H204" s="635">
        <f t="shared" ref="H204:H257" ca="1" si="19">IF(AND(D204=1,F204-E204&gt;0),F204-E204,0)</f>
        <v>0</v>
      </c>
      <c r="K204" s="618">
        <f t="shared" ref="K204:K257" ca="1" si="20">($K$2*315000)/12</f>
        <v>1059139.9402864368</v>
      </c>
      <c r="L204" s="618">
        <f ca="1">K204*'Revenues &amp; Expenses'!N205</f>
        <v>320415.50001375313</v>
      </c>
      <c r="M204" s="618">
        <f ca="1">SUM(L204:$L$257)</f>
        <v>14837513.404037859</v>
      </c>
      <c r="O204" s="602">
        <f ca="1">HLOOKUP(C204,'Debt Amortization'!$H$5:$AB$9,5)</f>
        <v>49759672.465677172</v>
      </c>
    </row>
    <row r="205" spans="1:15">
      <c r="A205" s="615">
        <f t="shared" ref="A205:A257" si="21">A204+1</f>
        <v>195</v>
      </c>
      <c r="B205" s="602">
        <v>31</v>
      </c>
      <c r="C205" s="616">
        <v>42613</v>
      </c>
      <c r="D205" s="617">
        <f ca="1">D209</f>
        <v>1</v>
      </c>
      <c r="E205" s="602">
        <f>SUM('Revenues &amp; Expenses'!BJ206:$BJ$258)</f>
        <v>20925043.654405836</v>
      </c>
      <c r="F205" s="618">
        <f t="shared" ca="1" si="17"/>
        <v>14517097.90402412</v>
      </c>
      <c r="G205" s="635">
        <f t="shared" ca="1" si="18"/>
        <v>6407945.7503817156</v>
      </c>
      <c r="H205" s="635">
        <f t="shared" ca="1" si="19"/>
        <v>0</v>
      </c>
      <c r="K205" s="618">
        <f t="shared" ca="1" si="20"/>
        <v>1059139.9402864368</v>
      </c>
      <c r="L205" s="618">
        <f ca="1">K205*'Revenues &amp; Expenses'!N206</f>
        <v>318470.87440051086</v>
      </c>
      <c r="M205" s="618">
        <f ca="1">SUM(L205:$L$257)</f>
        <v>14517097.904024106</v>
      </c>
      <c r="O205" s="602">
        <f ca="1">HLOOKUP(C205,'Debt Amortization'!$H$5:$AB$9,5)</f>
        <v>49759672.465677172</v>
      </c>
    </row>
    <row r="206" spans="1:15">
      <c r="A206" s="615">
        <f t="shared" si="21"/>
        <v>196</v>
      </c>
      <c r="B206" s="602">
        <v>30</v>
      </c>
      <c r="C206" s="616">
        <v>42643</v>
      </c>
      <c r="D206" s="617">
        <f ca="1">D209</f>
        <v>1</v>
      </c>
      <c r="E206" s="602">
        <f>SUM('Revenues &amp; Expenses'!BJ207:$BJ$258)</f>
        <v>18882718.997329164</v>
      </c>
      <c r="F206" s="618">
        <f t="shared" ca="1" si="17"/>
        <v>14198627.029623609</v>
      </c>
      <c r="G206" s="635">
        <f t="shared" ca="1" si="18"/>
        <v>4684091.9677055553</v>
      </c>
      <c r="H206" s="635">
        <f t="shared" ca="1" si="19"/>
        <v>0</v>
      </c>
      <c r="K206" s="618">
        <f t="shared" ca="1" si="20"/>
        <v>1059139.9402864368</v>
      </c>
      <c r="L206" s="618">
        <f ca="1">K206*'Revenues &amp; Expenses'!N207</f>
        <v>316538.31898482534</v>
      </c>
      <c r="M206" s="618">
        <f ca="1">SUM(L206:$L$257)</f>
        <v>14198627.029623596</v>
      </c>
      <c r="O206" s="602">
        <f ca="1">HLOOKUP(C206,'Debt Amortization'!$H$5:$AB$9,5)</f>
        <v>49759672.465677172</v>
      </c>
    </row>
    <row r="207" spans="1:15">
      <c r="A207" s="615">
        <f t="shared" si="21"/>
        <v>197</v>
      </c>
      <c r="B207" s="602">
        <v>31</v>
      </c>
      <c r="C207" s="616">
        <v>42674</v>
      </c>
      <c r="D207" s="617">
        <f ca="1">D209</f>
        <v>1</v>
      </c>
      <c r="E207" s="602">
        <f>SUM('Revenues &amp; Expenses'!BJ208:$BJ$258)</f>
        <v>18882718.997329164</v>
      </c>
      <c r="F207" s="618">
        <f t="shared" ca="1" si="17"/>
        <v>13882088.710638786</v>
      </c>
      <c r="G207" s="635">
        <f t="shared" ca="1" si="18"/>
        <v>5000630.2866903786</v>
      </c>
      <c r="H207" s="635">
        <f t="shared" ca="1" si="19"/>
        <v>0</v>
      </c>
      <c r="K207" s="618">
        <f t="shared" ca="1" si="20"/>
        <v>1059139.9402864368</v>
      </c>
      <c r="L207" s="618">
        <f ca="1">K207*'Revenues &amp; Expenses'!N208</f>
        <v>314679.52443615772</v>
      </c>
      <c r="M207" s="618">
        <f ca="1">SUM(L207:$L$257)</f>
        <v>13882088.710638771</v>
      </c>
      <c r="O207" s="602">
        <f ca="1">HLOOKUP(C207,'Debt Amortization'!$H$5:$AB$9,5)</f>
        <v>49759672.465677172</v>
      </c>
    </row>
    <row r="208" spans="1:15">
      <c r="A208" s="615">
        <f t="shared" si="21"/>
        <v>198</v>
      </c>
      <c r="B208" s="602">
        <v>30</v>
      </c>
      <c r="C208" s="616">
        <v>42704</v>
      </c>
      <c r="D208" s="617">
        <f ca="1">D209</f>
        <v>1</v>
      </c>
      <c r="E208" s="602">
        <f>SUM('Revenues &amp; Expenses'!BJ209:$BJ$258)</f>
        <v>18882718.997329164</v>
      </c>
      <c r="F208" s="618">
        <f t="shared" ca="1" si="17"/>
        <v>13567409.186202627</v>
      </c>
      <c r="G208" s="635">
        <f t="shared" ca="1" si="18"/>
        <v>5315309.8111265376</v>
      </c>
      <c r="H208" s="635">
        <f t="shared" ca="1" si="19"/>
        <v>0</v>
      </c>
      <c r="K208" s="618">
        <f t="shared" ca="1" si="20"/>
        <v>1059139.9402864368</v>
      </c>
      <c r="L208" s="618">
        <f ca="1">K208*'Revenues &amp; Expenses'!N209</f>
        <v>312770.4971272517</v>
      </c>
      <c r="M208" s="618">
        <f ca="1">SUM(L208:$L$257)</f>
        <v>13567409.186202614</v>
      </c>
      <c r="O208" s="602">
        <f ca="1">HLOOKUP(C208,'Debt Amortization'!$H$5:$AB$9,5)</f>
        <v>49759672.465677172</v>
      </c>
    </row>
    <row r="209" spans="1:15">
      <c r="A209" s="615">
        <f t="shared" si="21"/>
        <v>199</v>
      </c>
      <c r="B209" s="602">
        <v>31</v>
      </c>
      <c r="C209" s="616">
        <v>42735</v>
      </c>
      <c r="D209" s="617">
        <f ca="1">'Deal Depiction'!J24</f>
        <v>1</v>
      </c>
      <c r="E209" s="602">
        <f>SUM('Revenues &amp; Expenses'!BJ210:$BJ$258)</f>
        <v>18882718.997329164</v>
      </c>
      <c r="F209" s="618">
        <f t="shared" ca="1" si="17"/>
        <v>13254638.689075377</v>
      </c>
      <c r="G209" s="635">
        <f t="shared" ca="1" si="18"/>
        <v>5628080.3082537875</v>
      </c>
      <c r="H209" s="635">
        <f t="shared" ca="1" si="19"/>
        <v>0</v>
      </c>
      <c r="K209" s="618">
        <f t="shared" ca="1" si="20"/>
        <v>1059139.9402864368</v>
      </c>
      <c r="L209" s="618">
        <f ca="1">K209*'Revenues &amp; Expenses'!N210</f>
        <v>310934.3297351693</v>
      </c>
      <c r="M209" s="618">
        <f ca="1">SUM(L209:$L$257)</f>
        <v>13254638.689075362</v>
      </c>
      <c r="O209" s="602">
        <f ca="1">HLOOKUP(C209,'Debt Amortization'!$H$5:$AB$9,5)</f>
        <v>41403541.447063662</v>
      </c>
    </row>
    <row r="210" spans="1:15">
      <c r="A210" s="615">
        <f t="shared" si="21"/>
        <v>200</v>
      </c>
      <c r="B210" s="602">
        <v>31</v>
      </c>
      <c r="C210" s="616">
        <v>42766</v>
      </c>
      <c r="D210" s="617">
        <f ca="1">D221</f>
        <v>1</v>
      </c>
      <c r="E210" s="602">
        <f>SUM('Revenues &amp; Expenses'!BJ211:$BJ$258)</f>
        <v>18882718.997329164</v>
      </c>
      <c r="F210" s="618">
        <f t="shared" ca="1" si="17"/>
        <v>12943704.359340208</v>
      </c>
      <c r="G210" s="635">
        <f t="shared" ca="1" si="18"/>
        <v>5939014.6379889566</v>
      </c>
      <c r="H210" s="635">
        <f t="shared" ca="1" si="19"/>
        <v>0</v>
      </c>
      <c r="K210" s="618">
        <f t="shared" ca="1" si="20"/>
        <v>1059139.9402864368</v>
      </c>
      <c r="L210" s="618">
        <f ca="1">K210*'Revenues &amp; Expenses'!N211</f>
        <v>309048.53804787743</v>
      </c>
      <c r="M210" s="618">
        <f ca="1">SUM(L210:$L$257)</f>
        <v>12943704.359340193</v>
      </c>
      <c r="O210" s="602">
        <f ca="1">HLOOKUP(C210,'Debt Amortization'!$H$5:$AB$9,5)</f>
        <v>41403541.447063662</v>
      </c>
    </row>
    <row r="211" spans="1:15">
      <c r="A211" s="615">
        <f t="shared" si="21"/>
        <v>201</v>
      </c>
      <c r="B211" s="602">
        <v>28</v>
      </c>
      <c r="C211" s="616">
        <v>42794</v>
      </c>
      <c r="D211" s="617">
        <f ca="1">D221</f>
        <v>1</v>
      </c>
      <c r="E211" s="602">
        <f>SUM('Revenues &amp; Expenses'!BJ212:$BJ$258)</f>
        <v>18882718.997329164</v>
      </c>
      <c r="F211" s="618">
        <f t="shared" ref="F211:F257" ca="1" si="22">M211</f>
        <v>12634655.82129233</v>
      </c>
      <c r="G211" s="635">
        <f t="shared" ca="1" si="18"/>
        <v>6248063.1760368347</v>
      </c>
      <c r="H211" s="635">
        <f t="shared" ca="1" si="19"/>
        <v>0</v>
      </c>
      <c r="K211" s="618">
        <f t="shared" ca="1" si="20"/>
        <v>1059139.9402864368</v>
      </c>
      <c r="L211" s="618">
        <f ca="1">K211*'Revenues &amp; Expenses'!N212</f>
        <v>307174.44372807129</v>
      </c>
      <c r="M211" s="618">
        <f ca="1">SUM(L211:$L$257)</f>
        <v>12634655.821292315</v>
      </c>
      <c r="O211" s="602">
        <f ca="1">HLOOKUP(C211,'Debt Amortization'!$H$5:$AB$9,5)</f>
        <v>41403541.447063662</v>
      </c>
    </row>
    <row r="212" spans="1:15">
      <c r="A212" s="615">
        <f t="shared" si="21"/>
        <v>202</v>
      </c>
      <c r="B212" s="602">
        <v>31</v>
      </c>
      <c r="C212" s="616">
        <v>42825</v>
      </c>
      <c r="D212" s="617">
        <f ca="1">D221</f>
        <v>1</v>
      </c>
      <c r="E212" s="602">
        <f>SUM('Revenues &amp; Expenses'!BJ213:$BJ$258)</f>
        <v>18882718.997329164</v>
      </c>
      <c r="F212" s="618">
        <f t="shared" ca="1" si="22"/>
        <v>12327481.377564257</v>
      </c>
      <c r="G212" s="635">
        <f t="shared" ca="1" si="18"/>
        <v>6555237.6197649073</v>
      </c>
      <c r="H212" s="635">
        <f t="shared" ca="1" si="19"/>
        <v>0</v>
      </c>
      <c r="K212" s="618">
        <f t="shared" ca="1" si="20"/>
        <v>1059139.9402864368</v>
      </c>
      <c r="L212" s="618">
        <f ca="1">K212*'Revenues &amp; Expenses'!N213</f>
        <v>305491.70586753159</v>
      </c>
      <c r="M212" s="618">
        <f ca="1">SUM(L212:$L$257)</f>
        <v>12327481.377564244</v>
      </c>
      <c r="O212" s="602">
        <f ca="1">HLOOKUP(C212,'Debt Amortization'!$H$5:$AB$9,5)</f>
        <v>41403541.447063662</v>
      </c>
    </row>
    <row r="213" spans="1:15">
      <c r="A213" s="615">
        <f t="shared" si="21"/>
        <v>203</v>
      </c>
      <c r="B213" s="602">
        <v>30</v>
      </c>
      <c r="C213" s="616">
        <v>42855</v>
      </c>
      <c r="D213" s="617">
        <f ca="1">D221</f>
        <v>1</v>
      </c>
      <c r="E213" s="602">
        <f>SUM('Revenues &amp; Expenses'!BJ214:$BJ$258)</f>
        <v>18882718.997329164</v>
      </c>
      <c r="F213" s="618">
        <f t="shared" ca="1" si="22"/>
        <v>12021989.671696726</v>
      </c>
      <c r="G213" s="635">
        <f t="shared" ca="1" si="18"/>
        <v>6860729.3256324381</v>
      </c>
      <c r="H213" s="635">
        <f t="shared" ca="1" si="19"/>
        <v>0</v>
      </c>
      <c r="K213" s="618">
        <f t="shared" ca="1" si="20"/>
        <v>1059139.9402864368</v>
      </c>
      <c r="L213" s="618">
        <f ca="1">K213*'Revenues &amp; Expenses'!N214</f>
        <v>303639.66996344173</v>
      </c>
      <c r="M213" s="618">
        <f ca="1">SUM(L213:$L$257)</f>
        <v>12021989.671696713</v>
      </c>
      <c r="O213" s="602">
        <f ca="1">HLOOKUP(C213,'Debt Amortization'!$H$5:$AB$9,5)</f>
        <v>41403541.447063662</v>
      </c>
    </row>
    <row r="214" spans="1:15">
      <c r="A214" s="615">
        <f t="shared" si="21"/>
        <v>204</v>
      </c>
      <c r="B214" s="602">
        <v>31</v>
      </c>
      <c r="C214" s="616">
        <v>42886</v>
      </c>
      <c r="D214" s="617">
        <f ca="1">D221</f>
        <v>1</v>
      </c>
      <c r="E214" s="602">
        <f>SUM('Revenues &amp; Expenses'!BJ215:$BJ$258)</f>
        <v>18882718.997329164</v>
      </c>
      <c r="F214" s="618">
        <f t="shared" ca="1" si="22"/>
        <v>11718350.001733284</v>
      </c>
      <c r="G214" s="635">
        <f t="shared" ca="1" si="18"/>
        <v>7164368.9955958799</v>
      </c>
      <c r="H214" s="635">
        <f t="shared" ca="1" si="19"/>
        <v>0</v>
      </c>
      <c r="K214" s="618">
        <f t="shared" ca="1" si="20"/>
        <v>1059139.9402864368</v>
      </c>
      <c r="L214" s="618">
        <f ca="1">K214*'Revenues &amp; Expenses'!N215</f>
        <v>301858.31178130157</v>
      </c>
      <c r="M214" s="618">
        <f ca="1">SUM(L214:$L$257)</f>
        <v>11718350.001733271</v>
      </c>
      <c r="O214" s="602">
        <f ca="1">HLOOKUP(C214,'Debt Amortization'!$H$5:$AB$9,5)</f>
        <v>41403541.447063662</v>
      </c>
    </row>
    <row r="215" spans="1:15">
      <c r="A215" s="615">
        <f t="shared" si="21"/>
        <v>205</v>
      </c>
      <c r="B215" s="602">
        <v>30</v>
      </c>
      <c r="C215" s="616">
        <v>42916</v>
      </c>
      <c r="D215" s="617">
        <f ca="1">D221</f>
        <v>1</v>
      </c>
      <c r="E215" s="602">
        <f>SUM('Revenues &amp; Expenses'!BJ216:$BJ$258)</f>
        <v>18882718.997329164</v>
      </c>
      <c r="F215" s="618">
        <f t="shared" ca="1" si="22"/>
        <v>11416491.689951982</v>
      </c>
      <c r="G215" s="635">
        <f t="shared" ca="1" si="18"/>
        <v>7466227.3073771819</v>
      </c>
      <c r="H215" s="635">
        <f t="shared" ca="1" si="19"/>
        <v>0</v>
      </c>
      <c r="K215" s="618">
        <f t="shared" ca="1" si="20"/>
        <v>1059139.9402864368</v>
      </c>
      <c r="L215" s="618">
        <f ca="1">K215*'Revenues &amp; Expenses'!N216</f>
        <v>300028.80332683708</v>
      </c>
      <c r="M215" s="618">
        <f ca="1">SUM(L215:$L$257)</f>
        <v>11416491.689951969</v>
      </c>
      <c r="O215" s="602">
        <f ca="1">HLOOKUP(C215,'Debt Amortization'!$H$5:$AB$9,5)</f>
        <v>41403541.447063662</v>
      </c>
    </row>
    <row r="216" spans="1:15">
      <c r="A216" s="615">
        <f t="shared" si="21"/>
        <v>206</v>
      </c>
      <c r="B216" s="602">
        <v>31</v>
      </c>
      <c r="C216" s="616">
        <v>42947</v>
      </c>
      <c r="D216" s="617">
        <f ca="1">D221</f>
        <v>1</v>
      </c>
      <c r="E216" s="602">
        <f>SUM('Revenues &amp; Expenses'!BJ217:$BJ$258)</f>
        <v>18138138.518682983</v>
      </c>
      <c r="F216" s="618">
        <f t="shared" ca="1" si="22"/>
        <v>11116462.886625145</v>
      </c>
      <c r="G216" s="635">
        <f t="shared" ca="1" si="18"/>
        <v>7021675.6320578381</v>
      </c>
      <c r="H216" s="635">
        <f t="shared" ca="1" si="19"/>
        <v>0</v>
      </c>
      <c r="K216" s="618">
        <f t="shared" ca="1" si="20"/>
        <v>1059139.9402864368</v>
      </c>
      <c r="L216" s="618">
        <f ca="1">K216*'Revenues &amp; Expenses'!N217</f>
        <v>298269.11007985653</v>
      </c>
      <c r="M216" s="618">
        <f ca="1">SUM(L216:$L$257)</f>
        <v>11116462.886625133</v>
      </c>
      <c r="O216" s="602">
        <f ca="1">HLOOKUP(C216,'Debt Amortization'!$H$5:$AB$9,5)</f>
        <v>41403541.447063662</v>
      </c>
    </row>
    <row r="217" spans="1:15">
      <c r="A217" s="615">
        <f t="shared" si="21"/>
        <v>207</v>
      </c>
      <c r="B217" s="602">
        <v>31</v>
      </c>
      <c r="C217" s="616">
        <v>42978</v>
      </c>
      <c r="D217" s="617">
        <f ca="1">D221</f>
        <v>1</v>
      </c>
      <c r="E217" s="602">
        <f>SUM('Revenues &amp; Expenses'!BJ218:$BJ$258)</f>
        <v>15757735.875350377</v>
      </c>
      <c r="F217" s="618">
        <f t="shared" ca="1" si="22"/>
        <v>10818193.776545288</v>
      </c>
      <c r="G217" s="635">
        <f t="shared" ca="1" si="18"/>
        <v>4939542.0988050885</v>
      </c>
      <c r="H217" s="635">
        <f t="shared" ca="1" si="19"/>
        <v>0</v>
      </c>
      <c r="K217" s="618">
        <f t="shared" ca="1" si="20"/>
        <v>1059139.9402864368</v>
      </c>
      <c r="L217" s="618">
        <f ca="1">K217*'Revenues &amp; Expenses'!N218</f>
        <v>296461.84927180398</v>
      </c>
      <c r="M217" s="618">
        <f ca="1">SUM(L217:$L$257)</f>
        <v>10818193.776545277</v>
      </c>
      <c r="O217" s="602">
        <f ca="1">HLOOKUP(C217,'Debt Amortization'!$H$5:$AB$9,5)</f>
        <v>41403541.447063662</v>
      </c>
    </row>
    <row r="218" spans="1:15">
      <c r="A218" s="615">
        <f t="shared" si="21"/>
        <v>208</v>
      </c>
      <c r="B218" s="602">
        <v>30</v>
      </c>
      <c r="C218" s="616">
        <v>43008</v>
      </c>
      <c r="D218" s="617">
        <f ca="1">D221</f>
        <v>1</v>
      </c>
      <c r="E218" s="602">
        <f>SUM('Revenues &amp; Expenses'!BJ219:$BJ$258)</f>
        <v>13708886.098935846</v>
      </c>
      <c r="F218" s="618">
        <f t="shared" ca="1" si="22"/>
        <v>10521731.927273484</v>
      </c>
      <c r="G218" s="635">
        <f t="shared" ca="1" si="18"/>
        <v>3187154.1716623623</v>
      </c>
      <c r="H218" s="635">
        <f t="shared" ca="1" si="19"/>
        <v>0</v>
      </c>
      <c r="K218" s="618">
        <f t="shared" ca="1" si="20"/>
        <v>1059139.9402864368</v>
      </c>
      <c r="L218" s="618">
        <f ca="1">K218*'Revenues &amp; Expenses'!N219</f>
        <v>294665.78855302138</v>
      </c>
      <c r="M218" s="618">
        <f ca="1">SUM(L218:$L$257)</f>
        <v>10521731.927273473</v>
      </c>
      <c r="O218" s="602">
        <f ca="1">HLOOKUP(C218,'Debt Amortization'!$H$5:$AB$9,5)</f>
        <v>41403541.447063662</v>
      </c>
    </row>
    <row r="219" spans="1:15">
      <c r="A219" s="615">
        <f t="shared" si="21"/>
        <v>209</v>
      </c>
      <c r="B219" s="602">
        <v>31</v>
      </c>
      <c r="C219" s="616">
        <v>43039</v>
      </c>
      <c r="D219" s="617">
        <f ca="1">D221</f>
        <v>1</v>
      </c>
      <c r="E219" s="602">
        <f>SUM('Revenues &amp; Expenses'!BJ220:$BJ$258)</f>
        <v>13708886.098935846</v>
      </c>
      <c r="F219" s="618">
        <f t="shared" ca="1" si="22"/>
        <v>10227066.138720462</v>
      </c>
      <c r="G219" s="635">
        <f t="shared" ca="1" si="18"/>
        <v>3481819.9602153841</v>
      </c>
      <c r="H219" s="635">
        <f t="shared" ca="1" si="19"/>
        <v>0</v>
      </c>
      <c r="K219" s="618">
        <f t="shared" ca="1" si="20"/>
        <v>1059139.9402864368</v>
      </c>
      <c r="L219" s="618">
        <f ca="1">K219*'Revenues &amp; Expenses'!N220</f>
        <v>292938.26248253894</v>
      </c>
      <c r="M219" s="618">
        <f ca="1">SUM(L219:$L$257)</f>
        <v>10227066.138720451</v>
      </c>
      <c r="O219" s="602">
        <f ca="1">HLOOKUP(C219,'Debt Amortization'!$H$5:$AB$9,5)</f>
        <v>41403541.447063662</v>
      </c>
    </row>
    <row r="220" spans="1:15">
      <c r="A220" s="615">
        <f t="shared" si="21"/>
        <v>210</v>
      </c>
      <c r="B220" s="602">
        <v>30</v>
      </c>
      <c r="C220" s="616">
        <v>43069</v>
      </c>
      <c r="D220" s="617">
        <f ca="1">D221</f>
        <v>1</v>
      </c>
      <c r="E220" s="602">
        <f>SUM('Revenues &amp; Expenses'!BJ221:$BJ$258)</f>
        <v>13708886.098935846</v>
      </c>
      <c r="F220" s="618">
        <f t="shared" ca="1" si="22"/>
        <v>9934127.8762379214</v>
      </c>
      <c r="G220" s="635">
        <f t="shared" ca="1" si="18"/>
        <v>3774758.2226979248</v>
      </c>
      <c r="H220" s="635">
        <f t="shared" ca="1" si="19"/>
        <v>0</v>
      </c>
      <c r="K220" s="618">
        <f t="shared" ca="1" si="20"/>
        <v>1059139.9402864368</v>
      </c>
      <c r="L220" s="618">
        <f ca="1">K220*'Revenues &amp; Expenses'!N221</f>
        <v>291164.03410078649</v>
      </c>
      <c r="M220" s="618">
        <f ca="1">SUM(L220:$L$257)</f>
        <v>9934127.876237914</v>
      </c>
      <c r="O220" s="602">
        <f ca="1">HLOOKUP(C220,'Debt Amortization'!$H$5:$AB$9,5)</f>
        <v>41403541.447063662</v>
      </c>
    </row>
    <row r="221" spans="1:15">
      <c r="A221" s="615">
        <f t="shared" si="21"/>
        <v>211</v>
      </c>
      <c r="B221" s="602">
        <v>31</v>
      </c>
      <c r="C221" s="616">
        <v>43100</v>
      </c>
      <c r="D221" s="617">
        <f ca="1">'Deal Depiction'!J25</f>
        <v>1</v>
      </c>
      <c r="E221" s="602">
        <f>SUM('Revenues &amp; Expenses'!BJ222:$BJ$258)</f>
        <v>13708886.098935846</v>
      </c>
      <c r="F221" s="618">
        <f t="shared" ca="1" si="22"/>
        <v>9642963.8421371337</v>
      </c>
      <c r="G221" s="635">
        <f t="shared" ca="1" si="18"/>
        <v>4065922.2567987125</v>
      </c>
      <c r="H221" s="635">
        <f t="shared" ca="1" si="19"/>
        <v>0</v>
      </c>
      <c r="K221" s="618">
        <f t="shared" ca="1" si="20"/>
        <v>1059139.9402864368</v>
      </c>
      <c r="L221" s="618">
        <f ca="1">K221*'Revenues &amp; Expenses'!N222</f>
        <v>289457.50454941002</v>
      </c>
      <c r="M221" s="618">
        <f ca="1">SUM(L221:$L$257)</f>
        <v>9642963.8421371281</v>
      </c>
      <c r="O221" s="602">
        <f ca="1">HLOOKUP(C221,'Debt Amortization'!$H$5:$AB$9,5)</f>
        <v>41403541.447063662</v>
      </c>
    </row>
    <row r="222" spans="1:15">
      <c r="A222" s="615">
        <f t="shared" si="21"/>
        <v>212</v>
      </c>
      <c r="B222" s="602">
        <v>31</v>
      </c>
      <c r="C222" s="616">
        <v>43131</v>
      </c>
      <c r="D222" s="617">
        <f ca="1">D233</f>
        <v>1</v>
      </c>
      <c r="E222" s="602">
        <f>SUM('Revenues &amp; Expenses'!BJ223:$BJ$258)</f>
        <v>13708886.098935846</v>
      </c>
      <c r="F222" s="618">
        <f t="shared" ca="1" si="22"/>
        <v>9353506.3375877235</v>
      </c>
      <c r="G222" s="635">
        <f t="shared" ca="1" si="18"/>
        <v>4355379.7613481227</v>
      </c>
      <c r="H222" s="635">
        <f t="shared" ca="1" si="19"/>
        <v>0</v>
      </c>
      <c r="K222" s="618">
        <f t="shared" ca="1" si="20"/>
        <v>1059139.9402864368</v>
      </c>
      <c r="L222" s="618">
        <f ca="1">K222*'Revenues &amp; Expenses'!N223</f>
        <v>287704.83750471089</v>
      </c>
      <c r="M222" s="618">
        <f ca="1">SUM(L222:$L$257)</f>
        <v>9353506.3375877179</v>
      </c>
      <c r="O222" s="602">
        <f ca="1">HLOOKUP(C222,'Debt Amortization'!$H$5:$AB$9,5)</f>
        <v>32316320.01136956</v>
      </c>
    </row>
    <row r="223" spans="1:15">
      <c r="A223" s="615">
        <f t="shared" si="21"/>
        <v>213</v>
      </c>
      <c r="B223" s="602">
        <v>28</v>
      </c>
      <c r="C223" s="616">
        <v>43159</v>
      </c>
      <c r="D223" s="617">
        <f ca="1">D233</f>
        <v>1</v>
      </c>
      <c r="E223" s="602">
        <f>SUM('Revenues &amp; Expenses'!BJ224:$BJ$258)</f>
        <v>13708886.098935846</v>
      </c>
      <c r="F223" s="618">
        <f t="shared" ca="1" si="22"/>
        <v>9065801.5000830106</v>
      </c>
      <c r="G223" s="635">
        <f t="shared" ca="1" si="18"/>
        <v>4643084.5988528356</v>
      </c>
      <c r="H223" s="635">
        <f t="shared" ca="1" si="19"/>
        <v>0</v>
      </c>
      <c r="K223" s="618">
        <f t="shared" ca="1" si="20"/>
        <v>1059139.9402864368</v>
      </c>
      <c r="L223" s="618">
        <f ca="1">K223*'Revenues &amp; Expenses'!N224</f>
        <v>285963.02510634821</v>
      </c>
      <c r="M223" s="618">
        <f ca="1">SUM(L223:$L$257)</f>
        <v>9065801.5000830069</v>
      </c>
      <c r="O223" s="602">
        <f ca="1">HLOOKUP(C223,'Debt Amortization'!$H$5:$AB$9,5)</f>
        <v>32316320.01136956</v>
      </c>
    </row>
    <row r="224" spans="1:15">
      <c r="A224" s="615">
        <f t="shared" si="21"/>
        <v>214</v>
      </c>
      <c r="B224" s="602">
        <v>31</v>
      </c>
      <c r="C224" s="616">
        <v>43190</v>
      </c>
      <c r="D224" s="617">
        <f ca="1">D233</f>
        <v>1</v>
      </c>
      <c r="E224" s="602">
        <f>SUM('Revenues &amp; Expenses'!BJ225:$BJ$258)</f>
        <v>13708886.098935846</v>
      </c>
      <c r="F224" s="618">
        <f t="shared" ca="1" si="22"/>
        <v>8779838.4749766625</v>
      </c>
      <c r="G224" s="635">
        <f t="shared" ca="1" si="18"/>
        <v>4929047.6239591837</v>
      </c>
      <c r="H224" s="635">
        <f t="shared" ca="1" si="19"/>
        <v>0</v>
      </c>
      <c r="K224" s="618">
        <f t="shared" ca="1" si="20"/>
        <v>1059139.9402864368</v>
      </c>
      <c r="L224" s="618">
        <f ca="1">K224*'Revenues &amp; Expenses'!N225</f>
        <v>284399.04788083519</v>
      </c>
      <c r="M224" s="618">
        <f ca="1">SUM(L224:$L$257)</f>
        <v>8779838.4749766588</v>
      </c>
      <c r="O224" s="602">
        <f ca="1">HLOOKUP(C224,'Debt Amortization'!$H$5:$AB$9,5)</f>
        <v>32316320.01136956</v>
      </c>
    </row>
    <row r="225" spans="1:15">
      <c r="A225" s="615">
        <f t="shared" si="21"/>
        <v>215</v>
      </c>
      <c r="B225" s="602">
        <v>30</v>
      </c>
      <c r="C225" s="616">
        <v>43220</v>
      </c>
      <c r="D225" s="617">
        <f ca="1">D233</f>
        <v>1</v>
      </c>
      <c r="E225" s="602">
        <f>SUM('Revenues &amp; Expenses'!BJ226:$BJ$258)</f>
        <v>13708886.098935846</v>
      </c>
      <c r="F225" s="618">
        <f t="shared" ca="1" si="22"/>
        <v>8495439.4270958267</v>
      </c>
      <c r="G225" s="635">
        <f t="shared" ca="1" si="18"/>
        <v>5213446.6718400195</v>
      </c>
      <c r="H225" s="635">
        <f t="shared" ca="1" si="19"/>
        <v>0</v>
      </c>
      <c r="K225" s="618">
        <f t="shared" ca="1" si="20"/>
        <v>1059139.9402864368</v>
      </c>
      <c r="L225" s="618">
        <f ca="1">K225*'Revenues &amp; Expenses'!N226</f>
        <v>282677.70501228445</v>
      </c>
      <c r="M225" s="618">
        <f ca="1">SUM(L225:$L$257)</f>
        <v>8495439.427095823</v>
      </c>
      <c r="O225" s="602">
        <f ca="1">HLOOKUP(C225,'Debt Amortization'!$H$5:$AB$9,5)</f>
        <v>32316320.01136956</v>
      </c>
    </row>
    <row r="226" spans="1:15">
      <c r="A226" s="615">
        <f t="shared" si="21"/>
        <v>216</v>
      </c>
      <c r="B226" s="602">
        <v>31</v>
      </c>
      <c r="C226" s="616">
        <v>43251</v>
      </c>
      <c r="D226" s="617">
        <f ca="1">D233</f>
        <v>1</v>
      </c>
      <c r="E226" s="602">
        <f>SUM('Revenues &amp; Expenses'!BJ227:$BJ$258)</f>
        <v>13708886.098935846</v>
      </c>
      <c r="F226" s="618">
        <f t="shared" ca="1" si="22"/>
        <v>8212761.7220835425</v>
      </c>
      <c r="G226" s="635">
        <f t="shared" ca="1" si="18"/>
        <v>5496124.3768523037</v>
      </c>
      <c r="H226" s="635">
        <f t="shared" ca="1" si="19"/>
        <v>0</v>
      </c>
      <c r="K226" s="618">
        <f t="shared" ca="1" si="20"/>
        <v>1059139.9402864368</v>
      </c>
      <c r="L226" s="618">
        <f ca="1">K226*'Revenues &amp; Expenses'!N227</f>
        <v>281022.03647054068</v>
      </c>
      <c r="M226" s="618">
        <f ca="1">SUM(L226:$L$257)</f>
        <v>8212761.7220835397</v>
      </c>
      <c r="O226" s="602">
        <f ca="1">HLOOKUP(C226,'Debt Amortization'!$H$5:$AB$9,5)</f>
        <v>32316320.01136956</v>
      </c>
    </row>
    <row r="227" spans="1:15">
      <c r="A227" s="615">
        <f t="shared" si="21"/>
        <v>217</v>
      </c>
      <c r="B227" s="602">
        <v>30</v>
      </c>
      <c r="C227" s="616">
        <v>43281</v>
      </c>
      <c r="D227" s="617">
        <f ca="1">D233</f>
        <v>1</v>
      </c>
      <c r="E227" s="602">
        <f>SUM('Revenues &amp; Expenses'!BJ228:$BJ$258)</f>
        <v>13708886.098935846</v>
      </c>
      <c r="F227" s="618">
        <f t="shared" ca="1" si="22"/>
        <v>7931739.6856130026</v>
      </c>
      <c r="G227" s="635">
        <f t="shared" ca="1" si="18"/>
        <v>5777146.4133228436</v>
      </c>
      <c r="H227" s="635">
        <f t="shared" ca="1" si="19"/>
        <v>0</v>
      </c>
      <c r="K227" s="618">
        <f t="shared" ca="1" si="20"/>
        <v>1059139.9402864368</v>
      </c>
      <c r="L227" s="618">
        <f ca="1">K227*'Revenues &amp; Expenses'!N228</f>
        <v>279321.59876657015</v>
      </c>
      <c r="M227" s="618">
        <f ca="1">SUM(L227:$L$257)</f>
        <v>7931739.6856129998</v>
      </c>
      <c r="O227" s="602">
        <f ca="1">HLOOKUP(C227,'Debt Amortization'!$H$5:$AB$9,5)</f>
        <v>32316320.01136956</v>
      </c>
    </row>
    <row r="228" spans="1:15">
      <c r="A228" s="615">
        <f t="shared" si="21"/>
        <v>218</v>
      </c>
      <c r="B228" s="602">
        <v>31</v>
      </c>
      <c r="C228" s="616">
        <v>43312</v>
      </c>
      <c r="D228" s="617">
        <f ca="1">D233</f>
        <v>1</v>
      </c>
      <c r="E228" s="602">
        <f>SUM('Revenues &amp; Expenses'!BJ229:$BJ$258)</f>
        <v>13036917.123747146</v>
      </c>
      <c r="F228" s="618">
        <f t="shared" ca="1" si="22"/>
        <v>7652418.0868464317</v>
      </c>
      <c r="G228" s="635">
        <f t="shared" ca="1" si="18"/>
        <v>5384499.036900714</v>
      </c>
      <c r="H228" s="635">
        <f t="shared" ca="1" si="19"/>
        <v>0</v>
      </c>
      <c r="K228" s="618">
        <f t="shared" ca="1" si="20"/>
        <v>1059139.9402864368</v>
      </c>
      <c r="L228" s="618">
        <f ca="1">K228*'Revenues &amp; Expenses'!N229</f>
        <v>277686.03517641133</v>
      </c>
      <c r="M228" s="618">
        <f ca="1">SUM(L228:$L$257)</f>
        <v>7652418.0868464289</v>
      </c>
      <c r="O228" s="602">
        <f ca="1">HLOOKUP(C228,'Debt Amortization'!$H$5:$AB$9,5)</f>
        <v>32316320.01136956</v>
      </c>
    </row>
    <row r="229" spans="1:15">
      <c r="A229" s="615">
        <f t="shared" si="21"/>
        <v>219</v>
      </c>
      <c r="B229" s="602">
        <v>31</v>
      </c>
      <c r="C229" s="616">
        <v>43343</v>
      </c>
      <c r="D229" s="617">
        <f ca="1">D233</f>
        <v>1</v>
      </c>
      <c r="E229" s="602">
        <f>SUM('Revenues &amp; Expenses'!BJ230:$BJ$258)</f>
        <v>10661702.616597896</v>
      </c>
      <c r="F229" s="618">
        <f t="shared" ca="1" si="22"/>
        <v>7374732.0516700195</v>
      </c>
      <c r="G229" s="635">
        <f t="shared" ca="1" si="18"/>
        <v>3286970.5649278769</v>
      </c>
      <c r="H229" s="635">
        <f t="shared" ca="1" si="19"/>
        <v>0</v>
      </c>
      <c r="K229" s="618">
        <f t="shared" ca="1" si="20"/>
        <v>1059139.9402864368</v>
      </c>
      <c r="L229" s="618">
        <f ca="1">K229*'Revenues &amp; Expenses'!N230</f>
        <v>276006.24337081739</v>
      </c>
      <c r="M229" s="618">
        <f ca="1">SUM(L229:$L$257)</f>
        <v>7374732.0516700177</v>
      </c>
      <c r="O229" s="602">
        <f ca="1">HLOOKUP(C229,'Debt Amortization'!$H$5:$AB$9,5)</f>
        <v>32316320.01136956</v>
      </c>
    </row>
    <row r="230" spans="1:15">
      <c r="A230" s="615">
        <f t="shared" si="21"/>
        <v>220</v>
      </c>
      <c r="B230" s="602">
        <v>30</v>
      </c>
      <c r="C230" s="616">
        <v>43373</v>
      </c>
      <c r="D230" s="617">
        <f ca="1">D233</f>
        <v>1</v>
      </c>
      <c r="E230" s="602">
        <f>SUM('Revenues &amp; Expenses'!BJ231:$BJ$258)</f>
        <v>8782711.6428452116</v>
      </c>
      <c r="F230" s="618">
        <f t="shared" ca="1" si="22"/>
        <v>7098725.8082992025</v>
      </c>
      <c r="G230" s="635">
        <f t="shared" ca="1" si="18"/>
        <v>1683985.8345460091</v>
      </c>
      <c r="H230" s="635">
        <f t="shared" ca="1" si="19"/>
        <v>0</v>
      </c>
      <c r="K230" s="618">
        <f t="shared" ca="1" si="20"/>
        <v>1059139.9402864368</v>
      </c>
      <c r="L230" s="618">
        <f ca="1">K230*'Revenues &amp; Expenses'!N231</f>
        <v>274336.84543681401</v>
      </c>
      <c r="M230" s="618">
        <f ca="1">SUM(L230:$L$257)</f>
        <v>7098725.8082991997</v>
      </c>
      <c r="O230" s="602">
        <f ca="1">HLOOKUP(C230,'Debt Amortization'!$H$5:$AB$9,5)</f>
        <v>32316320.01136956</v>
      </c>
    </row>
    <row r="231" spans="1:15">
      <c r="A231" s="615">
        <f t="shared" si="21"/>
        <v>221</v>
      </c>
      <c r="B231" s="602">
        <v>31</v>
      </c>
      <c r="C231" s="616">
        <v>43404</v>
      </c>
      <c r="D231" s="617">
        <f ca="1">D233</f>
        <v>1</v>
      </c>
      <c r="E231" s="602">
        <f>SUM('Revenues &amp; Expenses'!BJ232:$BJ$258)</f>
        <v>8782711.6428452116</v>
      </c>
      <c r="F231" s="618">
        <f t="shared" ca="1" si="22"/>
        <v>6824388.9628623882</v>
      </c>
      <c r="G231" s="635">
        <f t="shared" ca="1" si="18"/>
        <v>1958322.6799828233</v>
      </c>
      <c r="H231" s="635">
        <f t="shared" ca="1" si="19"/>
        <v>0</v>
      </c>
      <c r="K231" s="618">
        <f t="shared" ca="1" si="20"/>
        <v>1059139.9402864368</v>
      </c>
      <c r="L231" s="618">
        <f ca="1">K231*'Revenues &amp; Expenses'!N232</f>
        <v>272731.13352736324</v>
      </c>
      <c r="M231" s="618">
        <f ca="1">SUM(L231:$L$257)</f>
        <v>6824388.9628623854</v>
      </c>
      <c r="O231" s="602">
        <f ca="1">HLOOKUP(C231,'Debt Amortization'!$H$5:$AB$9,5)</f>
        <v>32316320.01136956</v>
      </c>
    </row>
    <row r="232" spans="1:15">
      <c r="A232" s="615">
        <f t="shared" si="21"/>
        <v>222</v>
      </c>
      <c r="B232" s="602">
        <v>30</v>
      </c>
      <c r="C232" s="616">
        <v>43434</v>
      </c>
      <c r="D232" s="617">
        <f ca="1">D233</f>
        <v>1</v>
      </c>
      <c r="E232" s="602">
        <f>SUM('Revenues &amp; Expenses'!BJ233:$BJ$258)</f>
        <v>8782711.6428452116</v>
      </c>
      <c r="F232" s="618">
        <f t="shared" ca="1" si="22"/>
        <v>6551657.8293350255</v>
      </c>
      <c r="G232" s="635">
        <f t="shared" ca="1" si="18"/>
        <v>2231053.813510186</v>
      </c>
      <c r="H232" s="635">
        <f t="shared" ca="1" si="19"/>
        <v>0</v>
      </c>
      <c r="K232" s="618">
        <f t="shared" ca="1" si="20"/>
        <v>1059139.9402864368</v>
      </c>
      <c r="L232" s="618">
        <f ca="1">K232*'Revenues &amp; Expenses'!N233</f>
        <v>271081.99665638764</v>
      </c>
      <c r="M232" s="618">
        <f ca="1">SUM(L232:$L$257)</f>
        <v>6551657.8293350209</v>
      </c>
      <c r="O232" s="602">
        <f ca="1">HLOOKUP(C232,'Debt Amortization'!$H$5:$AB$9,5)</f>
        <v>32316320.01136956</v>
      </c>
    </row>
    <row r="233" spans="1:15">
      <c r="A233" s="615">
        <f t="shared" si="21"/>
        <v>223</v>
      </c>
      <c r="B233" s="602">
        <v>31</v>
      </c>
      <c r="C233" s="616">
        <v>43465</v>
      </c>
      <c r="D233" s="617">
        <f ca="1">'Deal Depiction'!J26</f>
        <v>1</v>
      </c>
      <c r="E233" s="602">
        <f>SUM('Revenues &amp; Expenses'!BJ234:$BJ$258)</f>
        <v>8782711.6428452116</v>
      </c>
      <c r="F233" s="618">
        <f t="shared" ca="1" si="22"/>
        <v>6280575.8326786375</v>
      </c>
      <c r="G233" s="635">
        <f t="shared" ca="1" si="18"/>
        <v>2502135.8101665741</v>
      </c>
      <c r="H233" s="635">
        <f t="shared" ca="1" si="19"/>
        <v>0</v>
      </c>
      <c r="K233" s="618">
        <f t="shared" ca="1" si="20"/>
        <v>1059139.9402864368</v>
      </c>
      <c r="L233" s="618">
        <f ca="1">K233*'Revenues &amp; Expenses'!N234</f>
        <v>269495.77032867266</v>
      </c>
      <c r="M233" s="618">
        <f ca="1">SUM(L233:$L$257)</f>
        <v>6280575.8326786337</v>
      </c>
      <c r="O233" s="602">
        <f ca="1">HLOOKUP(C233,'Debt Amortization'!$H$5:$AB$9,5)</f>
        <v>32316320.01136956</v>
      </c>
    </row>
    <row r="234" spans="1:15">
      <c r="A234" s="615">
        <f t="shared" si="21"/>
        <v>224</v>
      </c>
      <c r="B234" s="602">
        <v>31</v>
      </c>
      <c r="C234" s="616">
        <v>43496</v>
      </c>
      <c r="D234" s="617">
        <f ca="1">D245</f>
        <v>1</v>
      </c>
      <c r="E234" s="602">
        <f>SUM('Revenues &amp; Expenses'!BJ235:$BJ$258)</f>
        <v>8782711.6428452116</v>
      </c>
      <c r="F234" s="618">
        <f t="shared" ca="1" si="22"/>
        <v>6011080.0623499649</v>
      </c>
      <c r="G234" s="635">
        <f t="shared" ca="1" si="18"/>
        <v>2771631.5804952467</v>
      </c>
      <c r="H234" s="635">
        <f t="shared" ca="1" si="19"/>
        <v>0</v>
      </c>
      <c r="K234" s="618">
        <f t="shared" ca="1" si="20"/>
        <v>1059139.9402864368</v>
      </c>
      <c r="L234" s="618">
        <f ca="1">K234*'Revenues &amp; Expenses'!N235</f>
        <v>267866.64339999174</v>
      </c>
      <c r="M234" s="618">
        <f ca="1">SUM(L234:$L$257)</f>
        <v>6011080.0623499621</v>
      </c>
      <c r="O234" s="602">
        <f ca="1">HLOOKUP(C234,'Debt Amortization'!$H$5:$AB$9,5)</f>
        <v>22434043.963113017</v>
      </c>
    </row>
    <row r="235" spans="1:15">
      <c r="A235" s="615">
        <f t="shared" si="21"/>
        <v>225</v>
      </c>
      <c r="B235" s="602">
        <v>28</v>
      </c>
      <c r="C235" s="616">
        <v>43524</v>
      </c>
      <c r="D235" s="617">
        <f ca="1">D245</f>
        <v>1</v>
      </c>
      <c r="E235" s="602">
        <f>SUM('Revenues &amp; Expenses'!BJ236:$BJ$258)</f>
        <v>8782711.6428452116</v>
      </c>
      <c r="F235" s="618">
        <f t="shared" ca="1" si="22"/>
        <v>5743213.4189499738</v>
      </c>
      <c r="G235" s="635">
        <f t="shared" ca="1" si="18"/>
        <v>3039498.2238952378</v>
      </c>
      <c r="H235" s="635">
        <f t="shared" ca="1" si="19"/>
        <v>0</v>
      </c>
      <c r="K235" s="618">
        <f t="shared" ca="1" si="20"/>
        <v>1059139.9402864368</v>
      </c>
      <c r="L235" s="618">
        <f ca="1">K235*'Revenues &amp; Expenses'!N236</f>
        <v>266247.59024016006</v>
      </c>
      <c r="M235" s="618">
        <f ca="1">SUM(L235:$L$257)</f>
        <v>5743213.4189499691</v>
      </c>
      <c r="O235" s="602">
        <f ca="1">HLOOKUP(C235,'Debt Amortization'!$H$5:$AB$9,5)</f>
        <v>22434043.963113017</v>
      </c>
    </row>
    <row r="236" spans="1:15">
      <c r="A236" s="615">
        <f t="shared" si="21"/>
        <v>226</v>
      </c>
      <c r="B236" s="602">
        <v>31</v>
      </c>
      <c r="C236" s="616">
        <v>43555</v>
      </c>
      <c r="D236" s="617">
        <f ca="1">D245</f>
        <v>1</v>
      </c>
      <c r="E236" s="602">
        <f>SUM('Revenues &amp; Expenses'!BJ237:$BJ$258)</f>
        <v>8782711.6428452116</v>
      </c>
      <c r="F236" s="618">
        <f t="shared" ca="1" si="22"/>
        <v>5476965.8287098128</v>
      </c>
      <c r="G236" s="635">
        <f t="shared" ca="1" si="18"/>
        <v>3305745.8141353987</v>
      </c>
      <c r="H236" s="635">
        <f t="shared" ca="1" si="19"/>
        <v>0</v>
      </c>
      <c r="K236" s="618">
        <f t="shared" ca="1" si="20"/>
        <v>1059139.9402864368</v>
      </c>
      <c r="L236" s="618">
        <f ca="1">K236*'Revenues &amp; Expenses'!N237</f>
        <v>264793.82533427031</v>
      </c>
      <c r="M236" s="618">
        <f ca="1">SUM(L236:$L$257)</f>
        <v>5476965.8287098091</v>
      </c>
      <c r="O236" s="602">
        <f ca="1">HLOOKUP(C236,'Debt Amortization'!$H$5:$AB$9,5)</f>
        <v>22434043.963113017</v>
      </c>
    </row>
    <row r="237" spans="1:15">
      <c r="A237" s="615">
        <f t="shared" si="21"/>
        <v>227</v>
      </c>
      <c r="B237" s="602">
        <v>30</v>
      </c>
      <c r="C237" s="616">
        <v>43585</v>
      </c>
      <c r="D237" s="617">
        <f ca="1">D245</f>
        <v>1</v>
      </c>
      <c r="E237" s="602">
        <f>SUM('Revenues &amp; Expenses'!BJ238:$BJ$258)</f>
        <v>8782711.6428452116</v>
      </c>
      <c r="F237" s="618">
        <f t="shared" ca="1" si="22"/>
        <v>5212172.0033755424</v>
      </c>
      <c r="G237" s="635">
        <f t="shared" ca="1" si="18"/>
        <v>3570539.6394696692</v>
      </c>
      <c r="H237" s="635">
        <f t="shared" ca="1" si="19"/>
        <v>0</v>
      </c>
      <c r="K237" s="618">
        <f t="shared" ca="1" si="20"/>
        <v>1059139.9402864368</v>
      </c>
      <c r="L237" s="618">
        <f ca="1">K237*'Revenues &amp; Expenses'!N238</f>
        <v>263193.76939957088</v>
      </c>
      <c r="M237" s="618">
        <f ca="1">SUM(L237:$L$257)</f>
        <v>5212172.0033755396</v>
      </c>
      <c r="O237" s="602">
        <f ca="1">HLOOKUP(C237,'Debt Amortization'!$H$5:$AB$9,5)</f>
        <v>22434043.963113017</v>
      </c>
    </row>
    <row r="238" spans="1:15">
      <c r="A238" s="615">
        <f t="shared" si="21"/>
        <v>228</v>
      </c>
      <c r="B238" s="602">
        <v>31</v>
      </c>
      <c r="C238" s="616">
        <v>43616</v>
      </c>
      <c r="D238" s="617">
        <f ca="1">D245</f>
        <v>1</v>
      </c>
      <c r="E238" s="602">
        <f>SUM('Revenues &amp; Expenses'!BJ239:$BJ$258)</f>
        <v>8782711.6428452116</v>
      </c>
      <c r="F238" s="618">
        <f t="shared" ca="1" si="22"/>
        <v>4948978.233975972</v>
      </c>
      <c r="G238" s="635">
        <f t="shared" ca="1" si="18"/>
        <v>3833733.4088692395</v>
      </c>
      <c r="H238" s="635">
        <f t="shared" ca="1" si="19"/>
        <v>0</v>
      </c>
      <c r="K238" s="618">
        <f t="shared" ca="1" si="20"/>
        <v>1059139.9402864368</v>
      </c>
      <c r="L238" s="618">
        <f ca="1">K238*'Revenues &amp; Expenses'!N239</f>
        <v>261654.74558986718</v>
      </c>
      <c r="M238" s="618">
        <f ca="1">SUM(L238:$L$257)</f>
        <v>4948978.2339759693</v>
      </c>
      <c r="O238" s="602">
        <f ca="1">HLOOKUP(C238,'Debt Amortization'!$H$5:$AB$9,5)</f>
        <v>22434043.963113017</v>
      </c>
    </row>
    <row r="239" spans="1:15">
      <c r="A239" s="615">
        <f t="shared" si="21"/>
        <v>229</v>
      </c>
      <c r="B239" s="602">
        <v>30</v>
      </c>
      <c r="C239" s="616">
        <v>43646</v>
      </c>
      <c r="D239" s="617">
        <f ca="1">D245</f>
        <v>1</v>
      </c>
      <c r="E239" s="602">
        <f>SUM('Revenues &amp; Expenses'!BJ240:$BJ$258)</f>
        <v>8782711.6428452116</v>
      </c>
      <c r="F239" s="618">
        <f t="shared" ca="1" si="22"/>
        <v>4687323.4883861057</v>
      </c>
      <c r="G239" s="635">
        <f t="shared" ca="1" si="18"/>
        <v>4095388.1544591058</v>
      </c>
      <c r="H239" s="635">
        <f t="shared" ca="1" si="19"/>
        <v>0</v>
      </c>
      <c r="K239" s="618">
        <f t="shared" ca="1" si="20"/>
        <v>1059139.9402864368</v>
      </c>
      <c r="L239" s="618">
        <f ca="1">K239*'Revenues &amp; Expenses'!N240</f>
        <v>260074.09153936256</v>
      </c>
      <c r="M239" s="618">
        <f ca="1">SUM(L239:$L$257)</f>
        <v>4687323.488386102</v>
      </c>
      <c r="O239" s="602">
        <f ca="1">HLOOKUP(C239,'Debt Amortization'!$H$5:$AB$9,5)</f>
        <v>22434043.963113017</v>
      </c>
    </row>
    <row r="240" spans="1:15">
      <c r="A240" s="615">
        <f t="shared" si="21"/>
        <v>230</v>
      </c>
      <c r="B240" s="602">
        <v>31</v>
      </c>
      <c r="C240" s="616">
        <v>43677</v>
      </c>
      <c r="D240" s="617">
        <f ca="1">D245</f>
        <v>1</v>
      </c>
      <c r="E240" s="602">
        <f>SUM('Revenues &amp; Expenses'!BJ241:$BJ$258)</f>
        <v>8123078.9589054901</v>
      </c>
      <c r="F240" s="618">
        <f t="shared" ca="1" si="22"/>
        <v>4427249.3968467424</v>
      </c>
      <c r="G240" s="635">
        <f t="shared" ca="1" si="18"/>
        <v>3695829.5620587477</v>
      </c>
      <c r="H240" s="635">
        <f t="shared" ca="1" si="19"/>
        <v>0</v>
      </c>
      <c r="K240" s="618">
        <f t="shared" ca="1" si="20"/>
        <v>1059139.9402864368</v>
      </c>
      <c r="L240" s="618">
        <f ca="1">K240*'Revenues &amp; Expenses'!N241</f>
        <v>258553.72711883395</v>
      </c>
      <c r="M240" s="618">
        <f ca="1">SUM(L240:$L$257)</f>
        <v>4427249.3968467396</v>
      </c>
      <c r="O240" s="602">
        <f ca="1">HLOOKUP(C240,'Debt Amortization'!$H$5:$AB$9,5)</f>
        <v>22434043.963113017</v>
      </c>
    </row>
    <row r="241" spans="1:15">
      <c r="A241" s="615">
        <f t="shared" si="21"/>
        <v>231</v>
      </c>
      <c r="B241" s="602">
        <v>31</v>
      </c>
      <c r="C241" s="616">
        <v>43708</v>
      </c>
      <c r="D241" s="617">
        <f ca="1">D245</f>
        <v>1</v>
      </c>
      <c r="E241" s="602">
        <f>SUM('Revenues &amp; Expenses'!BJ242:$BJ$258)</f>
        <v>5913332.61238751</v>
      </c>
      <c r="F241" s="618">
        <f t="shared" ca="1" si="22"/>
        <v>4168695.6697279094</v>
      </c>
      <c r="G241" s="635">
        <f t="shared" ca="1" si="18"/>
        <v>1744636.9426596006</v>
      </c>
      <c r="H241" s="635">
        <f t="shared" ca="1" si="19"/>
        <v>0</v>
      </c>
      <c r="K241" s="618">
        <f t="shared" ca="1" si="20"/>
        <v>1059139.9402864368</v>
      </c>
      <c r="L241" s="618">
        <f ca="1">K241*'Revenues &amp; Expenses'!N242</f>
        <v>256992.23468949829</v>
      </c>
      <c r="M241" s="618">
        <f ca="1">SUM(L241:$L$257)</f>
        <v>4168695.6697279052</v>
      </c>
      <c r="O241" s="602">
        <f ca="1">HLOOKUP(C241,'Debt Amortization'!$H$5:$AB$9,5)</f>
        <v>22434043.963113017</v>
      </c>
    </row>
    <row r="242" spans="1:15">
      <c r="A242" s="615">
        <f t="shared" si="21"/>
        <v>232</v>
      </c>
      <c r="B242" s="602">
        <v>30</v>
      </c>
      <c r="C242" s="616">
        <v>43738</v>
      </c>
      <c r="D242" s="617">
        <f ca="1">D245</f>
        <v>1</v>
      </c>
      <c r="E242" s="602">
        <f>SUM('Revenues &amp; Expenses'!BJ243:$BJ$258)</f>
        <v>4243450.8352195024</v>
      </c>
      <c r="F242" s="618">
        <f t="shared" ca="1" si="22"/>
        <v>3911703.4350384106</v>
      </c>
      <c r="G242" s="635">
        <f t="shared" ca="1" si="18"/>
        <v>331747.40018109186</v>
      </c>
      <c r="H242" s="635">
        <f t="shared" ca="1" si="19"/>
        <v>0</v>
      </c>
      <c r="K242" s="618">
        <f t="shared" ca="1" si="20"/>
        <v>1059139.9402864368</v>
      </c>
      <c r="L242" s="618">
        <f ca="1">K242*'Revenues &amp; Expenses'!N243</f>
        <v>255440.38903099985</v>
      </c>
      <c r="M242" s="618">
        <f ca="1">SUM(L242:$L$257)</f>
        <v>3911703.4350384069</v>
      </c>
      <c r="O242" s="602">
        <f ca="1">HLOOKUP(C242,'Debt Amortization'!$H$5:$AB$9,5)</f>
        <v>22434043.963113017</v>
      </c>
    </row>
    <row r="243" spans="1:15">
      <c r="A243" s="615">
        <f t="shared" si="21"/>
        <v>233</v>
      </c>
      <c r="B243" s="602">
        <v>31</v>
      </c>
      <c r="C243" s="616">
        <v>43769</v>
      </c>
      <c r="D243" s="617">
        <f ca="1">D245</f>
        <v>1</v>
      </c>
      <c r="E243" s="602">
        <f>SUM('Revenues &amp; Expenses'!BJ244:$BJ$258)</f>
        <v>4243450.8352195024</v>
      </c>
      <c r="F243" s="618">
        <f t="shared" ca="1" si="22"/>
        <v>3656263.0460074106</v>
      </c>
      <c r="G243" s="635">
        <f t="shared" ca="1" si="18"/>
        <v>587187.78921209183</v>
      </c>
      <c r="H243" s="635">
        <f t="shared" ca="1" si="19"/>
        <v>0</v>
      </c>
      <c r="K243" s="618">
        <f t="shared" ca="1" si="20"/>
        <v>1059139.9402864368</v>
      </c>
      <c r="L243" s="618">
        <f ca="1">K243*'Revenues &amp; Expenses'!N244</f>
        <v>253947.73058211029</v>
      </c>
      <c r="M243" s="618">
        <f ca="1">SUM(L243:$L$257)</f>
        <v>3656263.0460074074</v>
      </c>
      <c r="O243" s="602">
        <f ca="1">HLOOKUP(C243,'Debt Amortization'!$H$5:$AB$9,5)</f>
        <v>22434043.963113017</v>
      </c>
    </row>
    <row r="244" spans="1:15">
      <c r="A244" s="615">
        <f t="shared" si="21"/>
        <v>234</v>
      </c>
      <c r="B244" s="602">
        <v>30</v>
      </c>
      <c r="C244" s="616">
        <v>43799</v>
      </c>
      <c r="D244" s="617">
        <f ca="1">D245</f>
        <v>1</v>
      </c>
      <c r="E244" s="602">
        <f>SUM('Revenues &amp; Expenses'!BJ245:$BJ$258)</f>
        <v>4243450.8352195024</v>
      </c>
      <c r="F244" s="618">
        <f t="shared" ca="1" si="22"/>
        <v>3402315.3154253005</v>
      </c>
      <c r="G244" s="635">
        <f t="shared" ca="1" si="18"/>
        <v>841135.51979420194</v>
      </c>
      <c r="H244" s="635">
        <f t="shared" ca="1" si="19"/>
        <v>0</v>
      </c>
      <c r="K244" s="618">
        <f t="shared" ca="1" si="20"/>
        <v>1059139.9402864368</v>
      </c>
      <c r="L244" s="618">
        <f ca="1">K244*'Revenues &amp; Expenses'!N245</f>
        <v>252414.68990811115</v>
      </c>
      <c r="M244" s="618">
        <f ca="1">SUM(L244:$L$257)</f>
        <v>3402315.3154252972</v>
      </c>
      <c r="O244" s="602">
        <f ca="1">HLOOKUP(C244,'Debt Amortization'!$H$5:$AB$9,5)</f>
        <v>22434043.963113017</v>
      </c>
    </row>
    <row r="245" spans="1:15">
      <c r="A245" s="615">
        <f t="shared" si="21"/>
        <v>235</v>
      </c>
      <c r="B245" s="602">
        <v>31</v>
      </c>
      <c r="C245" s="616">
        <v>43830</v>
      </c>
      <c r="D245" s="617">
        <f ca="1">'Deal Depiction'!J27</f>
        <v>1</v>
      </c>
      <c r="E245" s="602">
        <f>SUM('Revenues &amp; Expenses'!BJ246:$BJ$258)</f>
        <v>4243450.8352195024</v>
      </c>
      <c r="F245" s="618">
        <f t="shared" ca="1" si="22"/>
        <v>3149900.6255171895</v>
      </c>
      <c r="G245" s="635">
        <f t="shared" ca="1" si="18"/>
        <v>1093550.2097023129</v>
      </c>
      <c r="H245" s="635">
        <f t="shared" ca="1" si="19"/>
        <v>0</v>
      </c>
      <c r="K245" s="618">
        <f t="shared" ca="1" si="20"/>
        <v>1059139.9402864368</v>
      </c>
      <c r="L245" s="618">
        <f ca="1">K245*'Revenues &amp; Expenses'!N246</f>
        <v>250940.11686268524</v>
      </c>
      <c r="M245" s="618">
        <f ca="1">SUM(L245:$L$257)</f>
        <v>3149900.6255171862</v>
      </c>
      <c r="O245" s="602">
        <f ca="1">HLOOKUP(C245,'Debt Amortization'!$H$5:$AB$9,5)</f>
        <v>22434043.963113017</v>
      </c>
    </row>
    <row r="246" spans="1:15">
      <c r="A246" s="615">
        <f t="shared" si="21"/>
        <v>236</v>
      </c>
      <c r="B246" s="602">
        <v>31</v>
      </c>
      <c r="C246" s="616">
        <v>43861</v>
      </c>
      <c r="D246" s="617">
        <f ca="1">D257</f>
        <v>1</v>
      </c>
      <c r="E246" s="602">
        <f>SUM('Revenues &amp; Expenses'!BJ247:$BJ$258)</f>
        <v>4243450.8352195024</v>
      </c>
      <c r="F246" s="618">
        <f t="shared" ca="1" si="22"/>
        <v>2898960.5086545041</v>
      </c>
      <c r="G246" s="635">
        <f t="shared" ca="1" si="18"/>
        <v>1344490.3265649984</v>
      </c>
      <c r="H246" s="635">
        <f t="shared" ca="1" si="19"/>
        <v>0</v>
      </c>
      <c r="K246" s="618">
        <f t="shared" ca="1" si="20"/>
        <v>1059139.9402864368</v>
      </c>
      <c r="L246" s="618">
        <f ca="1">K246*'Revenues &amp; Expenses'!N247</f>
        <v>249425.64844788949</v>
      </c>
      <c r="M246" s="618">
        <f ca="1">SUM(L246:$L$257)</f>
        <v>2898960.5086545013</v>
      </c>
      <c r="O246" s="602">
        <f ca="1">HLOOKUP(C246,'Debt Amortization'!$H$5:$AB$9,5)</f>
        <v>11687152.783555686</v>
      </c>
    </row>
    <row r="247" spans="1:15">
      <c r="A247" s="615">
        <f t="shared" si="21"/>
        <v>237</v>
      </c>
      <c r="B247" s="602">
        <v>29</v>
      </c>
      <c r="C247" s="616">
        <v>43890</v>
      </c>
      <c r="D247" s="617">
        <f ca="1">D257</f>
        <v>1</v>
      </c>
      <c r="E247" s="602">
        <f>SUM('Revenues &amp; Expenses'!BJ248:$BJ$258)</f>
        <v>4243450.8352195024</v>
      </c>
      <c r="F247" s="618">
        <f t="shared" ca="1" si="22"/>
        <v>2649534.8602066138</v>
      </c>
      <c r="G247" s="635">
        <f t="shared" ca="1" si="18"/>
        <v>1593915.9750128887</v>
      </c>
      <c r="H247" s="635">
        <f t="shared" ca="1" si="19"/>
        <v>0</v>
      </c>
      <c r="K247" s="618">
        <f t="shared" ca="1" si="20"/>
        <v>1059139.9402864368</v>
      </c>
      <c r="L247" s="618">
        <f ca="1">K247*'Revenues &amp; Expenses'!N248</f>
        <v>247920.53014968309</v>
      </c>
      <c r="M247" s="618">
        <f ca="1">SUM(L247:$L$257)</f>
        <v>2649534.8602066119</v>
      </c>
      <c r="O247" s="602">
        <f ca="1">HLOOKUP(C247,'Debt Amortization'!$H$5:$AB$9,5)</f>
        <v>11687152.783555686</v>
      </c>
    </row>
    <row r="248" spans="1:15">
      <c r="A248" s="615">
        <f t="shared" si="21"/>
        <v>238</v>
      </c>
      <c r="B248" s="602">
        <v>31</v>
      </c>
      <c r="C248" s="616">
        <v>43921</v>
      </c>
      <c r="D248" s="617">
        <f ca="1">D257</f>
        <v>1</v>
      </c>
      <c r="E248" s="602">
        <f>SUM('Revenues &amp; Expenses'!BJ249:$BJ$258)</f>
        <v>4243450.8352195024</v>
      </c>
      <c r="F248" s="618">
        <f t="shared" ca="1" si="22"/>
        <v>2401614.3300569309</v>
      </c>
      <c r="G248" s="635">
        <f t="shared" ca="1" si="18"/>
        <v>1841836.5051625716</v>
      </c>
      <c r="H248" s="635">
        <f t="shared" ca="1" si="19"/>
        <v>0</v>
      </c>
      <c r="K248" s="618">
        <f t="shared" ca="1" si="20"/>
        <v>1059139.9402864368</v>
      </c>
      <c r="L248" s="618">
        <f ca="1">K248*'Revenues &amp; Expenses'!N249</f>
        <v>246520.92874605398</v>
      </c>
      <c r="M248" s="618">
        <f ca="1">SUM(L248:$L$257)</f>
        <v>2401614.330056929</v>
      </c>
      <c r="O248" s="602">
        <f ca="1">HLOOKUP(C248,'Debt Amortization'!$H$5:$AB$9,5)</f>
        <v>11687152.783555686</v>
      </c>
    </row>
    <row r="249" spans="1:15">
      <c r="A249" s="615">
        <f t="shared" si="21"/>
        <v>239</v>
      </c>
      <c r="B249" s="602">
        <v>30</v>
      </c>
      <c r="C249" s="616">
        <v>43951</v>
      </c>
      <c r="D249" s="617">
        <f ca="1">D257</f>
        <v>1</v>
      </c>
      <c r="E249" s="602">
        <f>SUM('Revenues &amp; Expenses'!BJ250:$BJ$258)</f>
        <v>4243450.8352195024</v>
      </c>
      <c r="F249" s="618">
        <f t="shared" ca="1" si="22"/>
        <v>2155093.4013108769</v>
      </c>
      <c r="G249" s="635">
        <f t="shared" ca="1" si="18"/>
        <v>2088357.4339086255</v>
      </c>
      <c r="H249" s="635">
        <f t="shared" ca="1" si="19"/>
        <v>0</v>
      </c>
      <c r="K249" s="618">
        <f t="shared" ca="1" si="20"/>
        <v>1059139.9402864368</v>
      </c>
      <c r="L249" s="618">
        <f ca="1">K249*'Revenues &amp; Expenses'!N250</f>
        <v>245061.46231263966</v>
      </c>
      <c r="M249" s="618">
        <f ca="1">SUM(L249:$L$257)</f>
        <v>2155093.4013108751</v>
      </c>
      <c r="O249" s="602">
        <f ca="1">HLOOKUP(C249,'Debt Amortization'!$H$5:$AB$9,5)</f>
        <v>11687152.783555686</v>
      </c>
    </row>
    <row r="250" spans="1:15">
      <c r="A250" s="615">
        <f t="shared" si="21"/>
        <v>240</v>
      </c>
      <c r="B250" s="602">
        <v>31</v>
      </c>
      <c r="C250" s="616">
        <v>43982</v>
      </c>
      <c r="D250" s="617">
        <f ca="1">D257</f>
        <v>1</v>
      </c>
      <c r="E250" s="602">
        <f>SUM('Revenues &amp; Expenses'!BJ251:$BJ$258)</f>
        <v>4243450.8352195024</v>
      </c>
      <c r="F250" s="618">
        <f t="shared" ca="1" si="22"/>
        <v>1910031.938998237</v>
      </c>
      <c r="G250" s="635">
        <f t="shared" ca="1" si="18"/>
        <v>2333418.8962212652</v>
      </c>
      <c r="H250" s="635">
        <f t="shared" ca="1" si="19"/>
        <v>0</v>
      </c>
      <c r="K250" s="618">
        <f t="shared" ca="1" si="20"/>
        <v>1059139.9402864368</v>
      </c>
      <c r="L250" s="618">
        <f ca="1">K250*'Revenues &amp; Expenses'!N251</f>
        <v>243662.87098819698</v>
      </c>
      <c r="M250" s="618">
        <f ca="1">SUM(L250:$L$257)</f>
        <v>1910031.9389982354</v>
      </c>
      <c r="O250" s="602">
        <f ca="1">HLOOKUP(C250,'Debt Amortization'!$H$5:$AB$9,5)</f>
        <v>11687152.783555686</v>
      </c>
    </row>
    <row r="251" spans="1:15">
      <c r="A251" s="615">
        <f t="shared" si="21"/>
        <v>241</v>
      </c>
      <c r="B251" s="602">
        <v>30</v>
      </c>
      <c r="C251" s="616">
        <v>44012</v>
      </c>
      <c r="D251" s="617">
        <f ca="1">D257</f>
        <v>1</v>
      </c>
      <c r="E251" s="602">
        <f>SUM('Revenues &amp; Expenses'!BJ252:$BJ$258)</f>
        <v>4243450.8352195024</v>
      </c>
      <c r="F251" s="618">
        <f t="shared" ca="1" si="22"/>
        <v>1666369.0680100399</v>
      </c>
      <c r="G251" s="635">
        <f t="shared" ca="1" si="18"/>
        <v>2577081.7672094628</v>
      </c>
      <c r="H251" s="635">
        <f t="shared" ca="1" si="19"/>
        <v>0</v>
      </c>
      <c r="K251" s="618">
        <f t="shared" ca="1" si="20"/>
        <v>1059139.9402864368</v>
      </c>
      <c r="L251" s="618">
        <f ca="1">K251*'Revenues &amp; Expenses'!N252</f>
        <v>242226.51719533378</v>
      </c>
      <c r="M251" s="618">
        <f ca="1">SUM(L251:$L$257)</f>
        <v>1666369.0680100387</v>
      </c>
      <c r="O251" s="602">
        <f ca="1">HLOOKUP(C251,'Debt Amortization'!$H$5:$AB$9,5)</f>
        <v>11687152.783555686</v>
      </c>
    </row>
    <row r="252" spans="1:15">
      <c r="A252" s="615">
        <f t="shared" si="21"/>
        <v>242</v>
      </c>
      <c r="B252" s="602">
        <v>31</v>
      </c>
      <c r="C252" s="616">
        <v>44043</v>
      </c>
      <c r="D252" s="617">
        <f ca="1">D257</f>
        <v>1</v>
      </c>
      <c r="E252" s="602">
        <f>SUM('Revenues &amp; Expenses'!BJ253:$BJ$258)</f>
        <v>3597246.8684467222</v>
      </c>
      <c r="F252" s="618">
        <f t="shared" ca="1" si="22"/>
        <v>1424142.5508147057</v>
      </c>
      <c r="G252" s="635">
        <f t="shared" ca="1" si="18"/>
        <v>2173104.3176320167</v>
      </c>
      <c r="H252" s="635">
        <f t="shared" ca="1" si="19"/>
        <v>0</v>
      </c>
      <c r="K252" s="618">
        <f t="shared" ca="1" si="20"/>
        <v>1059139.9402864368</v>
      </c>
      <c r="L252" s="618">
        <f ca="1">K252*'Revenues &amp; Expenses'!N253</f>
        <v>240845.01419111251</v>
      </c>
      <c r="M252" s="618">
        <f ca="1">SUM(L252:$L$257)</f>
        <v>1424142.550814705</v>
      </c>
      <c r="O252" s="602">
        <f ca="1">HLOOKUP(C252,'Debt Amortization'!$H$5:$AB$9,5)</f>
        <v>11687152.783555686</v>
      </c>
    </row>
    <row r="253" spans="1:15">
      <c r="A253" s="615">
        <f t="shared" si="21"/>
        <v>243</v>
      </c>
      <c r="B253" s="602">
        <v>31</v>
      </c>
      <c r="C253" s="616">
        <v>44074</v>
      </c>
      <c r="D253" s="617">
        <f ca="1">D257</f>
        <v>1</v>
      </c>
      <c r="E253" s="602">
        <f>SUM('Revenues &amp; Expenses'!BJ254:$BJ$258)</f>
        <v>1629815.7710056952</v>
      </c>
      <c r="F253" s="618">
        <f t="shared" ca="1" si="22"/>
        <v>1183297.5366235934</v>
      </c>
      <c r="G253" s="635">
        <f t="shared" ca="1" si="18"/>
        <v>446518.2343821018</v>
      </c>
      <c r="H253" s="635">
        <f t="shared" ca="1" si="19"/>
        <v>0</v>
      </c>
      <c r="K253" s="618">
        <f t="shared" ca="1" si="20"/>
        <v>1059139.9402864368</v>
      </c>
      <c r="L253" s="618">
        <f ca="1">K253*'Revenues &amp; Expenses'!N254</f>
        <v>239426.20498216362</v>
      </c>
      <c r="M253" s="618">
        <f ca="1">SUM(L253:$L$257)</f>
        <v>1183297.5366235925</v>
      </c>
      <c r="O253" s="602">
        <f ca="1">HLOOKUP(C253,'Debt Amortization'!$H$5:$AB$9,5)</f>
        <v>11687152.783555686</v>
      </c>
    </row>
    <row r="254" spans="1:15">
      <c r="A254" s="615">
        <f t="shared" si="21"/>
        <v>244</v>
      </c>
      <c r="B254" s="602">
        <v>30</v>
      </c>
      <c r="C254" s="616">
        <v>44104</v>
      </c>
      <c r="D254" s="617">
        <f ca="1">D257</f>
        <v>1</v>
      </c>
      <c r="E254" s="602">
        <f>SUM('Revenues &amp; Expenses'!BJ255:$BJ$258)</f>
        <v>0</v>
      </c>
      <c r="F254" s="618">
        <f t="shared" ca="1" si="22"/>
        <v>943871.33164142957</v>
      </c>
      <c r="G254" s="635">
        <f t="shared" ca="1" si="18"/>
        <v>0</v>
      </c>
      <c r="H254" s="635">
        <f t="shared" ca="1" si="19"/>
        <v>943871.33164142957</v>
      </c>
      <c r="K254" s="618">
        <f t="shared" ca="1" si="20"/>
        <v>1059139.9402864368</v>
      </c>
      <c r="L254" s="618">
        <f ca="1">K254*'Revenues &amp; Expenses'!N255</f>
        <v>238016.22567601333</v>
      </c>
      <c r="M254" s="618">
        <f ca="1">SUM(L254:$L$257)</f>
        <v>943871.3316414291</v>
      </c>
      <c r="O254" s="602">
        <f ca="1">HLOOKUP(C254,'Debt Amortization'!$H$5:$AB$9,5)</f>
        <v>11687152.783555686</v>
      </c>
    </row>
    <row r="255" spans="1:15">
      <c r="A255" s="615">
        <f t="shared" si="21"/>
        <v>245</v>
      </c>
      <c r="B255" s="602">
        <v>31</v>
      </c>
      <c r="C255" s="616">
        <v>44135</v>
      </c>
      <c r="D255" s="617">
        <f ca="1">D257</f>
        <v>1</v>
      </c>
      <c r="E255" s="602">
        <f>SUM('Revenues &amp; Expenses'!BJ256:$BJ$258)</f>
        <v>0</v>
      </c>
      <c r="F255" s="618">
        <f t="shared" ca="1" si="22"/>
        <v>705855.10596541606</v>
      </c>
      <c r="G255" s="635">
        <f t="shared" ca="1" si="18"/>
        <v>0</v>
      </c>
      <c r="H255" s="635">
        <f t="shared" ca="1" si="19"/>
        <v>705855.10596541606</v>
      </c>
      <c r="K255" s="618">
        <f t="shared" ca="1" si="20"/>
        <v>1059139.9402864368</v>
      </c>
      <c r="L255" s="618">
        <f ca="1">K255*'Revenues &amp; Expenses'!N256</f>
        <v>236660.08259105802</v>
      </c>
      <c r="M255" s="618">
        <f ca="1">SUM(L255:$L$257)</f>
        <v>705855.10596541571</v>
      </c>
      <c r="O255" s="602">
        <f ca="1">HLOOKUP(C255,'Debt Amortization'!$H$5:$AB$9,5)</f>
        <v>11687152.783555686</v>
      </c>
    </row>
    <row r="256" spans="1:15">
      <c r="A256" s="615">
        <f t="shared" si="21"/>
        <v>246</v>
      </c>
      <c r="B256" s="602">
        <v>30</v>
      </c>
      <c r="C256" s="616">
        <v>44165</v>
      </c>
      <c r="D256" s="617">
        <f ca="1">D257</f>
        <v>1</v>
      </c>
      <c r="E256" s="602">
        <f>SUM('Revenues &amp; Expenses'!BJ257:$BJ$258)</f>
        <v>0</v>
      </c>
      <c r="F256" s="618">
        <f t="shared" ca="1" si="22"/>
        <v>469195.02337435796</v>
      </c>
      <c r="G256" s="635">
        <f t="shared" ca="1" si="18"/>
        <v>0</v>
      </c>
      <c r="H256" s="635">
        <f t="shared" ca="1" si="19"/>
        <v>469195.02337435796</v>
      </c>
      <c r="K256" s="618">
        <f t="shared" ca="1" si="20"/>
        <v>1059139.9402864368</v>
      </c>
      <c r="L256" s="618">
        <f ca="1">K256*'Revenues &amp; Expenses'!N257</f>
        <v>235267.31053224031</v>
      </c>
      <c r="M256" s="618">
        <f ca="1">SUM(L256:$L$257)</f>
        <v>469195.0233743579</v>
      </c>
      <c r="O256" s="602">
        <f ca="1">HLOOKUP(C256,'Debt Amortization'!$H$5:$AB$9,5)</f>
        <v>11687152.783555686</v>
      </c>
    </row>
    <row r="257" spans="1:15">
      <c r="A257" s="615">
        <f t="shared" si="21"/>
        <v>247</v>
      </c>
      <c r="B257" s="602">
        <v>31</v>
      </c>
      <c r="C257" s="616">
        <v>44196</v>
      </c>
      <c r="D257" s="617">
        <f ca="1">'Deal Depiction'!J28</f>
        <v>1</v>
      </c>
      <c r="E257" s="602">
        <f>SUM('Revenues &amp; Expenses'!BJ258:$BJ$258)</f>
        <v>0</v>
      </c>
      <c r="F257" s="618">
        <f t="shared" ca="1" si="22"/>
        <v>233927.71284211759</v>
      </c>
      <c r="G257" s="635">
        <f t="shared" ca="1" si="18"/>
        <v>0</v>
      </c>
      <c r="H257" s="635">
        <f t="shared" ca="1" si="19"/>
        <v>233927.71284211759</v>
      </c>
      <c r="K257" s="618">
        <f t="shared" ca="1" si="20"/>
        <v>1059139.9402864368</v>
      </c>
      <c r="L257" s="618">
        <f ca="1">K257*'Revenues &amp; Expenses'!N258</f>
        <v>233927.7128421177</v>
      </c>
      <c r="M257" s="618">
        <f ca="1">SUM(L257:$L$257)</f>
        <v>233927.7128421177</v>
      </c>
      <c r="O257" s="602">
        <f ca="1">HLOOKUP(C257,'Debt Amortization'!$H$5:$AB$9,5)</f>
        <v>-7.0780515670776367E-8</v>
      </c>
    </row>
    <row r="258" spans="1:15">
      <c r="A258" s="620"/>
      <c r="C258" s="616">
        <f>C257+31</f>
        <v>44227</v>
      </c>
      <c r="D258" s="592">
        <v>1</v>
      </c>
    </row>
    <row r="259" spans="1:15">
      <c r="C259" s="621"/>
      <c r="D259" s="622"/>
    </row>
    <row r="260" spans="1:15">
      <c r="C260" s="621"/>
      <c r="D260" s="622"/>
    </row>
    <row r="261" spans="1:15">
      <c r="C261" s="621"/>
      <c r="D261" s="622"/>
    </row>
    <row r="262" spans="1:15">
      <c r="C262" s="621"/>
      <c r="D262" s="622"/>
    </row>
    <row r="263" spans="1:15">
      <c r="C263" s="621"/>
      <c r="D263" s="622"/>
    </row>
    <row r="264" spans="1:15">
      <c r="C264" s="621"/>
      <c r="D264" s="622"/>
    </row>
    <row r="265" spans="1:15">
      <c r="C265" s="621"/>
      <c r="D265" s="622"/>
    </row>
    <row r="266" spans="1:15">
      <c r="C266" s="621"/>
      <c r="D266" s="622"/>
    </row>
    <row r="267" spans="1:15">
      <c r="C267" s="621"/>
      <c r="D267" s="622"/>
    </row>
    <row r="268" spans="1:15">
      <c r="C268" s="621"/>
      <c r="D268" s="622"/>
    </row>
    <row r="269" spans="1:15">
      <c r="C269" s="621"/>
      <c r="D269" s="622"/>
    </row>
    <row r="270" spans="1:15">
      <c r="C270" s="621"/>
      <c r="D270" s="622"/>
    </row>
    <row r="271" spans="1:15">
      <c r="C271" s="621"/>
      <c r="D271" s="622"/>
    </row>
    <row r="272" spans="1:15">
      <c r="C272" s="621"/>
      <c r="D272" s="622"/>
    </row>
    <row r="273" spans="3:4">
      <c r="C273" s="621"/>
      <c r="D273" s="622"/>
    </row>
    <row r="274" spans="3:4">
      <c r="C274" s="621"/>
      <c r="D274" s="622"/>
    </row>
    <row r="275" spans="3:4">
      <c r="C275" s="621"/>
      <c r="D275" s="622"/>
    </row>
    <row r="276" spans="3:4">
      <c r="C276" s="621"/>
      <c r="D276" s="622"/>
    </row>
    <row r="277" spans="3:4">
      <c r="C277" s="621"/>
      <c r="D277" s="622"/>
    </row>
    <row r="278" spans="3:4">
      <c r="C278" s="621"/>
      <c r="D278" s="622"/>
    </row>
    <row r="279" spans="3:4">
      <c r="C279" s="621"/>
      <c r="D279" s="622"/>
    </row>
    <row r="280" spans="3:4">
      <c r="C280" s="621"/>
      <c r="D280" s="622"/>
    </row>
    <row r="281" spans="3:4">
      <c r="C281" s="621"/>
      <c r="D281" s="622"/>
    </row>
    <row r="282" spans="3:4">
      <c r="C282" s="621"/>
      <c r="D282" s="622"/>
    </row>
    <row r="283" spans="3:4">
      <c r="C283" s="621"/>
      <c r="D283" s="622"/>
    </row>
    <row r="284" spans="3:4">
      <c r="C284" s="621"/>
      <c r="D284" s="622"/>
    </row>
    <row r="285" spans="3:4">
      <c r="C285" s="621"/>
      <c r="D285" s="622"/>
    </row>
    <row r="286" spans="3:4">
      <c r="C286" s="621"/>
      <c r="D286" s="622"/>
    </row>
    <row r="287" spans="3:4">
      <c r="C287" s="621"/>
      <c r="D287" s="622"/>
    </row>
    <row r="288" spans="3:4">
      <c r="C288" s="621"/>
      <c r="D288" s="622"/>
    </row>
    <row r="289" spans="3:4">
      <c r="C289" s="621"/>
      <c r="D289" s="622"/>
    </row>
    <row r="290" spans="3:4">
      <c r="C290" s="621"/>
      <c r="D290" s="622"/>
    </row>
    <row r="291" spans="3:4">
      <c r="C291" s="621"/>
      <c r="D291" s="622"/>
    </row>
    <row r="292" spans="3:4">
      <c r="C292" s="621"/>
      <c r="D292" s="622"/>
    </row>
    <row r="293" spans="3:4">
      <c r="C293" s="621"/>
      <c r="D293" s="622"/>
    </row>
    <row r="294" spans="3:4">
      <c r="C294" s="621"/>
      <c r="D294" s="622"/>
    </row>
    <row r="295" spans="3:4">
      <c r="C295" s="621"/>
      <c r="D295" s="622"/>
    </row>
    <row r="296" spans="3:4">
      <c r="C296" s="621"/>
      <c r="D296" s="622"/>
    </row>
    <row r="297" spans="3:4">
      <c r="C297" s="621"/>
      <c r="D297" s="622"/>
    </row>
    <row r="298" spans="3:4">
      <c r="C298" s="621"/>
      <c r="D298" s="622"/>
    </row>
    <row r="299" spans="3:4">
      <c r="C299" s="621"/>
      <c r="D299" s="622"/>
    </row>
    <row r="300" spans="3:4">
      <c r="C300" s="621"/>
      <c r="D300" s="622"/>
    </row>
    <row r="301" spans="3:4">
      <c r="C301" s="621"/>
      <c r="D301" s="622"/>
    </row>
    <row r="302" spans="3:4">
      <c r="C302" s="621"/>
      <c r="D302" s="622"/>
    </row>
    <row r="303" spans="3:4">
      <c r="C303" s="621"/>
      <c r="D303" s="622"/>
    </row>
    <row r="304" spans="3:4">
      <c r="C304" s="621"/>
      <c r="D304" s="622"/>
    </row>
    <row r="305" spans="3:4">
      <c r="C305" s="621"/>
      <c r="D305" s="622"/>
    </row>
    <row r="306" spans="3:4">
      <c r="C306" s="621"/>
      <c r="D306" s="622"/>
    </row>
    <row r="307" spans="3:4">
      <c r="C307" s="621"/>
      <c r="D307" s="622"/>
    </row>
    <row r="308" spans="3:4">
      <c r="C308" s="621"/>
      <c r="D308" s="622"/>
    </row>
    <row r="309" spans="3:4">
      <c r="C309" s="621"/>
      <c r="D309" s="622"/>
    </row>
    <row r="310" spans="3:4">
      <c r="C310" s="621"/>
      <c r="D310" s="622"/>
    </row>
    <row r="311" spans="3:4">
      <c r="C311" s="621"/>
      <c r="D311" s="622"/>
    </row>
    <row r="312" spans="3:4">
      <c r="C312" s="621"/>
      <c r="D312" s="622"/>
    </row>
    <row r="313" spans="3:4">
      <c r="C313" s="621"/>
      <c r="D313" s="622"/>
    </row>
    <row r="314" spans="3:4">
      <c r="C314" s="621"/>
      <c r="D314" s="622"/>
    </row>
    <row r="315" spans="3:4">
      <c r="C315" s="621"/>
      <c r="D315" s="622"/>
    </row>
    <row r="316" spans="3:4">
      <c r="C316" s="621"/>
      <c r="D316" s="622"/>
    </row>
    <row r="317" spans="3:4">
      <c r="C317" s="621"/>
      <c r="D317" s="622"/>
    </row>
    <row r="318" spans="3:4">
      <c r="C318" s="621"/>
      <c r="D318" s="622"/>
    </row>
    <row r="319" spans="3:4">
      <c r="C319" s="621"/>
      <c r="D319" s="622"/>
    </row>
    <row r="320" spans="3:4">
      <c r="C320" s="621"/>
      <c r="D320" s="622"/>
    </row>
    <row r="321" spans="3:4">
      <c r="C321" s="621"/>
      <c r="D321" s="622"/>
    </row>
    <row r="322" spans="3:4">
      <c r="C322" s="621"/>
      <c r="D322" s="622"/>
    </row>
    <row r="323" spans="3:4">
      <c r="C323" s="621"/>
      <c r="D323" s="622"/>
    </row>
    <row r="324" spans="3:4">
      <c r="C324" s="621"/>
      <c r="D324" s="622"/>
    </row>
    <row r="325" spans="3:4">
      <c r="C325" s="621"/>
      <c r="D325" s="622"/>
    </row>
    <row r="326" spans="3:4">
      <c r="C326" s="621"/>
      <c r="D326" s="622"/>
    </row>
    <row r="327" spans="3:4">
      <c r="C327" s="621"/>
      <c r="D327" s="622"/>
    </row>
    <row r="328" spans="3:4">
      <c r="C328" s="621"/>
      <c r="D328" s="622"/>
    </row>
    <row r="329" spans="3:4">
      <c r="C329" s="621"/>
      <c r="D329" s="622"/>
    </row>
    <row r="330" spans="3:4">
      <c r="C330" s="621"/>
      <c r="D330" s="622"/>
    </row>
    <row r="331" spans="3:4">
      <c r="C331" s="621"/>
      <c r="D331" s="622"/>
    </row>
    <row r="332" spans="3:4">
      <c r="C332" s="621"/>
      <c r="D332" s="622"/>
    </row>
    <row r="333" spans="3:4">
      <c r="C333" s="621"/>
      <c r="D333" s="622"/>
    </row>
    <row r="334" spans="3:4">
      <c r="C334" s="621"/>
      <c r="D334" s="622"/>
    </row>
    <row r="335" spans="3:4">
      <c r="C335" s="621"/>
      <c r="D335" s="622"/>
    </row>
    <row r="336" spans="3:4">
      <c r="C336" s="621"/>
      <c r="D336" s="622"/>
    </row>
    <row r="337" spans="3:4">
      <c r="C337" s="621"/>
      <c r="D337" s="622"/>
    </row>
    <row r="338" spans="3:4">
      <c r="C338" s="621"/>
      <c r="D338" s="622"/>
    </row>
    <row r="339" spans="3:4">
      <c r="C339" s="621"/>
      <c r="D339" s="622"/>
    </row>
    <row r="340" spans="3:4">
      <c r="C340" s="621"/>
      <c r="D340" s="622"/>
    </row>
    <row r="341" spans="3:4">
      <c r="C341" s="621"/>
      <c r="D341" s="622"/>
    </row>
    <row r="342" spans="3:4">
      <c r="C342" s="621"/>
      <c r="D342" s="622"/>
    </row>
    <row r="343" spans="3:4">
      <c r="C343" s="621"/>
      <c r="D343" s="622"/>
    </row>
    <row r="344" spans="3:4">
      <c r="C344" s="621"/>
      <c r="D344" s="622"/>
    </row>
    <row r="345" spans="3:4">
      <c r="C345" s="621"/>
      <c r="D345" s="622"/>
    </row>
    <row r="346" spans="3:4">
      <c r="C346" s="621"/>
      <c r="D346" s="622"/>
    </row>
    <row r="347" spans="3:4">
      <c r="C347" s="621"/>
      <c r="D347" s="622"/>
    </row>
    <row r="348" spans="3:4">
      <c r="C348" s="621"/>
      <c r="D348" s="622"/>
    </row>
    <row r="349" spans="3:4">
      <c r="C349" s="621"/>
      <c r="D349" s="622"/>
    </row>
    <row r="350" spans="3:4">
      <c r="C350" s="621"/>
      <c r="D350" s="622"/>
    </row>
    <row r="351" spans="3:4">
      <c r="C351" s="621"/>
      <c r="D351" s="622"/>
    </row>
    <row r="352" spans="3:4">
      <c r="C352" s="621"/>
      <c r="D352" s="622"/>
    </row>
    <row r="353" spans="3:4">
      <c r="C353" s="621"/>
      <c r="D353" s="622"/>
    </row>
    <row r="354" spans="3:4">
      <c r="C354" s="621"/>
      <c r="D354" s="622"/>
    </row>
    <row r="355" spans="3:4">
      <c r="C355" s="621"/>
      <c r="D355" s="622"/>
    </row>
    <row r="356" spans="3:4">
      <c r="C356" s="621"/>
      <c r="D356" s="622"/>
    </row>
    <row r="357" spans="3:4">
      <c r="C357" s="621"/>
      <c r="D357" s="622"/>
    </row>
    <row r="358" spans="3:4">
      <c r="C358" s="621"/>
      <c r="D358" s="622"/>
    </row>
    <row r="359" spans="3:4">
      <c r="C359" s="621"/>
      <c r="D359" s="622"/>
    </row>
    <row r="360" spans="3:4">
      <c r="C360" s="621"/>
      <c r="D360" s="622"/>
    </row>
    <row r="361" spans="3:4">
      <c r="C361" s="621"/>
      <c r="D361" s="622"/>
    </row>
    <row r="362" spans="3:4">
      <c r="C362" s="621"/>
      <c r="D362" s="622"/>
    </row>
    <row r="363" spans="3:4">
      <c r="C363" s="621"/>
      <c r="D363" s="622"/>
    </row>
    <row r="364" spans="3:4">
      <c r="C364" s="621"/>
      <c r="D364" s="622"/>
    </row>
    <row r="365" spans="3:4">
      <c r="C365" s="621"/>
      <c r="D365" s="622"/>
    </row>
    <row r="366" spans="3:4">
      <c r="C366" s="621"/>
      <c r="D366" s="622"/>
    </row>
    <row r="367" spans="3:4">
      <c r="C367" s="621"/>
      <c r="D367" s="622"/>
    </row>
    <row r="368" spans="3:4">
      <c r="D368" s="622"/>
    </row>
    <row r="369" spans="4:4">
      <c r="D369" s="62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238"/>
  <sheetViews>
    <sheetView topLeftCell="S1" workbookViewId="0">
      <selection activeCell="C4" sqref="C4"/>
    </sheetView>
  </sheetViews>
  <sheetFormatPr defaultColWidth="9.109375" defaultRowHeight="13.2"/>
  <cols>
    <col min="1" max="1" width="2.44140625" style="247" customWidth="1"/>
    <col min="2" max="2" width="11.6640625" style="247" customWidth="1"/>
    <col min="3" max="5" width="11.6640625" style="250" customWidth="1"/>
    <col min="6" max="6" width="0.88671875" style="380" customWidth="1"/>
    <col min="7" max="7" width="11.6640625" style="247" customWidth="1"/>
    <col min="8" max="9" width="11.6640625" style="250" customWidth="1"/>
    <col min="10" max="10" width="11.6640625" style="247" customWidth="1"/>
    <col min="11" max="11" width="0.88671875" style="380" customWidth="1"/>
    <col min="12" max="12" width="11.6640625" style="247" customWidth="1"/>
    <col min="13" max="14" width="9.109375" style="250"/>
    <col min="15" max="15" width="1.6640625" style="250" customWidth="1"/>
    <col min="16" max="17" width="9.109375" style="250"/>
    <col min="18" max="18" width="1.6640625" style="247" customWidth="1"/>
    <col min="19" max="19" width="11.88671875" style="247" bestFit="1" customWidth="1"/>
    <col min="20" max="20" width="9.109375" style="247"/>
    <col min="21" max="21" width="11.33203125" style="247" bestFit="1" customWidth="1"/>
    <col min="22" max="22" width="1.6640625" style="247" customWidth="1"/>
    <col min="23" max="23" width="14.88671875" style="247" bestFit="1" customWidth="1"/>
    <col min="24" max="24" width="9.109375" style="247"/>
    <col min="25" max="26" width="11.44140625" style="247" bestFit="1" customWidth="1"/>
    <col min="27" max="27" width="9.44140625" style="247" bestFit="1" customWidth="1"/>
    <col min="28" max="16384" width="9.109375" style="247"/>
  </cols>
  <sheetData>
    <row r="1" spans="2:31">
      <c r="L1" s="385">
        <v>0</v>
      </c>
      <c r="S1" s="436">
        <f>SUM(S4:S238)/235</f>
        <v>0.25531914893617019</v>
      </c>
      <c r="W1" s="392">
        <f>SUM(W4:W238)</f>
        <v>68892941.951875836</v>
      </c>
      <c r="Y1" s="393"/>
      <c r="Z1" s="401"/>
      <c r="AA1" s="401"/>
      <c r="AB1" s="401"/>
      <c r="AC1" s="401"/>
      <c r="AD1" s="401"/>
      <c r="AE1" s="402"/>
    </row>
    <row r="2" spans="2:31">
      <c r="C2" s="755" t="s">
        <v>117</v>
      </c>
      <c r="D2" s="755"/>
      <c r="E2" s="755"/>
      <c r="H2" s="250" t="s">
        <v>180</v>
      </c>
      <c r="M2" s="251" t="s">
        <v>11</v>
      </c>
      <c r="N2" s="251" t="s">
        <v>208</v>
      </c>
      <c r="O2" s="251"/>
      <c r="P2" s="251" t="s">
        <v>117</v>
      </c>
      <c r="Q2" s="251" t="s">
        <v>209</v>
      </c>
      <c r="S2" s="384" t="s">
        <v>210</v>
      </c>
      <c r="W2" s="384" t="s">
        <v>114</v>
      </c>
      <c r="Y2" s="403"/>
      <c r="Z2" s="404"/>
      <c r="AA2" s="405" t="s">
        <v>220</v>
      </c>
      <c r="AB2" s="404"/>
      <c r="AC2" s="404"/>
      <c r="AD2" s="404"/>
      <c r="AE2" s="406"/>
    </row>
    <row r="3" spans="2:31" ht="13.8" thickBot="1">
      <c r="C3" s="382" t="s">
        <v>92</v>
      </c>
      <c r="D3" s="382" t="s">
        <v>178</v>
      </c>
      <c r="E3" s="382" t="s">
        <v>179</v>
      </c>
      <c r="F3" s="381"/>
      <c r="G3" s="249"/>
      <c r="H3" s="382" t="s">
        <v>92</v>
      </c>
      <c r="I3" s="382" t="s">
        <v>178</v>
      </c>
      <c r="J3" s="382" t="s">
        <v>179</v>
      </c>
      <c r="K3" s="381"/>
      <c r="L3" s="249"/>
      <c r="M3" s="382" t="s">
        <v>170</v>
      </c>
      <c r="N3" s="382" t="s">
        <v>198</v>
      </c>
      <c r="O3" s="251"/>
      <c r="P3" s="382" t="s">
        <v>170</v>
      </c>
      <c r="Q3" s="382" t="s">
        <v>89</v>
      </c>
      <c r="S3" s="383" t="s">
        <v>211</v>
      </c>
      <c r="T3" s="383" t="s">
        <v>7</v>
      </c>
      <c r="U3" s="383" t="s">
        <v>212</v>
      </c>
      <c r="V3" s="384"/>
      <c r="W3" s="383" t="s">
        <v>213</v>
      </c>
      <c r="Y3" s="403"/>
      <c r="Z3" s="407" t="s">
        <v>215</v>
      </c>
      <c r="AA3" s="434">
        <f ca="1">SUM(AA4:AA23)/20</f>
        <v>0.95</v>
      </c>
      <c r="AB3" s="404"/>
      <c r="AC3" s="408" t="s">
        <v>103</v>
      </c>
      <c r="AD3" s="404"/>
      <c r="AE3" s="406"/>
    </row>
    <row r="4" spans="2:31">
      <c r="B4" s="248">
        <v>36678</v>
      </c>
      <c r="C4" s="251">
        <f>VLOOKUP(B4,'Company Gas Prices'!$B$25:$C$259,2)</f>
        <v>4.2322916700000004</v>
      </c>
      <c r="D4" s="250">
        <f>VLOOKUP(B4,'Fuel Curve'!$B$7:$F$268,5)</f>
        <v>5.4570689655172417</v>
      </c>
      <c r="E4" s="250">
        <f>D4-C4</f>
        <v>1.2247772955172413</v>
      </c>
      <c r="G4" s="248">
        <v>36678</v>
      </c>
      <c r="H4" s="250">
        <f>VLOOKUP(G4,'Company Power Prices'!$B$25:$C$259,2)</f>
        <v>119.6982624</v>
      </c>
      <c r="I4" s="250">
        <f>VLOOKUP(G4,'Super Peak Curve Simulation'!$B$4:$C$225,2)</f>
        <v>71.662938491251083</v>
      </c>
      <c r="J4" s="252">
        <f>I4-H4</f>
        <v>-48.035323908748921</v>
      </c>
      <c r="L4" s="248">
        <v>36678</v>
      </c>
      <c r="M4" s="250">
        <f>IF($L$1=1,VLOOKUP(L4,'Super Peak Curve Simulation'!$B$7:$N$225,12),VLOOKUP(L4,'PJM Curve Simulation'!$B$9:$J$246,9))</f>
        <v>58.075000762939453</v>
      </c>
      <c r="N4" s="250">
        <f>P4+Q4</f>
        <v>54.300083790314972</v>
      </c>
      <c r="P4" s="250">
        <f>IF($L$1=1,VLOOKUP(L4,'Fuel Curve'!$B$7:$H$246,7),VLOOKUP(L4,'Revenues &amp; Expenses'!$K$9:$S$246,9))</f>
        <v>52.273263620689654</v>
      </c>
      <c r="Q4" s="250">
        <f>'Revenues &amp; Expenses'!$AM$5*1000*'Revenues &amp; Expenses'!O12</f>
        <v>2.0268201696253172</v>
      </c>
      <c r="S4" s="247">
        <f>IF(M4&gt;N4,1,0)</f>
        <v>1</v>
      </c>
      <c r="T4" s="247">
        <f>'Revenues &amp; Expenses'!$S$3</f>
        <v>310.66000000000003</v>
      </c>
      <c r="U4" s="391">
        <f>T4*'Revenues &amp; Expenses'!F12*4</f>
        <v>27338.080000000002</v>
      </c>
      <c r="W4" s="391">
        <f>IF(S4&gt;0,(M4-N4)*U4,0)</f>
        <v>103198.98219096589</v>
      </c>
      <c r="Y4" s="409">
        <v>36891</v>
      </c>
      <c r="Z4" s="435" t="str">
        <f>HLOOKUP(Y4,'Financial Statements'!$C$31:$V$43,13)</f>
        <v>n/a</v>
      </c>
      <c r="AA4" s="404">
        <f>IF(Z4&lt;1,1,0)</f>
        <v>0</v>
      </c>
      <c r="AB4" s="404"/>
      <c r="AC4" s="405" t="s">
        <v>216</v>
      </c>
      <c r="AD4" s="404">
        <f ca="1">IF(SUM(AA4:AA8)&gt;0,1,0)</f>
        <v>1</v>
      </c>
      <c r="AE4" s="406"/>
    </row>
    <row r="5" spans="2:31">
      <c r="B5" s="248">
        <v>36708</v>
      </c>
      <c r="C5" s="251">
        <f>VLOOKUP(B5,'Company Gas Prices'!$B$25:$C$259,2)</f>
        <v>4.1906249999999998</v>
      </c>
      <c r="D5" s="250">
        <f>VLOOKUP(B5,'Fuel Curve'!$B$7:$F$268,5)</f>
        <v>5.3846551724137939</v>
      </c>
      <c r="E5" s="250">
        <f t="shared" ref="E5:E68" si="0">D5-C5</f>
        <v>1.1940301724137941</v>
      </c>
      <c r="G5" s="248">
        <v>36708</v>
      </c>
      <c r="H5" s="250">
        <f>VLOOKUP(G5,'Company Power Prices'!$B$25:$C$259,2)</f>
        <v>200.74960490000001</v>
      </c>
      <c r="I5" s="250">
        <f>VLOOKUP(G5,'Super Peak Curve Simulation'!$B$4:$C$225,2)</f>
        <v>136.23057296609247</v>
      </c>
      <c r="J5" s="252">
        <f t="shared" ref="J5:J68" si="1">I5-H5</f>
        <v>-64.519031933907542</v>
      </c>
      <c r="L5" s="248">
        <v>36708</v>
      </c>
      <c r="M5" s="250">
        <f>IF($L$1=1,VLOOKUP(L5,'Super Peak Curve Simulation'!$B$7:$N$225,12),VLOOKUP(L5,'PJM Curve Simulation'!$B$9:$J$246,9))</f>
        <v>103.75</v>
      </c>
      <c r="N5" s="250">
        <f t="shared" ref="N5:N68" si="2">P5+Q5</f>
        <v>53.610936932006815</v>
      </c>
      <c r="P5" s="250">
        <f>IF($L$1=1,VLOOKUP(L5,'Fuel Curve'!$B$7:$H$246,7),VLOOKUP(L5,'Revenues &amp; Expenses'!$K$9:$S$246,9))</f>
        <v>51.579611896551732</v>
      </c>
      <c r="Q5" s="250">
        <f>'Revenues &amp; Expenses'!$AM$5*1000*'Revenues &amp; Expenses'!O13</f>
        <v>2.03132503545508</v>
      </c>
      <c r="S5" s="247">
        <f t="shared" ref="S5:S68" si="3">IF(M5&gt;N5,1,0)</f>
        <v>1</v>
      </c>
      <c r="T5" s="247">
        <f>'Revenues &amp; Expenses'!$S$3</f>
        <v>310.66000000000003</v>
      </c>
      <c r="U5" s="391">
        <f>T5*'Revenues &amp; Expenses'!F13*4</f>
        <v>26095.440000000002</v>
      </c>
      <c r="W5" s="391">
        <f t="shared" ref="W5:W68" si="4">IF(S5&gt;0,(M5-N5)*U5,0)</f>
        <v>1308400.9119470322</v>
      </c>
      <c r="Y5" s="409">
        <f>Y4+365.25</f>
        <v>37256.25</v>
      </c>
      <c r="Z5" s="435">
        <f ca="1">HLOOKUP(Y5,'Financial Statements'!$C$31:$V$43,13)</f>
        <v>0.38781142524897433</v>
      </c>
      <c r="AA5" s="404">
        <f t="shared" ref="AA5:AA23" ca="1" si="5">IF(Z5&lt;1,1,0)</f>
        <v>1</v>
      </c>
      <c r="AB5" s="404"/>
      <c r="AC5" s="405" t="s">
        <v>217</v>
      </c>
      <c r="AD5" s="404">
        <f ca="1">IF(SUM(AA9:AA13)&gt;0,1,0)</f>
        <v>1</v>
      </c>
      <c r="AE5" s="406"/>
    </row>
    <row r="6" spans="2:31">
      <c r="B6" s="248">
        <v>36739</v>
      </c>
      <c r="C6" s="251">
        <f>VLOOKUP(B6,'Company Gas Prices'!$B$25:$C$259,2)</f>
        <v>4.1906249999999998</v>
      </c>
      <c r="D6" s="250">
        <f>VLOOKUP(B6,'Fuel Curve'!$B$7:$F$268,5)</f>
        <v>5.3918965517241384</v>
      </c>
      <c r="E6" s="250">
        <f t="shared" si="0"/>
        <v>1.2012715517241386</v>
      </c>
      <c r="G6" s="248">
        <v>36739</v>
      </c>
      <c r="H6" s="250">
        <f>VLOOKUP(G6,'Company Power Prices'!$B$25:$C$259,2)</f>
        <v>200.74960490000001</v>
      </c>
      <c r="I6" s="250">
        <f>VLOOKUP(G6,'Super Peak Curve Simulation'!$B$4:$C$225,2)</f>
        <v>111.38109511546418</v>
      </c>
      <c r="J6" s="252">
        <f t="shared" si="1"/>
        <v>-89.368509784535831</v>
      </c>
      <c r="L6" s="248">
        <v>36739</v>
      </c>
      <c r="M6" s="250">
        <f>IF($L$1=1,VLOOKUP(L6,'Super Peak Curve Simulation'!$B$7:$N$225,12),VLOOKUP(L6,'PJM Curve Simulation'!$B$9:$J$246,9))</f>
        <v>90.75</v>
      </c>
      <c r="N6" s="250">
        <f t="shared" si="2"/>
        <v>53.684816982888115</v>
      </c>
      <c r="P6" s="250">
        <f>IF($L$1=1,VLOOKUP(L6,'Fuel Curve'!$B$7:$H$246,7),VLOOKUP(L6,'Revenues &amp; Expenses'!$K$9:$S$246,9))</f>
        <v>51.648977068965522</v>
      </c>
      <c r="Q6" s="250">
        <f>'Revenues &amp; Expenses'!$AM$5*1000*'Revenues &amp; Expenses'!O14</f>
        <v>2.0358399139225933</v>
      </c>
      <c r="S6" s="247">
        <f t="shared" si="3"/>
        <v>1</v>
      </c>
      <c r="T6" s="247">
        <f>'Revenues &amp; Expenses'!$S$3</f>
        <v>310.66000000000003</v>
      </c>
      <c r="U6" s="391">
        <f>T6*'Revenues &amp; Expenses'!F14*4</f>
        <v>28580.720000000001</v>
      </c>
      <c r="W6" s="391">
        <f t="shared" si="4"/>
        <v>1059349.61756083</v>
      </c>
      <c r="Y6" s="409">
        <f t="shared" ref="Y6:Y23" si="6">Y5+365.25</f>
        <v>37621.5</v>
      </c>
      <c r="Z6" s="435">
        <f ca="1">HLOOKUP(Y6,'Financial Statements'!$C$31:$V$43,13)</f>
        <v>0.38329541065497996</v>
      </c>
      <c r="AA6" s="404">
        <f t="shared" ca="1" si="5"/>
        <v>1</v>
      </c>
      <c r="AB6" s="404"/>
      <c r="AC6" s="405" t="s">
        <v>218</v>
      </c>
      <c r="AD6" s="404">
        <f ca="1">IF(SUM(AA14:AA18)&gt;0,1,0)</f>
        <v>1</v>
      </c>
      <c r="AE6" s="406"/>
    </row>
    <row r="7" spans="2:31">
      <c r="B7" s="248">
        <v>36770</v>
      </c>
      <c r="C7" s="251">
        <f>VLOOKUP(B7,'Company Gas Prices'!$B$25:$C$259,2)</f>
        <v>4.2416666699999999</v>
      </c>
      <c r="D7" s="250">
        <f>VLOOKUP(B7,'Fuel Curve'!$B$7:$F$268,5)</f>
        <v>5.4027586206896556</v>
      </c>
      <c r="E7" s="250">
        <f t="shared" si="0"/>
        <v>1.1610919506896558</v>
      </c>
      <c r="G7" s="248">
        <v>36770</v>
      </c>
      <c r="H7" s="250">
        <f>VLOOKUP(G7,'Company Power Prices'!$B$25:$C$259,2)</f>
        <v>65.474885459999996</v>
      </c>
      <c r="I7" s="250">
        <f>VLOOKUP(G7,'Super Peak Curve Simulation'!$B$4:$C$225,2)</f>
        <v>41.062843130248382</v>
      </c>
      <c r="J7" s="252">
        <f t="shared" si="1"/>
        <v>-24.412042329751614</v>
      </c>
      <c r="L7" s="248">
        <v>36770</v>
      </c>
      <c r="M7" s="250">
        <f>IF($L$1=1,VLOOKUP(L7,'Super Peak Curve Simulation'!$B$7:$N$225,12),VLOOKUP(L7,'PJM Curve Simulation'!$B$9:$J$246,9))</f>
        <v>35.549999237060547</v>
      </c>
      <c r="N7" s="250">
        <f t="shared" si="2"/>
        <v>53.793389654868427</v>
      </c>
      <c r="P7" s="250">
        <f>IF($L$1=1,VLOOKUP(L7,'Fuel Curve'!$B$7:$H$246,7),VLOOKUP(L7,'Revenues &amp; Expenses'!$K$9:$S$246,9))</f>
        <v>51.753024827586209</v>
      </c>
      <c r="Q7" s="250">
        <f>'Revenues &amp; Expenses'!$AM$5*1000*'Revenues &amp; Expenses'!O15</f>
        <v>2.0403648272822195</v>
      </c>
      <c r="S7" s="247">
        <f t="shared" si="3"/>
        <v>0</v>
      </c>
      <c r="T7" s="247">
        <f>'Revenues &amp; Expenses'!$S$3</f>
        <v>310.66000000000003</v>
      </c>
      <c r="U7" s="391">
        <f>T7*'Revenues &amp; Expenses'!F15*4</f>
        <v>26095.440000000002</v>
      </c>
      <c r="W7" s="391">
        <f t="shared" si="4"/>
        <v>0</v>
      </c>
      <c r="Y7" s="409">
        <f t="shared" si="6"/>
        <v>37986.75</v>
      </c>
      <c r="Z7" s="435">
        <f ca="1">HLOOKUP(Y7,'Financial Statements'!$C$31:$V$43,13)</f>
        <v>0.40281353052696295</v>
      </c>
      <c r="AA7" s="404">
        <f t="shared" ca="1" si="5"/>
        <v>1</v>
      </c>
      <c r="AB7" s="404"/>
      <c r="AC7" s="405" t="s">
        <v>219</v>
      </c>
      <c r="AD7" s="404">
        <f ca="1">IF(SUM(AA19:AA23)&gt;0,1,0)</f>
        <v>1</v>
      </c>
      <c r="AE7" s="406"/>
    </row>
    <row r="8" spans="2:31">
      <c r="B8" s="248">
        <v>36800</v>
      </c>
      <c r="C8" s="251">
        <f>VLOOKUP(B8,'Company Gas Prices'!$B$25:$C$259,2)</f>
        <v>4.1968750000000004</v>
      </c>
      <c r="D8" s="250">
        <f>VLOOKUP(B8,'Fuel Curve'!$B$7:$F$268,5)</f>
        <v>5.4172413793103456</v>
      </c>
      <c r="E8" s="250">
        <f t="shared" si="0"/>
        <v>1.2203663793103452</v>
      </c>
      <c r="G8" s="248">
        <v>36800</v>
      </c>
      <c r="H8" s="250">
        <f>VLOOKUP(G8,'Company Power Prices'!$B$25:$C$259,2)</f>
        <v>52.66540105</v>
      </c>
      <c r="I8" s="250">
        <f>VLOOKUP(G8,'Super Peak Curve Simulation'!$B$4:$C$225,2)</f>
        <v>29.896752146244047</v>
      </c>
      <c r="J8" s="252">
        <f t="shared" si="1"/>
        <v>-22.768648903755953</v>
      </c>
      <c r="L8" s="248">
        <v>36800</v>
      </c>
      <c r="M8" s="250">
        <f>IF($L$1=1,VLOOKUP(L8,'Super Peak Curve Simulation'!$B$7:$N$225,12),VLOOKUP(L8,'PJM Curve Simulation'!$B$9:$J$246,9))</f>
        <v>25.450000762939453</v>
      </c>
      <c r="N8" s="250">
        <f t="shared" si="2"/>
        <v>53.936654970251588</v>
      </c>
      <c r="P8" s="250">
        <f>IF($L$1=1,VLOOKUP(L8,'Fuel Curve'!$B$7:$H$246,7),VLOOKUP(L8,'Revenues &amp; Expenses'!$K$9:$S$246,9))</f>
        <v>51.891755172413802</v>
      </c>
      <c r="Q8" s="250">
        <f>'Revenues &amp; Expenses'!$AM$5*1000*'Revenues &amp; Expenses'!O16</f>
        <v>2.044899797837783</v>
      </c>
      <c r="S8" s="247">
        <f t="shared" si="3"/>
        <v>0</v>
      </c>
      <c r="T8" s="247">
        <f>'Revenues &amp; Expenses'!$S$3</f>
        <v>310.66000000000003</v>
      </c>
      <c r="U8" s="391">
        <f>T8*'Revenues &amp; Expenses'!F16*4</f>
        <v>27338.080000000002</v>
      </c>
      <c r="W8" s="391">
        <f t="shared" si="4"/>
        <v>0</v>
      </c>
      <c r="Y8" s="409">
        <f t="shared" si="6"/>
        <v>38352</v>
      </c>
      <c r="Z8" s="435">
        <f ca="1">HLOOKUP(Y8,'Financial Statements'!$C$31:$V$43,13)</f>
        <v>0.41114843012933455</v>
      </c>
      <c r="AA8" s="404">
        <f t="shared" ca="1" si="5"/>
        <v>1</v>
      </c>
      <c r="AB8" s="404"/>
      <c r="AC8" s="404"/>
      <c r="AD8" s="404"/>
      <c r="AE8" s="406"/>
    </row>
    <row r="9" spans="2:31">
      <c r="B9" s="248">
        <v>36831</v>
      </c>
      <c r="C9" s="251">
        <f>VLOOKUP(B9,'Company Gas Prices'!$B$25:$C$259,2)</f>
        <v>4.1968750000000004</v>
      </c>
      <c r="D9" s="250">
        <f>VLOOKUP(B9,'Fuel Curve'!$B$7:$F$268,5)</f>
        <v>5.4281034482758628</v>
      </c>
      <c r="E9" s="250">
        <f t="shared" si="0"/>
        <v>1.2312284482758624</v>
      </c>
      <c r="G9" s="248">
        <v>36831</v>
      </c>
      <c r="H9" s="250">
        <f>VLOOKUP(G9,'Company Power Prices'!$B$25:$C$259,2)</f>
        <v>53.728532940000001</v>
      </c>
      <c r="I9" s="250">
        <f>VLOOKUP(G9,'Super Peak Curve Simulation'!$B$4:$C$225,2)</f>
        <v>29.949248295736314</v>
      </c>
      <c r="J9" s="252">
        <f t="shared" si="1"/>
        <v>-23.779284644263686</v>
      </c>
      <c r="L9" s="248">
        <v>36831</v>
      </c>
      <c r="M9" s="250">
        <f>IF($L$1=1,VLOOKUP(L9,'Super Peak Curve Simulation'!$B$7:$N$225,12),VLOOKUP(L9,'PJM Curve Simulation'!$B$9:$J$246,9))</f>
        <v>25.149999618530273</v>
      </c>
      <c r="N9" s="250">
        <f t="shared" si="2"/>
        <v>54.045247778977171</v>
      </c>
      <c r="P9" s="250">
        <f>IF($L$1=1,VLOOKUP(L9,'Fuel Curve'!$B$7:$H$246,7),VLOOKUP(L9,'Revenues &amp; Expenses'!$K$9:$S$246,9))</f>
        <v>51.99580293103449</v>
      </c>
      <c r="Q9" s="250">
        <f>'Revenues &amp; Expenses'!$AM$5*1000*'Revenues &amp; Expenses'!O17</f>
        <v>2.049444847942683</v>
      </c>
      <c r="S9" s="247">
        <f t="shared" si="3"/>
        <v>0</v>
      </c>
      <c r="T9" s="247">
        <f>'Revenues &amp; Expenses'!$S$3</f>
        <v>310.66000000000003</v>
      </c>
      <c r="U9" s="391">
        <f>T9*'Revenues &amp; Expenses'!F17*4</f>
        <v>27338.080000000002</v>
      </c>
      <c r="W9" s="391">
        <f t="shared" si="4"/>
        <v>0</v>
      </c>
      <c r="Y9" s="409">
        <f t="shared" si="6"/>
        <v>38717.25</v>
      </c>
      <c r="Z9" s="435">
        <f ca="1">HLOOKUP(Y9,'Financial Statements'!$C$31:$V$43,13)</f>
        <v>0.44109408711634829</v>
      </c>
      <c r="AA9" s="404">
        <f t="shared" ca="1" si="5"/>
        <v>1</v>
      </c>
      <c r="AB9" s="404"/>
      <c r="AC9" s="404"/>
      <c r="AD9" s="404"/>
      <c r="AE9" s="406"/>
    </row>
    <row r="10" spans="2:31">
      <c r="B10" s="248">
        <v>36861</v>
      </c>
      <c r="C10" s="251">
        <f>VLOOKUP(B10,'Company Gas Prices'!$B$25:$C$259,2)</f>
        <v>4.1968750000000004</v>
      </c>
      <c r="D10" s="250">
        <f>VLOOKUP(B10,'Fuel Curve'!$B$7:$F$268,5)</f>
        <v>5.410000000000001</v>
      </c>
      <c r="E10" s="250">
        <f t="shared" si="0"/>
        <v>1.2131250000000007</v>
      </c>
      <c r="G10" s="248">
        <v>36861</v>
      </c>
      <c r="H10" s="250">
        <f>VLOOKUP(G10,'Company Power Prices'!$B$25:$C$259,2)</f>
        <v>53.728532940000001</v>
      </c>
      <c r="I10" s="250">
        <f>VLOOKUP(G10,'Super Peak Curve Simulation'!$B$4:$C$225,2)</f>
        <v>33.013261496810017</v>
      </c>
      <c r="J10" s="252">
        <f t="shared" si="1"/>
        <v>-20.715271443189984</v>
      </c>
      <c r="L10" s="248">
        <v>36861</v>
      </c>
      <c r="M10" s="250">
        <f>IF($L$1=1,VLOOKUP(L10,'Super Peak Curve Simulation'!$B$7:$N$225,12),VLOOKUP(L10,'PJM Curve Simulation'!$B$9:$J$246,9))</f>
        <v>27.375</v>
      </c>
      <c r="N10" s="250">
        <f t="shared" si="2"/>
        <v>53.876390000000008</v>
      </c>
      <c r="P10" s="250">
        <f>IF($L$1=1,VLOOKUP(L10,'Fuel Curve'!$B$7:$H$246,7),VLOOKUP(L10,'Revenues &amp; Expenses'!$K$9:$S$246,9))</f>
        <v>51.822390000000006</v>
      </c>
      <c r="Q10" s="250">
        <f>'Revenues &amp; Expenses'!$AM$5*1000*'Revenues &amp; Expenses'!O18</f>
        <v>2.0539999999999998</v>
      </c>
      <c r="S10" s="247">
        <f t="shared" si="3"/>
        <v>0</v>
      </c>
      <c r="T10" s="247">
        <f>'Revenues &amp; Expenses'!$S$3</f>
        <v>310.66000000000003</v>
      </c>
      <c r="U10" s="391">
        <f>T10*'Revenues &amp; Expenses'!F18*4</f>
        <v>26095.440000000002</v>
      </c>
      <c r="W10" s="391">
        <f t="shared" si="4"/>
        <v>0</v>
      </c>
      <c r="Y10" s="409">
        <f t="shared" si="6"/>
        <v>39082.5</v>
      </c>
      <c r="Z10" s="435">
        <f ca="1">HLOOKUP(Y10,'Financial Statements'!$C$31:$V$43,13)</f>
        <v>0.4752229065730772</v>
      </c>
      <c r="AA10" s="404">
        <f t="shared" ca="1" si="5"/>
        <v>1</v>
      </c>
      <c r="AB10" s="404"/>
      <c r="AC10" s="404"/>
      <c r="AD10" s="404"/>
      <c r="AE10" s="406"/>
    </row>
    <row r="11" spans="2:31">
      <c r="B11" s="248">
        <v>36892</v>
      </c>
      <c r="C11" s="251">
        <f>VLOOKUP(B11,'Company Gas Prices'!$B$25:$C$259,2)</f>
        <v>3.8354166699999999</v>
      </c>
      <c r="D11" s="250">
        <f>VLOOKUP(B11,'Fuel Curve'!$B$7:$F$268,5)</f>
        <v>5.3375862068965532</v>
      </c>
      <c r="E11" s="250">
        <f t="shared" si="0"/>
        <v>1.5021695368965533</v>
      </c>
      <c r="G11" s="248">
        <v>36892</v>
      </c>
      <c r="H11" s="250">
        <f>VLOOKUP(G11,'Company Power Prices'!$B$25:$C$259,2)</f>
        <v>50.276172119999998</v>
      </c>
      <c r="I11" s="250">
        <f>VLOOKUP(G11,'Super Peak Curve Simulation'!$B$4:$C$225,2)</f>
        <v>43.193518347371054</v>
      </c>
      <c r="J11" s="252">
        <f t="shared" si="1"/>
        <v>-7.0826537726289445</v>
      </c>
      <c r="L11" s="248">
        <v>36892</v>
      </c>
      <c r="M11" s="250">
        <f>IF($L$1=1,VLOOKUP(L11,'Super Peak Curve Simulation'!$B$7:$N$225,12),VLOOKUP(L11,'PJM Curve Simulation'!$B$9:$J$246,9))</f>
        <v>35.224998474121094</v>
      </c>
      <c r="N11" s="250">
        <f t="shared" si="2"/>
        <v>53.187303552324693</v>
      </c>
      <c r="P11" s="250">
        <f>IF($L$1=1,VLOOKUP(L11,'Fuel Curve'!$B$7:$H$246,7),VLOOKUP(L11,'Revenues &amp; Expenses'!$K$9:$S$246,9))</f>
        <v>51.128738275862084</v>
      </c>
      <c r="Q11" s="250">
        <f>'Revenues &amp; Expenses'!$AM$5*1000*'Revenues &amp; Expenses'!O19</f>
        <v>2.0585652764626095</v>
      </c>
      <c r="S11" s="247">
        <f t="shared" si="3"/>
        <v>0</v>
      </c>
      <c r="T11" s="247">
        <f>'Revenues &amp; Expenses'!$S$3</f>
        <v>310.66000000000003</v>
      </c>
      <c r="U11" s="391">
        <f>T11*'Revenues &amp; Expenses'!F19*4</f>
        <v>28580.720000000001</v>
      </c>
      <c r="W11" s="391">
        <f t="shared" si="4"/>
        <v>0</v>
      </c>
      <c r="Y11" s="409">
        <f t="shared" si="6"/>
        <v>39447.75</v>
      </c>
      <c r="Z11" s="435">
        <f ca="1">HLOOKUP(Y11,'Financial Statements'!$C$31:$V$43,13)</f>
        <v>0.49412761994843413</v>
      </c>
      <c r="AA11" s="404">
        <f t="shared" ca="1" si="5"/>
        <v>1</v>
      </c>
      <c r="AB11" s="404"/>
      <c r="AC11" s="404"/>
      <c r="AD11" s="404"/>
      <c r="AE11" s="406"/>
    </row>
    <row r="12" spans="2:31">
      <c r="B12" s="248">
        <v>36923</v>
      </c>
      <c r="C12" s="251">
        <f>VLOOKUP(B12,'Company Gas Prices'!$B$25:$C$259,2)</f>
        <v>3.8354166699999999</v>
      </c>
      <c r="D12" s="250">
        <f>VLOOKUP(B12,'Fuel Curve'!$B$7:$F$268,5)</f>
        <v>5.1818965517241384</v>
      </c>
      <c r="E12" s="250">
        <f t="shared" si="0"/>
        <v>1.3464798817241386</v>
      </c>
      <c r="G12" s="248">
        <v>36923</v>
      </c>
      <c r="H12" s="250">
        <f>VLOOKUP(G12,'Company Power Prices'!$B$25:$C$259,2)</f>
        <v>41.817346350000001</v>
      </c>
      <c r="I12" s="250">
        <f>VLOOKUP(G12,'Super Peak Curve Simulation'!$B$4:$C$225,2)</f>
        <v>43.193518347371054</v>
      </c>
      <c r="J12" s="252">
        <f t="shared" si="1"/>
        <v>1.3761719973710527</v>
      </c>
      <c r="L12" s="248">
        <v>36923</v>
      </c>
      <c r="M12" s="250">
        <f>IF($L$1=1,VLOOKUP(L12,'Super Peak Curve Simulation'!$B$7:$N$225,12),VLOOKUP(L12,'PJM Curve Simulation'!$B$9:$J$246,9))</f>
        <v>35.224998474121094</v>
      </c>
      <c r="N12" s="250">
        <f t="shared" si="2"/>
        <v>51.700527768798814</v>
      </c>
      <c r="P12" s="250">
        <f>IF($L$1=1,VLOOKUP(L12,'Fuel Curve'!$B$7:$H$246,7),VLOOKUP(L12,'Revenues &amp; Expenses'!$K$9:$S$246,9))</f>
        <v>49.637387068965523</v>
      </c>
      <c r="Q12" s="250">
        <f>'Revenues &amp; Expenses'!$AM$5*1000*'Revenues &amp; Expenses'!O20</f>
        <v>2.0631406998332911</v>
      </c>
      <c r="S12" s="247">
        <f t="shared" si="3"/>
        <v>0</v>
      </c>
      <c r="T12" s="247">
        <f>'Revenues &amp; Expenses'!$S$3</f>
        <v>310.66000000000003</v>
      </c>
      <c r="U12" s="391">
        <f>T12*'Revenues &amp; Expenses'!F20*4</f>
        <v>24852.800000000003</v>
      </c>
      <c r="W12" s="391">
        <f t="shared" si="4"/>
        <v>0</v>
      </c>
      <c r="Y12" s="409">
        <f t="shared" si="6"/>
        <v>39813</v>
      </c>
      <c r="Z12" s="435">
        <f ca="1">HLOOKUP(Y12,'Financial Statements'!$C$31:$V$43,13)</f>
        <v>0.52145606891854657</v>
      </c>
      <c r="AA12" s="404">
        <f t="shared" ca="1" si="5"/>
        <v>1</v>
      </c>
      <c r="AB12" s="404"/>
      <c r="AC12" s="404"/>
      <c r="AD12" s="404"/>
      <c r="AE12" s="406"/>
    </row>
    <row r="13" spans="2:31">
      <c r="B13" s="248">
        <v>36951</v>
      </c>
      <c r="C13" s="251">
        <f>VLOOKUP(B13,'Company Gas Prices'!$B$25:$C$259,2)</f>
        <v>3.8354166699999999</v>
      </c>
      <c r="D13" s="250">
        <f>VLOOKUP(B13,'Fuel Curve'!$B$7:$F$268,5)</f>
        <v>5.0262068965517255</v>
      </c>
      <c r="E13" s="250">
        <f t="shared" si="0"/>
        <v>1.1907902265517256</v>
      </c>
      <c r="G13" s="248">
        <v>36951</v>
      </c>
      <c r="H13" s="250">
        <f>VLOOKUP(G13,'Company Power Prices'!$B$25:$C$259,2)</f>
        <v>41.817346350000001</v>
      </c>
      <c r="I13" s="250">
        <f>VLOOKUP(G13,'Super Peak Curve Simulation'!$B$4:$C$225,2)</f>
        <v>31.104955302906035</v>
      </c>
      <c r="J13" s="252">
        <f t="shared" si="1"/>
        <v>-10.712391047093966</v>
      </c>
      <c r="L13" s="248">
        <v>36951</v>
      </c>
      <c r="M13" s="250">
        <f>IF($L$1=1,VLOOKUP(L13,'Super Peak Curve Simulation'!$B$7:$N$225,12),VLOOKUP(L13,'PJM Curve Simulation'!$B$9:$J$246,9))</f>
        <v>25.575000762939453</v>
      </c>
      <c r="N13" s="250">
        <f t="shared" si="2"/>
        <v>50.213762154733814</v>
      </c>
      <c r="P13" s="250">
        <f>IF($L$1=1,VLOOKUP(L13,'Fuel Curve'!$B$7:$H$246,7),VLOOKUP(L13,'Revenues &amp; Expenses'!$K$9:$S$246,9))</f>
        <v>48.146035862068977</v>
      </c>
      <c r="Q13" s="250">
        <f>'Revenues &amp; Expenses'!$AM$5*1000*'Revenues &amp; Expenses'!O21</f>
        <v>2.0677262926648394</v>
      </c>
      <c r="S13" s="247">
        <f t="shared" si="3"/>
        <v>0</v>
      </c>
      <c r="T13" s="247">
        <f>'Revenues &amp; Expenses'!$S$3</f>
        <v>310.66000000000003</v>
      </c>
      <c r="U13" s="391">
        <f>T13*'Revenues &amp; Expenses'!F21*4</f>
        <v>27338.080000000002</v>
      </c>
      <c r="W13" s="391">
        <f t="shared" si="4"/>
        <v>0</v>
      </c>
      <c r="Y13" s="409">
        <f t="shared" si="6"/>
        <v>40178.25</v>
      </c>
      <c r="Z13" s="435">
        <f ca="1">HLOOKUP(Y13,'Financial Statements'!$C$31:$V$43,13)</f>
        <v>0.56955453062379047</v>
      </c>
      <c r="AA13" s="404">
        <f t="shared" ca="1" si="5"/>
        <v>1</v>
      </c>
      <c r="AB13" s="404"/>
      <c r="AC13" s="404"/>
      <c r="AD13" s="404"/>
      <c r="AE13" s="406"/>
    </row>
    <row r="14" spans="2:31">
      <c r="B14" s="248">
        <v>36982</v>
      </c>
      <c r="C14" s="251">
        <f>VLOOKUP(B14,'Company Gas Prices'!$B$25:$C$259,2)</f>
        <v>3.98020833</v>
      </c>
      <c r="D14" s="250">
        <f>VLOOKUP(B14,'Fuel Curve'!$B$7:$F$268,5)</f>
        <v>4.8777586206896553</v>
      </c>
      <c r="E14" s="250">
        <f t="shared" si="0"/>
        <v>0.89755029068965531</v>
      </c>
      <c r="G14" s="248">
        <v>36982</v>
      </c>
      <c r="H14" s="250">
        <f>VLOOKUP(G14,'Company Power Prices'!$B$25:$C$259,2)</f>
        <v>45.644802769999998</v>
      </c>
      <c r="I14" s="250">
        <f>VLOOKUP(G14,'Super Peak Curve Simulation'!$B$4:$C$225,2)</f>
        <v>29.011316442349415</v>
      </c>
      <c r="J14" s="252">
        <f t="shared" si="1"/>
        <v>-16.633486327650584</v>
      </c>
      <c r="L14" s="248">
        <v>36982</v>
      </c>
      <c r="M14" s="250">
        <f>IF($L$1=1,VLOOKUP(L14,'Super Peak Curve Simulation'!$B$7:$N$225,12),VLOOKUP(L14,'PJM Curve Simulation'!$B$9:$J$246,9))</f>
        <v>25.575000762939453</v>
      </c>
      <c r="N14" s="250">
        <f t="shared" si="2"/>
        <v>48.79637190514638</v>
      </c>
      <c r="P14" s="250">
        <f>IF($L$1=1,VLOOKUP(L14,'Fuel Curve'!$B$7:$H$246,7),VLOOKUP(L14,'Revenues &amp; Expenses'!$K$9:$S$246,9))</f>
        <v>46.724049827586207</v>
      </c>
      <c r="Q14" s="250">
        <f>'Revenues &amp; Expenses'!$AM$5*1000*'Revenues &amp; Expenses'!O22</f>
        <v>2.0723220775601763</v>
      </c>
      <c r="S14" s="247">
        <f t="shared" si="3"/>
        <v>0</v>
      </c>
      <c r="T14" s="247">
        <f>'Revenues &amp; Expenses'!$S$3</f>
        <v>310.66000000000003</v>
      </c>
      <c r="U14" s="391">
        <f>T14*'Revenues &amp; Expenses'!F22*4</f>
        <v>26095.440000000002</v>
      </c>
      <c r="W14" s="391">
        <f t="shared" si="4"/>
        <v>0</v>
      </c>
      <c r="Y14" s="409">
        <f t="shared" si="6"/>
        <v>40543.5</v>
      </c>
      <c r="Z14" s="435">
        <f ca="1">HLOOKUP(Y14,'Financial Statements'!$C$31:$V$43,13)</f>
        <v>0.60507678630198303</v>
      </c>
      <c r="AA14" s="404">
        <f t="shared" ca="1" si="5"/>
        <v>1</v>
      </c>
      <c r="AB14" s="404"/>
      <c r="AC14" s="404"/>
      <c r="AD14" s="404"/>
      <c r="AE14" s="406"/>
    </row>
    <row r="15" spans="2:31">
      <c r="B15" s="248">
        <v>37012</v>
      </c>
      <c r="C15" s="251">
        <f>VLOOKUP(B15,'Company Gas Prices'!$B$25:$C$259,2)</f>
        <v>3.8177083299999999</v>
      </c>
      <c r="D15" s="250">
        <f>VLOOKUP(B15,'Fuel Curve'!$B$7:$F$268,5)</f>
        <v>4.7655172413793103</v>
      </c>
      <c r="E15" s="250">
        <f t="shared" si="0"/>
        <v>0.94780891137931045</v>
      </c>
      <c r="G15" s="248">
        <v>37012</v>
      </c>
      <c r="H15" s="250">
        <f>VLOOKUP(G15,'Company Power Prices'!$B$25:$C$259,2)</f>
        <v>58.689083459999999</v>
      </c>
      <c r="I15" s="250">
        <f>VLOOKUP(G15,'Super Peak Curve Simulation'!$B$4:$C$225,2)</f>
        <v>33.894704276056729</v>
      </c>
      <c r="J15" s="252">
        <f t="shared" si="1"/>
        <v>-24.794379183943271</v>
      </c>
      <c r="L15" s="248">
        <v>37012</v>
      </c>
      <c r="M15" s="250">
        <f>IF($L$1=1,VLOOKUP(L15,'Super Peak Curve Simulation'!$B$7:$N$225,12),VLOOKUP(L15,'PJM Curve Simulation'!$B$9:$J$246,9))</f>
        <v>30.875</v>
      </c>
      <c r="N15" s="250">
        <f t="shared" si="2"/>
        <v>47.725817732344872</v>
      </c>
      <c r="P15" s="250">
        <f>IF($L$1=1,VLOOKUP(L15,'Fuel Curve'!$B$7:$H$246,7),VLOOKUP(L15,'Revenues &amp; Expenses'!$K$9:$S$246,9))</f>
        <v>45.648889655172411</v>
      </c>
      <c r="Q15" s="250">
        <f>'Revenues &amp; Expenses'!$AM$5*1000*'Revenues &amp; Expenses'!O23</f>
        <v>2.0769280771724605</v>
      </c>
      <c r="S15" s="247">
        <f t="shared" si="3"/>
        <v>0</v>
      </c>
      <c r="T15" s="247">
        <f>'Revenues &amp; Expenses'!$S$3</f>
        <v>310.66000000000003</v>
      </c>
      <c r="U15" s="391">
        <f>T15*'Revenues &amp; Expenses'!F23*4</f>
        <v>28580.720000000001</v>
      </c>
      <c r="W15" s="391">
        <f t="shared" si="4"/>
        <v>0</v>
      </c>
      <c r="Y15" s="409">
        <f t="shared" si="6"/>
        <v>40908.75</v>
      </c>
      <c r="Z15" s="435">
        <f ca="1">HLOOKUP(Y15,'Financial Statements'!$C$31:$V$43,13)</f>
        <v>0.62473473246597278</v>
      </c>
      <c r="AA15" s="404">
        <f t="shared" ca="1" si="5"/>
        <v>1</v>
      </c>
      <c r="AB15" s="404"/>
      <c r="AC15" s="404"/>
      <c r="AD15" s="404"/>
      <c r="AE15" s="406"/>
    </row>
    <row r="16" spans="2:31">
      <c r="B16" s="248">
        <v>37043</v>
      </c>
      <c r="C16" s="251">
        <f>VLOOKUP(B16,'Company Gas Prices'!$B$25:$C$259,2)</f>
        <v>3.8093750000000002</v>
      </c>
      <c r="D16" s="250">
        <f>VLOOKUP(B16,'Fuel Curve'!$B$7:$F$268,5)</f>
        <v>4.7220689655172423</v>
      </c>
      <c r="E16" s="250">
        <f t="shared" si="0"/>
        <v>0.91269396551724213</v>
      </c>
      <c r="G16" s="248">
        <v>37043</v>
      </c>
      <c r="H16" s="250">
        <f>VLOOKUP(G16,'Company Power Prices'!$B$25:$C$259,2)</f>
        <v>109.2786763</v>
      </c>
      <c r="I16" s="250">
        <f>VLOOKUP(G16,'Super Peak Curve Simulation'!$B$4:$C$225,2)</f>
        <v>68.300361326435493</v>
      </c>
      <c r="J16" s="252">
        <f t="shared" si="1"/>
        <v>-40.978314973564508</v>
      </c>
      <c r="L16" s="248">
        <v>37043</v>
      </c>
      <c r="M16" s="250">
        <f>IF($L$1=1,VLOOKUP(L16,'Super Peak Curve Simulation'!$B$7:$N$225,12),VLOOKUP(L16,'PJM Curve Simulation'!$B$9:$J$246,9))</f>
        <v>55.349998474121094</v>
      </c>
      <c r="N16" s="250">
        <f t="shared" si="2"/>
        <v>47.314242934894864</v>
      </c>
      <c r="P16" s="250">
        <f>IF($L$1=1,VLOOKUP(L16,'Fuel Curve'!$B$7:$H$246,7),VLOOKUP(L16,'Revenues &amp; Expenses'!$K$9:$S$246,9))</f>
        <v>45.232698620689661</v>
      </c>
      <c r="Q16" s="250">
        <f>'Revenues &amp; Expenses'!$AM$5*1000*'Revenues &amp; Expenses'!O24</f>
        <v>2.0815443142052006</v>
      </c>
      <c r="S16" s="247">
        <f t="shared" si="3"/>
        <v>1</v>
      </c>
      <c r="T16" s="247">
        <f>'Revenues &amp; Expenses'!$S$3</f>
        <v>310.66000000000003</v>
      </c>
      <c r="U16" s="391">
        <f>T16*'Revenues &amp; Expenses'!F24*4</f>
        <v>26095.440000000002</v>
      </c>
      <c r="W16" s="391">
        <f t="shared" si="4"/>
        <v>209696.57652854576</v>
      </c>
      <c r="Y16" s="409">
        <f t="shared" si="6"/>
        <v>41274</v>
      </c>
      <c r="Z16" s="435">
        <f ca="1">HLOOKUP(Y16,'Financial Statements'!$C$31:$V$43,13)</f>
        <v>0.65752062096212816</v>
      </c>
      <c r="AA16" s="404">
        <f t="shared" ca="1" si="5"/>
        <v>1</v>
      </c>
      <c r="AB16" s="404"/>
      <c r="AC16" s="404"/>
      <c r="AD16" s="404"/>
      <c r="AE16" s="406"/>
    </row>
    <row r="17" spans="2:31">
      <c r="B17" s="248">
        <v>37073</v>
      </c>
      <c r="C17" s="251">
        <f>VLOOKUP(B17,'Company Gas Prices'!$B$25:$C$259,2)</f>
        <v>3.7718750000000001</v>
      </c>
      <c r="D17" s="250">
        <f>VLOOKUP(B17,'Fuel Curve'!$B$7:$F$268,5)</f>
        <v>4.746724137931035</v>
      </c>
      <c r="E17" s="250">
        <f t="shared" si="0"/>
        <v>0.97484913793103489</v>
      </c>
      <c r="G17" s="248">
        <v>37073</v>
      </c>
      <c r="H17" s="250">
        <f>VLOOKUP(G17,'Company Power Prices'!$B$25:$C$259,2)</f>
        <v>177.48117289999999</v>
      </c>
      <c r="I17" s="250">
        <f>VLOOKUP(G17,'Super Peak Curve Simulation'!$B$4:$C$225,2)</f>
        <v>126.97345532605712</v>
      </c>
      <c r="J17" s="252">
        <f t="shared" si="1"/>
        <v>-50.50771757394287</v>
      </c>
      <c r="L17" s="248">
        <v>37073</v>
      </c>
      <c r="M17" s="250">
        <f>IF($L$1=1,VLOOKUP(L17,'Super Peak Curve Simulation'!$B$7:$N$225,12),VLOOKUP(L17,'PJM Curve Simulation'!$B$9:$J$246,9))</f>
        <v>96.699996948242188</v>
      </c>
      <c r="N17" s="250">
        <f t="shared" si="2"/>
        <v>47.555041328653751</v>
      </c>
      <c r="P17" s="250">
        <f>IF($L$1=1,VLOOKUP(L17,'Fuel Curve'!$B$7:$H$246,7),VLOOKUP(L17,'Revenues &amp; Expenses'!$K$9:$S$246,9))</f>
        <v>45.468870517241385</v>
      </c>
      <c r="Q17" s="250">
        <f>'Revenues &amp; Expenses'!$AM$5*1000*'Revenues &amp; Expenses'!O25</f>
        <v>2.0861708114123672</v>
      </c>
      <c r="S17" s="247">
        <f t="shared" si="3"/>
        <v>1</v>
      </c>
      <c r="T17" s="247">
        <f>'Revenues &amp; Expenses'!$S$3</f>
        <v>310.66000000000003</v>
      </c>
      <c r="U17" s="391">
        <f>T17*'Revenues &amp; Expenses'!F25*4</f>
        <v>27338.080000000002</v>
      </c>
      <c r="W17" s="391">
        <f t="shared" si="4"/>
        <v>1343528.7283247584</v>
      </c>
      <c r="Y17" s="409">
        <f t="shared" si="6"/>
        <v>41639.25</v>
      </c>
      <c r="Z17" s="435">
        <f ca="1">HLOOKUP(Y17,'Financial Statements'!$C$31:$V$43,13)</f>
        <v>0.70195215327140303</v>
      </c>
      <c r="AA17" s="404">
        <f t="shared" ca="1" si="5"/>
        <v>1</v>
      </c>
      <c r="AB17" s="404"/>
      <c r="AC17" s="404"/>
      <c r="AD17" s="404"/>
      <c r="AE17" s="406"/>
    </row>
    <row r="18" spans="2:31">
      <c r="B18" s="248">
        <v>37104</v>
      </c>
      <c r="C18" s="251">
        <f>VLOOKUP(B18,'Company Gas Prices'!$B$25:$C$259,2)</f>
        <v>3.7718750000000001</v>
      </c>
      <c r="D18" s="250">
        <f>VLOOKUP(B18,'Fuel Curve'!$B$7:$F$268,5)</f>
        <v>4.8075862068965529</v>
      </c>
      <c r="E18" s="250">
        <f t="shared" si="0"/>
        <v>1.0357112068965528</v>
      </c>
      <c r="G18" s="248">
        <v>37104</v>
      </c>
      <c r="H18" s="250">
        <f>VLOOKUP(G18,'Company Power Prices'!$B$25:$C$259,2)</f>
        <v>177.48117289999999</v>
      </c>
      <c r="I18" s="250">
        <f>VLOOKUP(G18,'Super Peak Curve Simulation'!$B$4:$C$225,2)</f>
        <v>102.72834513780963</v>
      </c>
      <c r="J18" s="252">
        <f t="shared" si="1"/>
        <v>-74.752827762190364</v>
      </c>
      <c r="L18" s="248">
        <v>37104</v>
      </c>
      <c r="M18" s="250">
        <f>IF($L$1=1,VLOOKUP(L18,'Super Peak Curve Simulation'!$B$7:$N$225,12),VLOOKUP(L18,'PJM Curve Simulation'!$B$9:$J$246,9))</f>
        <v>83.699996948242188</v>
      </c>
      <c r="N18" s="250">
        <f t="shared" si="2"/>
        <v>48.142675867460582</v>
      </c>
      <c r="P18" s="250">
        <f>IF($L$1=1,VLOOKUP(L18,'Fuel Curve'!$B$7:$H$246,7),VLOOKUP(L18,'Revenues &amp; Expenses'!$K$9:$S$246,9))</f>
        <v>46.051868275862077</v>
      </c>
      <c r="Q18" s="250">
        <f>'Revenues &amp; Expenses'!$AM$5*1000*'Revenues &amp; Expenses'!O26</f>
        <v>2.0908075915985034</v>
      </c>
      <c r="S18" s="247">
        <f t="shared" si="3"/>
        <v>1</v>
      </c>
      <c r="T18" s="247">
        <f>'Revenues &amp; Expenses'!$S$3</f>
        <v>310.66000000000003</v>
      </c>
      <c r="U18" s="391">
        <f>T18*'Revenues &amp; Expenses'!F26*4</f>
        <v>28580.720000000001</v>
      </c>
      <c r="W18" s="391">
        <f t="shared" si="4"/>
        <v>1016253.8377599164</v>
      </c>
      <c r="Y18" s="409">
        <f t="shared" si="6"/>
        <v>42004.5</v>
      </c>
      <c r="Z18" s="435">
        <f ca="1">HLOOKUP(Y18,'Financial Statements'!$C$31:$V$43,13)</f>
        <v>0.73079245210027322</v>
      </c>
      <c r="AA18" s="404">
        <f t="shared" ca="1" si="5"/>
        <v>1</v>
      </c>
      <c r="AB18" s="404"/>
      <c r="AC18" s="404"/>
      <c r="AD18" s="404"/>
      <c r="AE18" s="406"/>
    </row>
    <row r="19" spans="2:31">
      <c r="B19" s="248">
        <v>37135</v>
      </c>
      <c r="C19" s="251">
        <f>VLOOKUP(B19,'Company Gas Prices'!$B$25:$C$259,2)</f>
        <v>3.8177083299999999</v>
      </c>
      <c r="D19" s="250">
        <f>VLOOKUP(B19,'Fuel Curve'!$B$7:$F$268,5)</f>
        <v>4.8770689655172426</v>
      </c>
      <c r="E19" s="250">
        <f t="shared" si="0"/>
        <v>1.0593606355172427</v>
      </c>
      <c r="G19" s="248">
        <v>37135</v>
      </c>
      <c r="H19" s="250">
        <f>VLOOKUP(G19,'Company Power Prices'!$B$25:$C$259,2)</f>
        <v>58.689083459999999</v>
      </c>
      <c r="I19" s="250">
        <f>VLOOKUP(G19,'Super Peak Curve Simulation'!$B$4:$C$225,2)</f>
        <v>37.799761114469234</v>
      </c>
      <c r="J19" s="252">
        <f t="shared" si="1"/>
        <v>-20.889322345530765</v>
      </c>
      <c r="L19" s="248">
        <v>37135</v>
      </c>
      <c r="M19" s="250">
        <f>IF($L$1=1,VLOOKUP(L19,'Super Peak Curve Simulation'!$B$7:$N$225,12),VLOOKUP(L19,'PJM Curve Simulation'!$B$9:$J$246,9))</f>
        <v>32.724998474121094</v>
      </c>
      <c r="N19" s="250">
        <f t="shared" si="2"/>
        <v>48.812898298308504</v>
      </c>
      <c r="P19" s="250">
        <f>IF($L$1=1,VLOOKUP(L19,'Fuel Curve'!$B$7:$H$246,7),VLOOKUP(L19,'Revenues &amp; Expenses'!$K$9:$S$246,9))</f>
        <v>46.717443620689664</v>
      </c>
      <c r="Q19" s="250">
        <f>'Revenues &amp; Expenses'!$AM$5*1000*'Revenues &amp; Expenses'!O27</f>
        <v>2.0954546776188394</v>
      </c>
      <c r="S19" s="247">
        <f t="shared" si="3"/>
        <v>0</v>
      </c>
      <c r="T19" s="247">
        <f>'Revenues &amp; Expenses'!$S$3</f>
        <v>310.66000000000003</v>
      </c>
      <c r="U19" s="391">
        <f>T19*'Revenues &amp; Expenses'!F27*4</f>
        <v>24852.800000000003</v>
      </c>
      <c r="W19" s="391">
        <f t="shared" si="4"/>
        <v>0</v>
      </c>
      <c r="Y19" s="409">
        <f t="shared" si="6"/>
        <v>42369.75</v>
      </c>
      <c r="Z19" s="435">
        <f ca="1">HLOOKUP(Y19,'Financial Statements'!$C$31:$V$43,13)</f>
        <v>0.74653729755464737</v>
      </c>
      <c r="AA19" s="404">
        <f t="shared" ca="1" si="5"/>
        <v>1</v>
      </c>
      <c r="AB19" s="404"/>
      <c r="AC19" s="404"/>
      <c r="AD19" s="404"/>
      <c r="AE19" s="406"/>
    </row>
    <row r="20" spans="2:31">
      <c r="B20" s="248">
        <v>37165</v>
      </c>
      <c r="C20" s="251">
        <f>VLOOKUP(B20,'Company Gas Prices'!$B$25:$C$259,2)</f>
        <v>3.7781250000000002</v>
      </c>
      <c r="D20" s="250">
        <f>VLOOKUP(B20,'Fuel Curve'!$B$7:$F$268,5)</f>
        <v>4.9436206896551731</v>
      </c>
      <c r="E20" s="250">
        <f t="shared" si="0"/>
        <v>1.1654956896551729</v>
      </c>
      <c r="G20" s="248">
        <v>37165</v>
      </c>
      <c r="H20" s="250">
        <f>VLOOKUP(G20,'Company Power Prices'!$B$25:$C$259,2)</f>
        <v>45.789530360000001</v>
      </c>
      <c r="I20" s="250">
        <f>VLOOKUP(G20,'Super Peak Curve Simulation'!$B$4:$C$225,2)</f>
        <v>30.807163573122022</v>
      </c>
      <c r="J20" s="252">
        <f t="shared" si="1"/>
        <v>-14.982366786877979</v>
      </c>
      <c r="L20" s="248">
        <v>37165</v>
      </c>
      <c r="M20" s="250">
        <f>IF($L$1=1,VLOOKUP(L20,'Super Peak Curve Simulation'!$B$7:$N$225,12),VLOOKUP(L20,'PJM Curve Simulation'!$B$9:$J$246,9))</f>
        <v>26.225000381469727</v>
      </c>
      <c r="N20" s="250">
        <f t="shared" si="2"/>
        <v>49.455054678586308</v>
      </c>
      <c r="P20" s="250">
        <f>IF($L$1=1,VLOOKUP(L20,'Fuel Curve'!$B$7:$H$246,7),VLOOKUP(L20,'Revenues &amp; Expenses'!$K$9:$S$246,9))</f>
        <v>47.354942586206903</v>
      </c>
      <c r="Q20" s="250">
        <f>'Revenues &amp; Expenses'!$AM$5*1000*'Revenues &amp; Expenses'!O28</f>
        <v>2.100112092379403</v>
      </c>
      <c r="S20" s="247">
        <f t="shared" si="3"/>
        <v>0</v>
      </c>
      <c r="T20" s="247">
        <f>'Revenues &amp; Expenses'!$S$3</f>
        <v>310.66000000000003</v>
      </c>
      <c r="U20" s="391">
        <f>T20*'Revenues &amp; Expenses'!F28*4</f>
        <v>28580.720000000001</v>
      </c>
      <c r="W20" s="391">
        <f t="shared" si="4"/>
        <v>0</v>
      </c>
      <c r="Y20" s="409">
        <f t="shared" si="6"/>
        <v>42735</v>
      </c>
      <c r="Z20" s="435">
        <f ca="1">HLOOKUP(Y20,'Financial Statements'!$C$31:$V$43,13)</f>
        <v>0.77872033999721901</v>
      </c>
      <c r="AA20" s="404">
        <f t="shared" ca="1" si="5"/>
        <v>1</v>
      </c>
      <c r="AB20" s="404"/>
      <c r="AC20" s="404"/>
      <c r="AD20" s="404"/>
      <c r="AE20" s="406"/>
    </row>
    <row r="21" spans="2:31">
      <c r="B21" s="248">
        <v>37196</v>
      </c>
      <c r="C21" s="251">
        <f>VLOOKUP(B21,'Company Gas Prices'!$B$25:$C$259,2)</f>
        <v>3.7781250000000002</v>
      </c>
      <c r="D21" s="250">
        <f>VLOOKUP(B21,'Fuel Curve'!$B$7:$F$268,5)</f>
        <v>5.0060344827586212</v>
      </c>
      <c r="E21" s="250">
        <f t="shared" si="0"/>
        <v>1.227909482758621</v>
      </c>
      <c r="G21" s="248">
        <v>37196</v>
      </c>
      <c r="H21" s="250">
        <f>VLOOKUP(G21,'Company Power Prices'!$B$25:$C$259,2)</f>
        <v>49.629084890000001</v>
      </c>
      <c r="I21" s="250">
        <f>VLOOKUP(G21,'Super Peak Curve Simulation'!$B$4:$C$225,2)</f>
        <v>30.839389347267151</v>
      </c>
      <c r="J21" s="252">
        <f t="shared" si="1"/>
        <v>-18.789695542732851</v>
      </c>
      <c r="L21" s="248">
        <v>37196</v>
      </c>
      <c r="M21" s="250">
        <f>IF($L$1=1,VLOOKUP(L21,'Super Peak Curve Simulation'!$B$7:$N$225,12),VLOOKUP(L21,'PJM Curve Simulation'!$B$9:$J$246,9))</f>
        <v>25.897499084472656</v>
      </c>
      <c r="N21" s="250">
        <f t="shared" si="2"/>
        <v>50.057584169181965</v>
      </c>
      <c r="P21" s="250">
        <f>IF($L$1=1,VLOOKUP(L21,'Fuel Curve'!$B$7:$H$246,7),VLOOKUP(L21,'Revenues &amp; Expenses'!$K$9:$S$246,9))</f>
        <v>47.952804310344831</v>
      </c>
      <c r="Q21" s="250">
        <f>'Revenues &amp; Expenses'!$AM$5*1000*'Revenues &amp; Expenses'!O29</f>
        <v>2.1047798588371349</v>
      </c>
      <c r="S21" s="247">
        <f t="shared" si="3"/>
        <v>0</v>
      </c>
      <c r="T21" s="247">
        <f>'Revenues &amp; Expenses'!$S$3</f>
        <v>310.66000000000003</v>
      </c>
      <c r="U21" s="391">
        <f>T21*'Revenues &amp; Expenses'!F29*4</f>
        <v>27338.080000000002</v>
      </c>
      <c r="W21" s="391">
        <f t="shared" si="4"/>
        <v>0</v>
      </c>
      <c r="Y21" s="409">
        <f t="shared" si="6"/>
        <v>43100.25</v>
      </c>
      <c r="Z21" s="435">
        <f ca="1">HLOOKUP(Y21,'Financial Statements'!$C$31:$V$43,13)</f>
        <v>0.82542858391311313</v>
      </c>
      <c r="AA21" s="404">
        <f t="shared" ca="1" si="5"/>
        <v>1</v>
      </c>
      <c r="AB21" s="404"/>
      <c r="AC21" s="404"/>
      <c r="AD21" s="404"/>
      <c r="AE21" s="406"/>
    </row>
    <row r="22" spans="2:31">
      <c r="B22" s="248">
        <v>37226</v>
      </c>
      <c r="C22" s="251">
        <f>VLOOKUP(B22,'Company Gas Prices'!$B$25:$C$259,2)</f>
        <v>3.7781250000000002</v>
      </c>
      <c r="D22" s="250">
        <f>VLOOKUP(B22,'Fuel Curve'!$B$7:$F$268,5)</f>
        <v>5.0284482758620692</v>
      </c>
      <c r="E22" s="250">
        <f t="shared" si="0"/>
        <v>1.250323275862069</v>
      </c>
      <c r="G22" s="248">
        <v>37226</v>
      </c>
      <c r="H22" s="250">
        <f>VLOOKUP(G22,'Company Power Prices'!$B$25:$C$259,2)</f>
        <v>49.629084890000001</v>
      </c>
      <c r="I22" s="250">
        <f>VLOOKUP(G22,'Super Peak Curve Simulation'!$B$4:$C$225,2)</f>
        <v>33.344901106602272</v>
      </c>
      <c r="J22" s="252">
        <f t="shared" si="1"/>
        <v>-16.284183783397729</v>
      </c>
      <c r="L22" s="248">
        <v>37226</v>
      </c>
      <c r="M22" s="250">
        <f>IF($L$1=1,VLOOKUP(L22,'Super Peak Curve Simulation'!$B$7:$N$225,12),VLOOKUP(L22,'PJM Curve Simulation'!$B$9:$J$246,9))</f>
        <v>27.649999618530273</v>
      </c>
      <c r="N22" s="250">
        <f t="shared" si="2"/>
        <v>50.276964034482752</v>
      </c>
      <c r="P22" s="250">
        <f>IF($L$1=1,VLOOKUP(L22,'Fuel Curve'!$B$7:$H$246,7),VLOOKUP(L22,'Revenues &amp; Expenses'!$K$9:$S$246,9))</f>
        <v>48.167506034482756</v>
      </c>
      <c r="Q22" s="250">
        <f>'Revenues &amp; Expenses'!$AM$5*1000*'Revenues &amp; Expenses'!O30</f>
        <v>2.1094579999999996</v>
      </c>
      <c r="S22" s="247">
        <f t="shared" si="3"/>
        <v>0</v>
      </c>
      <c r="T22" s="247">
        <f>'Revenues &amp; Expenses'!$S$3</f>
        <v>310.66000000000003</v>
      </c>
      <c r="U22" s="391">
        <f>T22*'Revenues &amp; Expenses'!F30*4</f>
        <v>26095.440000000002</v>
      </c>
      <c r="W22" s="391">
        <f t="shared" si="4"/>
        <v>0</v>
      </c>
      <c r="Y22" s="409">
        <f t="shared" si="6"/>
        <v>43465.5</v>
      </c>
      <c r="Z22" s="435">
        <f ca="1">HLOOKUP(Y22,'Financial Statements'!$C$31:$V$43,13)</f>
        <v>0.85213888493154044</v>
      </c>
      <c r="AA22" s="404">
        <f t="shared" ca="1" si="5"/>
        <v>1</v>
      </c>
      <c r="AB22" s="404"/>
      <c r="AC22" s="404"/>
      <c r="AD22" s="404"/>
      <c r="AE22" s="406"/>
    </row>
    <row r="23" spans="2:31">
      <c r="B23" s="248">
        <v>37257</v>
      </c>
      <c r="C23" s="251">
        <f>VLOOKUP(B23,'Company Gas Prices'!$B$25:$C$259,2)</f>
        <v>3.8354166699999999</v>
      </c>
      <c r="D23" s="250">
        <f>VLOOKUP(B23,'Fuel Curve'!$B$7:$F$268,5)</f>
        <v>4.9798275862068975</v>
      </c>
      <c r="E23" s="250">
        <f t="shared" si="0"/>
        <v>1.1444109162068976</v>
      </c>
      <c r="G23" s="248">
        <v>37257</v>
      </c>
      <c r="H23" s="250">
        <f>VLOOKUP(G23,'Company Power Prices'!$B$25:$C$259,2)</f>
        <v>49.292064809999999</v>
      </c>
      <c r="I23" s="250">
        <f>VLOOKUP(G23,'Super Peak Curve Simulation'!$B$4:$C$225,2)</f>
        <v>43.867938109475716</v>
      </c>
      <c r="J23" s="252">
        <f t="shared" si="1"/>
        <v>-5.4241267005242833</v>
      </c>
      <c r="L23" s="248">
        <v>37257</v>
      </c>
      <c r="M23" s="250">
        <f>IF($L$1=1,VLOOKUP(L23,'Super Peak Curve Simulation'!$B$7:$N$225,12),VLOOKUP(L23,'PJM Curve Simulation'!$B$9:$J$246,9))</f>
        <v>35.774998474121091</v>
      </c>
      <c r="N23" s="250">
        <f t="shared" si="2"/>
        <v>49.815914987202973</v>
      </c>
      <c r="P23" s="250">
        <f>IF($L$1=1,VLOOKUP(L23,'Fuel Curve'!$B$7:$H$246,7),VLOOKUP(L23,'Revenues &amp; Expenses'!$K$9:$S$246,9))</f>
        <v>47.701768448275871</v>
      </c>
      <c r="Q23" s="250">
        <f>'Revenues &amp; Expenses'!$AM$5*1000*'Revenues &amp; Expenses'!O31</f>
        <v>2.1141465389270997</v>
      </c>
      <c r="S23" s="247">
        <f t="shared" si="3"/>
        <v>0</v>
      </c>
      <c r="T23" s="247">
        <f>'Revenues &amp; Expenses'!$S$3</f>
        <v>310.66000000000003</v>
      </c>
      <c r="U23" s="391">
        <f>T23*'Revenues &amp; Expenses'!F31*4</f>
        <v>28580.720000000001</v>
      </c>
      <c r="W23" s="391">
        <f t="shared" si="4"/>
        <v>0</v>
      </c>
      <c r="Y23" s="409">
        <f t="shared" si="6"/>
        <v>43830.75</v>
      </c>
      <c r="Z23" s="435">
        <f ca="1">HLOOKUP(Y23,'Financial Statements'!$C$31:$V$43,13)</f>
        <v>0.82119832296289741</v>
      </c>
      <c r="AA23" s="404">
        <f t="shared" ca="1" si="5"/>
        <v>1</v>
      </c>
      <c r="AB23" s="404"/>
      <c r="AC23" s="404"/>
      <c r="AD23" s="404"/>
      <c r="AE23" s="406"/>
    </row>
    <row r="24" spans="2:31">
      <c r="B24" s="248">
        <v>37288</v>
      </c>
      <c r="C24" s="251">
        <f>VLOOKUP(B24,'Company Gas Prices'!$B$25:$C$259,2)</f>
        <v>3.8354166699999999</v>
      </c>
      <c r="D24" s="250">
        <f>VLOOKUP(B24,'Fuel Curve'!$B$7:$F$268,5)</f>
        <v>4.8625862068965526</v>
      </c>
      <c r="E24" s="250">
        <f t="shared" si="0"/>
        <v>1.0271695368965528</v>
      </c>
      <c r="G24" s="248">
        <v>37288</v>
      </c>
      <c r="H24" s="250">
        <f>VLOOKUP(G24,'Company Power Prices'!$B$25:$C$259,2)</f>
        <v>41.748309280000001</v>
      </c>
      <c r="I24" s="250">
        <f>VLOOKUP(G24,'Super Peak Curve Simulation'!$B$4:$C$225,2)</f>
        <v>43.867938109475716</v>
      </c>
      <c r="J24" s="252">
        <f t="shared" si="1"/>
        <v>2.1196288294757153</v>
      </c>
      <c r="L24" s="248">
        <v>37288</v>
      </c>
      <c r="M24" s="250">
        <f>IF($L$1=1,VLOOKUP(L24,'Super Peak Curve Simulation'!$B$7:$N$225,12),VLOOKUP(L24,'PJM Curve Simulation'!$B$9:$J$246,9))</f>
        <v>35.774998474121091</v>
      </c>
      <c r="N24" s="250">
        <f t="shared" si="2"/>
        <v>48.697558774590867</v>
      </c>
      <c r="P24" s="250">
        <f>IF($L$1=1,VLOOKUP(L24,'Fuel Curve'!$B$7:$H$246,7),VLOOKUP(L24,'Revenues &amp; Expenses'!$K$9:$S$246,9))</f>
        <v>46.578713275862079</v>
      </c>
      <c r="Q24" s="250">
        <f>'Revenues &amp; Expenses'!$AM$5*1000*'Revenues &amp; Expenses'!O32</f>
        <v>2.1188454987287897</v>
      </c>
      <c r="S24" s="247">
        <f t="shared" si="3"/>
        <v>0</v>
      </c>
      <c r="T24" s="247">
        <f>'Revenues &amp; Expenses'!$S$3</f>
        <v>310.66000000000003</v>
      </c>
      <c r="U24" s="391">
        <f>T24*'Revenues &amp; Expenses'!F32*4</f>
        <v>24852.800000000003</v>
      </c>
      <c r="W24" s="391">
        <f t="shared" si="4"/>
        <v>0</v>
      </c>
      <c r="Y24" s="409"/>
      <c r="Z24" s="410"/>
      <c r="AA24" s="404"/>
      <c r="AB24" s="404"/>
      <c r="AC24" s="404"/>
      <c r="AD24" s="404"/>
      <c r="AE24" s="406"/>
    </row>
    <row r="25" spans="2:31">
      <c r="B25" s="248">
        <v>37316</v>
      </c>
      <c r="C25" s="251">
        <f>VLOOKUP(B25,'Company Gas Prices'!$B$25:$C$259,2)</f>
        <v>3.8354166699999999</v>
      </c>
      <c r="D25" s="250">
        <f>VLOOKUP(B25,'Fuel Curve'!$B$7:$F$268,5)</f>
        <v>4.7481034482758622</v>
      </c>
      <c r="E25" s="250">
        <f t="shared" si="0"/>
        <v>0.91268677827586231</v>
      </c>
      <c r="G25" s="248">
        <v>37316</v>
      </c>
      <c r="H25" s="250">
        <f>VLOOKUP(G25,'Company Power Prices'!$B$25:$C$259,2)</f>
        <v>41.748309280000001</v>
      </c>
      <c r="I25" s="250">
        <f>VLOOKUP(G25,'Super Peak Curve Simulation'!$B$4:$C$225,2)</f>
        <v>31.469822802906034</v>
      </c>
      <c r="J25" s="252">
        <f t="shared" si="1"/>
        <v>-10.278486477093967</v>
      </c>
      <c r="L25" s="248">
        <v>37316</v>
      </c>
      <c r="M25" s="250">
        <f>IF($L$1=1,VLOOKUP(L25,'Super Peak Curve Simulation'!$B$7:$N$225,12),VLOOKUP(L25,'PJM Curve Simulation'!$B$9:$J$246,9))</f>
        <v>25.875000762939454</v>
      </c>
      <c r="N25" s="250">
        <f t="shared" si="2"/>
        <v>47.605637833601271</v>
      </c>
      <c r="P25" s="250">
        <f>IF($L$1=1,VLOOKUP(L25,'Fuel Curve'!$B$7:$H$246,7),VLOOKUP(L25,'Revenues &amp; Expenses'!$K$9:$S$246,9))</f>
        <v>45.482082931034483</v>
      </c>
      <c r="Q25" s="250">
        <f>'Revenues &amp; Expenses'!$AM$5*1000*'Revenues &amp; Expenses'!O33</f>
        <v>2.1235549025667901</v>
      </c>
      <c r="S25" s="247">
        <f t="shared" si="3"/>
        <v>0</v>
      </c>
      <c r="T25" s="247">
        <f>'Revenues &amp; Expenses'!$S$3</f>
        <v>310.66000000000003</v>
      </c>
      <c r="U25" s="391">
        <f>T25*'Revenues &amp; Expenses'!F33*4</f>
        <v>26095.440000000002</v>
      </c>
      <c r="W25" s="391">
        <f t="shared" si="4"/>
        <v>0</v>
      </c>
      <c r="Y25" s="411"/>
      <c r="Z25" s="417"/>
      <c r="AA25" s="412"/>
      <c r="AB25" s="412"/>
      <c r="AC25" s="412"/>
      <c r="AD25" s="412"/>
      <c r="AE25" s="413"/>
    </row>
    <row r="26" spans="2:31">
      <c r="B26" s="248">
        <v>37347</v>
      </c>
      <c r="C26" s="251">
        <f>VLOOKUP(B26,'Company Gas Prices'!$B$25:$C$259,2)</f>
        <v>3.98020833</v>
      </c>
      <c r="D26" s="250">
        <f>VLOOKUP(B26,'Fuel Curve'!$B$7:$F$268,5)</f>
        <v>4.6351724137931045</v>
      </c>
      <c r="E26" s="250">
        <f t="shared" si="0"/>
        <v>0.65496408379310456</v>
      </c>
      <c r="G26" s="248">
        <v>37347</v>
      </c>
      <c r="H26" s="250">
        <f>VLOOKUP(G26,'Company Power Prices'!$B$25:$C$259,2)</f>
        <v>45.906999220000003</v>
      </c>
      <c r="I26" s="250">
        <f>VLOOKUP(G26,'Super Peak Curve Simulation'!$B$4:$C$225,2)</f>
        <v>29.238188900428785</v>
      </c>
      <c r="J26" s="252">
        <f t="shared" si="1"/>
        <v>-16.668810319571218</v>
      </c>
      <c r="L26" s="248">
        <v>37347</v>
      </c>
      <c r="M26" s="250">
        <f>IF($L$1=1,VLOOKUP(L26,'Super Peak Curve Simulation'!$B$7:$N$225,12),VLOOKUP(L26,'PJM Curve Simulation'!$B$9:$J$246,9))</f>
        <v>25.775000762939452</v>
      </c>
      <c r="N26" s="250">
        <f t="shared" si="2"/>
        <v>46.528591325378457</v>
      </c>
      <c r="P26" s="250">
        <f>IF($L$1=1,VLOOKUP(L26,'Fuel Curve'!$B$7:$H$246,7),VLOOKUP(L26,'Revenues &amp; Expenses'!$K$9:$S$246,9))</f>
        <v>44.400316551724153</v>
      </c>
      <c r="Q26" s="250">
        <f>'Revenues &amp; Expenses'!$AM$5*1000*'Revenues &amp; Expenses'!O34</f>
        <v>2.1282747736543008</v>
      </c>
      <c r="S26" s="247">
        <f t="shared" si="3"/>
        <v>0</v>
      </c>
      <c r="T26" s="247">
        <f>'Revenues &amp; Expenses'!$S$3</f>
        <v>310.66000000000003</v>
      </c>
      <c r="U26" s="391">
        <f>T26*'Revenues &amp; Expenses'!F34*4</f>
        <v>27338.080000000002</v>
      </c>
      <c r="W26" s="391">
        <f t="shared" si="4"/>
        <v>0</v>
      </c>
      <c r="Y26" s="398"/>
    </row>
    <row r="27" spans="2:31">
      <c r="B27" s="248">
        <v>37377</v>
      </c>
      <c r="C27" s="251">
        <f>VLOOKUP(B27,'Company Gas Prices'!$B$25:$C$259,2)</f>
        <v>3.8177083299999999</v>
      </c>
      <c r="D27" s="250">
        <f>VLOOKUP(B27,'Fuel Curve'!$B$7:$F$268,5)</f>
        <v>4.5525862068965521</v>
      </c>
      <c r="E27" s="250">
        <f t="shared" si="0"/>
        <v>0.73487787689655226</v>
      </c>
      <c r="G27" s="248">
        <v>37377</v>
      </c>
      <c r="H27" s="250">
        <f>VLOOKUP(G27,'Company Power Prices'!$B$25:$C$259,2)</f>
        <v>58.100821000000003</v>
      </c>
      <c r="I27" s="250">
        <f>VLOOKUP(G27,'Super Peak Curve Simulation'!$B$4:$C$225,2)</f>
        <v>33.894704276056729</v>
      </c>
      <c r="J27" s="252">
        <f t="shared" si="1"/>
        <v>-24.206116723943275</v>
      </c>
      <c r="L27" s="248">
        <v>37377</v>
      </c>
      <c r="M27" s="250">
        <f>IF($L$1=1,VLOOKUP(L27,'Super Peak Curve Simulation'!$B$7:$N$225,12),VLOOKUP(L27,'PJM Curve Simulation'!$B$9:$J$246,9))</f>
        <v>30.875</v>
      </c>
      <c r="N27" s="250">
        <f t="shared" si="2"/>
        <v>45.742228411118191</v>
      </c>
      <c r="P27" s="250">
        <f>IF($L$1=1,VLOOKUP(L27,'Fuel Curve'!$B$7:$H$246,7),VLOOKUP(L27,'Revenues &amp; Expenses'!$K$9:$S$246,9))</f>
        <v>43.609223275862071</v>
      </c>
      <c r="Q27" s="250">
        <f>'Revenues &amp; Expenses'!$AM$5*1000*'Revenues &amp; Expenses'!O35</f>
        <v>2.1330051352561168</v>
      </c>
      <c r="S27" s="247">
        <f t="shared" si="3"/>
        <v>0</v>
      </c>
      <c r="T27" s="247">
        <f>'Revenues &amp; Expenses'!$S$3</f>
        <v>310.66000000000003</v>
      </c>
      <c r="U27" s="391">
        <f>T27*'Revenues &amp; Expenses'!F35*4</f>
        <v>28580.720000000001</v>
      </c>
      <c r="W27" s="391">
        <f t="shared" si="4"/>
        <v>0</v>
      </c>
      <c r="Y27" s="398"/>
    </row>
    <row r="28" spans="2:31">
      <c r="B28" s="248">
        <v>37408</v>
      </c>
      <c r="C28" s="251">
        <f>VLOOKUP(B28,'Company Gas Prices'!$B$25:$C$259,2)</f>
        <v>3.8093750000000002</v>
      </c>
      <c r="D28" s="250">
        <f>VLOOKUP(B28,'Fuel Curve'!$B$7:$F$268,5)</f>
        <v>4.5317241379310351</v>
      </c>
      <c r="E28" s="250">
        <f t="shared" si="0"/>
        <v>0.72234913793103495</v>
      </c>
      <c r="G28" s="248">
        <v>37408</v>
      </c>
      <c r="H28" s="250">
        <f>VLOOKUP(G28,'Company Power Prices'!$B$25:$C$259,2)</f>
        <v>107.4110546</v>
      </c>
      <c r="I28" s="250">
        <f>VLOOKUP(G28,'Super Peak Curve Simulation'!$B$4:$C$225,2)</f>
        <v>67.683375208916715</v>
      </c>
      <c r="J28" s="252">
        <f t="shared" si="1"/>
        <v>-39.727679391083285</v>
      </c>
      <c r="L28" s="248">
        <v>37408</v>
      </c>
      <c r="M28" s="250">
        <f>IF($L$1=1,VLOOKUP(L28,'Super Peak Curve Simulation'!$B$7:$N$225,12),VLOOKUP(L28,'PJM Curve Simulation'!$B$9:$J$246,9))</f>
        <v>54.849998474121094</v>
      </c>
      <c r="N28" s="250">
        <f t="shared" si="2"/>
        <v>45.547131527930127</v>
      </c>
      <c r="P28" s="250">
        <f>IF($L$1=1,VLOOKUP(L28,'Fuel Curve'!$B$7:$H$246,7),VLOOKUP(L28,'Revenues &amp; Expenses'!$K$9:$S$246,9))</f>
        <v>43.409385517241383</v>
      </c>
      <c r="Q28" s="250">
        <f>'Revenues &amp; Expenses'!$AM$5*1000*'Revenues &amp; Expenses'!O36</f>
        <v>2.1377460106887409</v>
      </c>
      <c r="S28" s="247">
        <f t="shared" si="3"/>
        <v>1</v>
      </c>
      <c r="T28" s="247">
        <f>'Revenues &amp; Expenses'!$S$3</f>
        <v>310.66000000000003</v>
      </c>
      <c r="U28" s="391">
        <f>T28*'Revenues &amp; Expenses'!F36*4</f>
        <v>24852.800000000003</v>
      </c>
      <c r="W28" s="391">
        <f t="shared" si="4"/>
        <v>231202.29164029489</v>
      </c>
    </row>
    <row r="29" spans="2:31">
      <c r="B29" s="248">
        <v>37438</v>
      </c>
      <c r="C29" s="251">
        <f>VLOOKUP(B29,'Company Gas Prices'!$B$25:$C$259,2)</f>
        <v>3.7718750000000001</v>
      </c>
      <c r="D29" s="250">
        <f>VLOOKUP(B29,'Fuel Curve'!$B$7:$F$268,5)</f>
        <v>4.5729310344827594</v>
      </c>
      <c r="E29" s="250">
        <f t="shared" si="0"/>
        <v>0.8010560344827593</v>
      </c>
      <c r="G29" s="248">
        <v>37438</v>
      </c>
      <c r="H29" s="250">
        <f>VLOOKUP(G29,'Company Power Prices'!$B$25:$C$259,2)</f>
        <v>170.2370583</v>
      </c>
      <c r="I29" s="250">
        <f>VLOOKUP(G29,'Super Peak Curve Simulation'!$B$4:$C$225,2)</f>
        <v>124.34732379899991</v>
      </c>
      <c r="J29" s="252">
        <f t="shared" si="1"/>
        <v>-45.889734501000092</v>
      </c>
      <c r="L29" s="248">
        <v>37438</v>
      </c>
      <c r="M29" s="250">
        <f>IF($L$1=1,VLOOKUP(L29,'Super Peak Curve Simulation'!$B$7:$N$225,12),VLOOKUP(L29,'PJM Curve Simulation'!$B$9:$J$246,9))</f>
        <v>94.699996948242188</v>
      </c>
      <c r="N29" s="250">
        <f t="shared" si="2"/>
        <v>45.946603802630854</v>
      </c>
      <c r="P29" s="250">
        <f>IF($L$1=1,VLOOKUP(L29,'Fuel Curve'!$B$7:$H$246,7),VLOOKUP(L29,'Revenues &amp; Expenses'!$K$9:$S$246,9))</f>
        <v>43.804106379310355</v>
      </c>
      <c r="Q29" s="250">
        <f>'Revenues &amp; Expenses'!$AM$5*1000*'Revenues &amp; Expenses'!O37</f>
        <v>2.1424974233205005</v>
      </c>
      <c r="S29" s="247">
        <f t="shared" si="3"/>
        <v>1</v>
      </c>
      <c r="T29" s="247">
        <f>'Revenues &amp; Expenses'!$S$3</f>
        <v>310.66000000000003</v>
      </c>
      <c r="U29" s="391">
        <f>T29*'Revenues &amp; Expenses'!F37*4</f>
        <v>28580.720000000001</v>
      </c>
      <c r="W29" s="391">
        <f t="shared" si="4"/>
        <v>1393407.0785446367</v>
      </c>
    </row>
    <row r="30" spans="2:31">
      <c r="B30" s="248">
        <v>37469</v>
      </c>
      <c r="C30" s="251">
        <f>VLOOKUP(B30,'Company Gas Prices'!$B$25:$C$259,2)</f>
        <v>3.7718750000000001</v>
      </c>
      <c r="D30" s="250">
        <f>VLOOKUP(B30,'Fuel Curve'!$B$7:$F$268,5)</f>
        <v>4.6467241379310344</v>
      </c>
      <c r="E30" s="250">
        <f t="shared" si="0"/>
        <v>0.87484913793103436</v>
      </c>
      <c r="G30" s="248">
        <v>37469</v>
      </c>
      <c r="H30" s="250">
        <f>VLOOKUP(G30,'Company Power Prices'!$B$25:$C$259,2)</f>
        <v>170.2370583</v>
      </c>
      <c r="I30" s="250">
        <f>VLOOKUP(G30,'Super Peak Curve Simulation'!$B$4:$C$225,2)</f>
        <v>100.27366535565065</v>
      </c>
      <c r="J30" s="252">
        <f t="shared" si="1"/>
        <v>-69.963392944349351</v>
      </c>
      <c r="L30" s="248">
        <v>37469</v>
      </c>
      <c r="M30" s="250">
        <f>IF($L$1=1,VLOOKUP(L30,'Super Peak Curve Simulation'!$B$7:$N$225,12),VLOOKUP(L30,'PJM Curve Simulation'!$B$9:$J$246,9))</f>
        <v>81.699996948242188</v>
      </c>
      <c r="N30" s="250">
        <f t="shared" si="2"/>
        <v>46.658229913813045</v>
      </c>
      <c r="P30" s="250">
        <f>IF($L$1=1,VLOOKUP(L30,'Fuel Curve'!$B$7:$H$246,7),VLOOKUP(L30,'Revenues &amp; Expenses'!$K$9:$S$246,9))</f>
        <v>44.510970517241383</v>
      </c>
      <c r="Q30" s="250">
        <f>'Revenues &amp; Expenses'!$AM$5*1000*'Revenues &amp; Expenses'!O38</f>
        <v>2.1472593965716626</v>
      </c>
      <c r="S30" s="247">
        <f t="shared" si="3"/>
        <v>1</v>
      </c>
      <c r="T30" s="247">
        <f>'Revenues &amp; Expenses'!$S$3</f>
        <v>310.66000000000003</v>
      </c>
      <c r="U30" s="391">
        <f>T30*'Revenues &amp; Expenses'!F38*4</f>
        <v>27338.080000000002</v>
      </c>
      <c r="W30" s="391">
        <f t="shared" si="4"/>
        <v>957974.63052858668</v>
      </c>
    </row>
    <row r="31" spans="2:31">
      <c r="B31" s="248">
        <v>37500</v>
      </c>
      <c r="C31" s="251">
        <f>VLOOKUP(B31,'Company Gas Prices'!$B$25:$C$259,2)</f>
        <v>3.8177083299999999</v>
      </c>
      <c r="D31" s="250">
        <f>VLOOKUP(B31,'Fuel Curve'!$B$7:$F$268,5)</f>
        <v>4.7272413793103452</v>
      </c>
      <c r="E31" s="250">
        <f t="shared" si="0"/>
        <v>0.90953304931034529</v>
      </c>
      <c r="G31" s="248">
        <v>37500</v>
      </c>
      <c r="H31" s="250">
        <f>VLOOKUP(G31,'Company Power Prices'!$B$25:$C$259,2)</f>
        <v>58.100821000000003</v>
      </c>
      <c r="I31" s="250">
        <f>VLOOKUP(G31,'Super Peak Curve Simulation'!$B$4:$C$225,2)</f>
        <v>37.915268411266695</v>
      </c>
      <c r="J31" s="252">
        <f t="shared" si="1"/>
        <v>-20.185552588733309</v>
      </c>
      <c r="L31" s="248">
        <v>37500</v>
      </c>
      <c r="M31" s="250">
        <f>IF($L$1=1,VLOOKUP(L31,'Super Peak Curve Simulation'!$B$7:$N$225,12),VLOOKUP(L31,'PJM Curve Simulation'!$B$9:$J$246,9))</f>
        <v>32.824998474121095</v>
      </c>
      <c r="N31" s="250">
        <f t="shared" si="2"/>
        <v>47.43427712632834</v>
      </c>
      <c r="P31" s="250">
        <f>IF($L$1=1,VLOOKUP(L31,'Fuel Curve'!$B$7:$H$246,7),VLOOKUP(L31,'Revenues &amp; Expenses'!$K$9:$S$246,9))</f>
        <v>45.282245172413795</v>
      </c>
      <c r="Q31" s="250">
        <f>'Revenues &amp; Expenses'!$AM$5*1000*'Revenues &amp; Expenses'!O39</f>
        <v>2.1520319539145478</v>
      </c>
      <c r="S31" s="247">
        <f t="shared" si="3"/>
        <v>0</v>
      </c>
      <c r="T31" s="247">
        <f>'Revenues &amp; Expenses'!$S$3</f>
        <v>310.66000000000003</v>
      </c>
      <c r="U31" s="391">
        <f>T31*'Revenues &amp; Expenses'!F39*4</f>
        <v>26095.440000000002</v>
      </c>
      <c r="W31" s="391">
        <f t="shared" si="4"/>
        <v>0</v>
      </c>
    </row>
    <row r="32" spans="2:31">
      <c r="B32" s="248">
        <v>37530</v>
      </c>
      <c r="C32" s="251">
        <f>VLOOKUP(B32,'Company Gas Prices'!$B$25:$C$259,2)</f>
        <v>3.7781250000000002</v>
      </c>
      <c r="D32" s="250">
        <f>VLOOKUP(B32,'Fuel Curve'!$B$7:$F$268,5)</f>
        <v>4.8039655172413802</v>
      </c>
      <c r="E32" s="250">
        <f t="shared" si="0"/>
        <v>1.02584051724138</v>
      </c>
      <c r="G32" s="248">
        <v>37530</v>
      </c>
      <c r="H32" s="250">
        <f>VLOOKUP(G32,'Company Power Prices'!$B$25:$C$259,2)</f>
        <v>46.577470480000002</v>
      </c>
      <c r="I32" s="250">
        <f>VLOOKUP(G32,'Super Peak Curve Simulation'!$B$4:$C$225,2)</f>
        <v>31.100844823122024</v>
      </c>
      <c r="J32" s="252">
        <f t="shared" si="1"/>
        <v>-15.476625656877978</v>
      </c>
      <c r="L32" s="248">
        <v>37530</v>
      </c>
      <c r="M32" s="250">
        <f>IF($L$1=1,VLOOKUP(L32,'Super Peak Curve Simulation'!$B$7:$N$225,12),VLOOKUP(L32,'PJM Curve Simulation'!$B$9:$J$246,9))</f>
        <v>26.475000381469727</v>
      </c>
      <c r="N32" s="250">
        <f t="shared" si="2"/>
        <v>48.174000808528831</v>
      </c>
      <c r="P32" s="250">
        <f>IF($L$1=1,VLOOKUP(L32,'Fuel Curve'!$B$7:$H$246,7),VLOOKUP(L32,'Revenues &amp; Expenses'!$K$9:$S$246,9))</f>
        <v>46.017185689655186</v>
      </c>
      <c r="Q32" s="250">
        <f>'Revenues &amp; Expenses'!$AM$5*1000*'Revenues &amp; Expenses'!O40</f>
        <v>2.1568151188736469</v>
      </c>
      <c r="S32" s="247">
        <f t="shared" si="3"/>
        <v>0</v>
      </c>
      <c r="T32" s="247">
        <f>'Revenues &amp; Expenses'!$S$3</f>
        <v>310.66000000000003</v>
      </c>
      <c r="U32" s="391">
        <f>T32*'Revenues &amp; Expenses'!F40*4</f>
        <v>28580.720000000001</v>
      </c>
      <c r="W32" s="391">
        <f t="shared" si="4"/>
        <v>0</v>
      </c>
    </row>
    <row r="33" spans="2:23">
      <c r="B33" s="248">
        <v>37561</v>
      </c>
      <c r="C33" s="251">
        <f>VLOOKUP(B33,'Company Gas Prices'!$B$25:$C$259,2)</f>
        <v>3.7781250000000002</v>
      </c>
      <c r="D33" s="250">
        <f>VLOOKUP(B33,'Fuel Curve'!$B$7:$F$268,5)</f>
        <v>4.8784482758620697</v>
      </c>
      <c r="E33" s="250">
        <f t="shared" si="0"/>
        <v>1.1003232758620696</v>
      </c>
      <c r="G33" s="248">
        <v>37561</v>
      </c>
      <c r="H33" s="250">
        <f>VLOOKUP(G33,'Company Power Prices'!$B$25:$C$259,2)</f>
        <v>49.842813739999997</v>
      </c>
      <c r="I33" s="250">
        <f>VLOOKUP(G33,'Super Peak Curve Simulation'!$B$4:$C$225,2)</f>
        <v>31.137095597267155</v>
      </c>
      <c r="J33" s="252">
        <f t="shared" si="1"/>
        <v>-18.705718142732842</v>
      </c>
      <c r="L33" s="248">
        <v>37561</v>
      </c>
      <c r="M33" s="250">
        <f>IF($L$1=1,VLOOKUP(L33,'Super Peak Curve Simulation'!$B$7:$N$225,12),VLOOKUP(L33,'PJM Curve Simulation'!$B$9:$J$246,9))</f>
        <v>26.147499084472656</v>
      </c>
      <c r="N33" s="250">
        <f t="shared" si="2"/>
        <v>48.892264949508508</v>
      </c>
      <c r="P33" s="250">
        <f>IF($L$1=1,VLOOKUP(L33,'Fuel Curve'!$B$7:$H$246,7),VLOOKUP(L33,'Revenues &amp; Expenses'!$K$9:$S$246,9))</f>
        <v>46.73065603448277</v>
      </c>
      <c r="Q33" s="250">
        <f>'Revenues &amp; Expenses'!$AM$5*1000*'Revenues &amp; Expenses'!O41</f>
        <v>2.1616089150257376</v>
      </c>
      <c r="S33" s="247">
        <f t="shared" si="3"/>
        <v>0</v>
      </c>
      <c r="T33" s="247">
        <f>'Revenues &amp; Expenses'!$S$3</f>
        <v>310.66000000000003</v>
      </c>
      <c r="U33" s="391">
        <f>T33*'Revenues &amp; Expenses'!F41*4</f>
        <v>26095.440000000002</v>
      </c>
      <c r="W33" s="391">
        <f t="shared" si="4"/>
        <v>0</v>
      </c>
    </row>
    <row r="34" spans="2:23">
      <c r="B34" s="248">
        <v>37591</v>
      </c>
      <c r="C34" s="251">
        <f>VLOOKUP(B34,'Company Gas Prices'!$B$25:$C$259,2)</f>
        <v>3.7781250000000002</v>
      </c>
      <c r="D34" s="250">
        <f>VLOOKUP(B34,'Fuel Curve'!$B$7:$F$268,5)</f>
        <v>4.9096551724137933</v>
      </c>
      <c r="E34" s="250">
        <f t="shared" si="0"/>
        <v>1.1315301724137932</v>
      </c>
      <c r="G34" s="248">
        <v>37591</v>
      </c>
      <c r="H34" s="250">
        <f>VLOOKUP(G34,'Company Power Prices'!$B$25:$C$259,2)</f>
        <v>49.842813739999997</v>
      </c>
      <c r="I34" s="250">
        <f>VLOOKUP(G34,'Super Peak Curve Simulation'!$B$4:$C$225,2)</f>
        <v>33.646392079175875</v>
      </c>
      <c r="J34" s="252">
        <f t="shared" si="1"/>
        <v>-16.196421660824122</v>
      </c>
      <c r="L34" s="248">
        <v>37591</v>
      </c>
      <c r="M34" s="250">
        <f>IF($L$1=1,VLOOKUP(L34,'Super Peak Curve Simulation'!$B$7:$N$225,12),VLOOKUP(L34,'PJM Curve Simulation'!$B$9:$J$246,9))</f>
        <v>27.899999618530273</v>
      </c>
      <c r="N34" s="250">
        <f t="shared" si="2"/>
        <v>49.196000262551728</v>
      </c>
      <c r="P34" s="250">
        <f>IF($L$1=1,VLOOKUP(L34,'Fuel Curve'!$B$7:$H$246,7),VLOOKUP(L34,'Revenues &amp; Expenses'!$K$9:$S$246,9))</f>
        <v>47.029586896551727</v>
      </c>
      <c r="Q34" s="250">
        <f>'Revenues &amp; Expenses'!$AM$5*1000*'Revenues &amp; Expenses'!O42</f>
        <v>2.1664133659999996</v>
      </c>
      <c r="S34" s="247">
        <f t="shared" si="3"/>
        <v>0</v>
      </c>
      <c r="T34" s="247">
        <f>'Revenues &amp; Expenses'!$S$3</f>
        <v>310.66000000000003</v>
      </c>
      <c r="U34" s="391">
        <f>T34*'Revenues &amp; Expenses'!F42*4</f>
        <v>27338.080000000002</v>
      </c>
      <c r="W34" s="391">
        <f t="shared" si="4"/>
        <v>0</v>
      </c>
    </row>
    <row r="35" spans="2:23">
      <c r="B35" s="248">
        <v>37622</v>
      </c>
      <c r="C35" s="251">
        <f>VLOOKUP(B35,'Company Gas Prices'!$B$25:$C$259,2)</f>
        <v>3.8354166699999999</v>
      </c>
      <c r="D35" s="250">
        <f>VLOOKUP(B35,'Fuel Curve'!$B$7:$F$268,5)</f>
        <v>4.8415517241379309</v>
      </c>
      <c r="E35" s="250">
        <f t="shared" si="0"/>
        <v>1.006135054137931</v>
      </c>
      <c r="G35" s="248">
        <v>37622</v>
      </c>
      <c r="H35" s="250">
        <f>VLOOKUP(G35,'Company Power Prices'!$B$25:$C$259,2)</f>
        <v>48.871634270000001</v>
      </c>
      <c r="I35" s="250">
        <f>VLOOKUP(G35,'Super Peak Curve Simulation'!$B$4:$C$225,2)</f>
        <v>44.542357871580379</v>
      </c>
      <c r="J35" s="252">
        <f t="shared" si="1"/>
        <v>-4.3292763984196228</v>
      </c>
      <c r="L35" s="248">
        <v>37622</v>
      </c>
      <c r="M35" s="250">
        <f>IF($L$1=1,VLOOKUP(L35,'Super Peak Curve Simulation'!$B$7:$N$225,12),VLOOKUP(L35,'PJM Curve Simulation'!$B$9:$J$246,9))</f>
        <v>36.324998474121088</v>
      </c>
      <c r="N35" s="250">
        <f t="shared" si="2"/>
        <v>48.548452460995371</v>
      </c>
      <c r="P35" s="250">
        <f>IF($L$1=1,VLOOKUP(L35,'Fuel Curve'!$B$7:$H$246,7),VLOOKUP(L35,'Revenues &amp; Expenses'!$K$9:$S$246,9))</f>
        <v>46.377223965517238</v>
      </c>
      <c r="Q35" s="250">
        <f>'Revenues &amp; Expenses'!$AM$5*1000*'Revenues &amp; Expenses'!O43</f>
        <v>2.1712284954781311</v>
      </c>
      <c r="S35" s="247">
        <f t="shared" si="3"/>
        <v>0</v>
      </c>
      <c r="T35" s="247">
        <f>'Revenues &amp; Expenses'!$S$3</f>
        <v>310.66000000000003</v>
      </c>
      <c r="U35" s="391">
        <f>T35*'Revenues &amp; Expenses'!F43*4</f>
        <v>28580.720000000001</v>
      </c>
      <c r="W35" s="391">
        <f t="shared" si="4"/>
        <v>0</v>
      </c>
    </row>
    <row r="36" spans="2:23">
      <c r="B36" s="248">
        <v>37653</v>
      </c>
      <c r="C36" s="251">
        <f>VLOOKUP(B36,'Company Gas Prices'!$B$25:$C$259,2)</f>
        <v>3.8354166699999999</v>
      </c>
      <c r="D36" s="250">
        <f>VLOOKUP(B36,'Fuel Curve'!$B$7:$F$268,5)</f>
        <v>4.7315517241379323</v>
      </c>
      <c r="E36" s="250">
        <f t="shared" si="0"/>
        <v>0.89613505413793249</v>
      </c>
      <c r="G36" s="248">
        <v>37653</v>
      </c>
      <c r="H36" s="250">
        <f>VLOOKUP(G36,'Company Power Prices'!$B$25:$C$259,2)</f>
        <v>41.724420000000002</v>
      </c>
      <c r="I36" s="250">
        <f>VLOOKUP(G36,'Super Peak Curve Simulation'!$B$4:$C$225,2)</f>
        <v>44.542357871580379</v>
      </c>
      <c r="J36" s="252">
        <f t="shared" si="1"/>
        <v>2.8179378715803765</v>
      </c>
      <c r="L36" s="248">
        <v>37653</v>
      </c>
      <c r="M36" s="250">
        <f>IF($L$1=1,VLOOKUP(L36,'Super Peak Curve Simulation'!$B$7:$N$225,12),VLOOKUP(L36,'PJM Curve Simulation'!$B$9:$J$246,9))</f>
        <v>36.324998474121088</v>
      </c>
      <c r="N36" s="250">
        <f t="shared" si="2"/>
        <v>47.499588292711721</v>
      </c>
      <c r="P36" s="250">
        <f>IF($L$1=1,VLOOKUP(L36,'Fuel Curve'!$B$7:$H$246,7),VLOOKUP(L36,'Revenues &amp; Expenses'!$K$9:$S$246,9))</f>
        <v>45.323533965517257</v>
      </c>
      <c r="Q36" s="250">
        <f>'Revenues &amp; Expenses'!$AM$5*1000*'Revenues &amp; Expenses'!O44</f>
        <v>2.1760543271944668</v>
      </c>
      <c r="S36" s="247">
        <f t="shared" si="3"/>
        <v>0</v>
      </c>
      <c r="T36" s="247">
        <f>'Revenues &amp; Expenses'!$S$3</f>
        <v>310.66000000000003</v>
      </c>
      <c r="U36" s="391">
        <f>T36*'Revenues &amp; Expenses'!F44*4</f>
        <v>24852.800000000003</v>
      </c>
      <c r="W36" s="391">
        <f t="shared" si="4"/>
        <v>0</v>
      </c>
    </row>
    <row r="37" spans="2:23">
      <c r="B37" s="248">
        <v>37681</v>
      </c>
      <c r="C37" s="251">
        <f>VLOOKUP(B37,'Company Gas Prices'!$B$25:$C$259,2)</f>
        <v>3.8354166699999999</v>
      </c>
      <c r="D37" s="250">
        <f>VLOOKUP(B37,'Fuel Curve'!$B$7:$F$268,5)</f>
        <v>4.6222413793103456</v>
      </c>
      <c r="E37" s="250">
        <f t="shared" si="0"/>
        <v>0.78682470931034576</v>
      </c>
      <c r="G37" s="248">
        <v>37681</v>
      </c>
      <c r="H37" s="250">
        <f>VLOOKUP(G37,'Company Power Prices'!$B$25:$C$259,2)</f>
        <v>41.724420000000002</v>
      </c>
      <c r="I37" s="250">
        <f>VLOOKUP(G37,'Super Peak Curve Simulation'!$B$4:$C$225,2)</f>
        <v>31.86509592790604</v>
      </c>
      <c r="J37" s="252">
        <f t="shared" si="1"/>
        <v>-9.8593240720939619</v>
      </c>
      <c r="L37" s="248">
        <v>37681</v>
      </c>
      <c r="M37" s="250">
        <f>IF($L$1=1,VLOOKUP(L37,'Super Peak Curve Simulation'!$B$7:$N$225,12),VLOOKUP(L37,'PJM Curve Simulation'!$B$9:$J$246,9))</f>
        <v>26.200000762939453</v>
      </c>
      <c r="N37" s="250">
        <f t="shared" si="2"/>
        <v>46.457341057349893</v>
      </c>
      <c r="P37" s="250">
        <f>IF($L$1=1,VLOOKUP(L37,'Fuel Curve'!$B$7:$H$246,7),VLOOKUP(L37,'Revenues &amp; Expenses'!$K$9:$S$246,9))</f>
        <v>44.276450172413803</v>
      </c>
      <c r="Q37" s="250">
        <f>'Revenues &amp; Expenses'!$AM$5*1000*'Revenues &amp; Expenses'!O45</f>
        <v>2.1808908849360931</v>
      </c>
      <c r="S37" s="247">
        <f t="shared" si="3"/>
        <v>0</v>
      </c>
      <c r="T37" s="247">
        <f>'Revenues &amp; Expenses'!$S$3</f>
        <v>310.66000000000003</v>
      </c>
      <c r="U37" s="391">
        <f>T37*'Revenues &amp; Expenses'!F45*4</f>
        <v>26095.440000000002</v>
      </c>
      <c r="W37" s="391">
        <f t="shared" si="4"/>
        <v>0</v>
      </c>
    </row>
    <row r="38" spans="2:23">
      <c r="B38" s="248">
        <v>37712</v>
      </c>
      <c r="C38" s="251">
        <f>VLOOKUP(B38,'Company Gas Prices'!$B$25:$C$259,2)</f>
        <v>3.98020833</v>
      </c>
      <c r="D38" s="250">
        <f>VLOOKUP(B38,'Fuel Curve'!$B$7:$F$268,5)</f>
        <v>4.5113793103448279</v>
      </c>
      <c r="E38" s="250">
        <f t="shared" si="0"/>
        <v>0.5311709803448279</v>
      </c>
      <c r="G38" s="248">
        <v>37712</v>
      </c>
      <c r="H38" s="250">
        <f>VLOOKUP(G38,'Company Power Prices'!$B$25:$C$259,2)</f>
        <v>45.99268799</v>
      </c>
      <c r="I38" s="250">
        <f>VLOOKUP(G38,'Super Peak Curve Simulation'!$B$4:$C$225,2)</f>
        <v>29.465061358508159</v>
      </c>
      <c r="J38" s="252">
        <f t="shared" si="1"/>
        <v>-16.527626631491842</v>
      </c>
      <c r="L38" s="248">
        <v>37712</v>
      </c>
      <c r="M38" s="250">
        <f>IF($L$1=1,VLOOKUP(L38,'Super Peak Curve Simulation'!$B$7:$N$225,12),VLOOKUP(L38,'PJM Curve Simulation'!$B$9:$J$246,9))</f>
        <v>25.975000762939452</v>
      </c>
      <c r="N38" s="250">
        <f t="shared" si="2"/>
        <v>45.40024060633607</v>
      </c>
      <c r="P38" s="250">
        <f>IF($L$1=1,VLOOKUP(L38,'Fuel Curve'!$B$7:$H$246,7),VLOOKUP(L38,'Revenues &amp; Expenses'!$K$9:$S$246,9))</f>
        <v>43.214502413793106</v>
      </c>
      <c r="Q38" s="250">
        <f>'Revenues &amp; Expenses'!$AM$5*1000*'Revenues &amp; Expenses'!O46</f>
        <v>2.1857381925429666</v>
      </c>
      <c r="S38" s="247">
        <f t="shared" si="3"/>
        <v>0</v>
      </c>
      <c r="T38" s="247">
        <f>'Revenues &amp; Expenses'!$S$3</f>
        <v>310.66000000000003</v>
      </c>
      <c r="U38" s="391">
        <f>T38*'Revenues &amp; Expenses'!F46*4</f>
        <v>27338.080000000002</v>
      </c>
      <c r="W38" s="391">
        <f t="shared" si="4"/>
        <v>0</v>
      </c>
    </row>
    <row r="39" spans="2:23">
      <c r="B39" s="248">
        <v>37742</v>
      </c>
      <c r="C39" s="251">
        <f>VLOOKUP(B39,'Company Gas Prices'!$B$25:$C$259,2)</f>
        <v>3.8177083299999999</v>
      </c>
      <c r="D39" s="250">
        <f>VLOOKUP(B39,'Fuel Curve'!$B$7:$F$268,5)</f>
        <v>4.4317241379310355</v>
      </c>
      <c r="E39" s="250">
        <f t="shared" si="0"/>
        <v>0.61401580793103561</v>
      </c>
      <c r="G39" s="248">
        <v>37742</v>
      </c>
      <c r="H39" s="250">
        <f>VLOOKUP(G39,'Company Power Prices'!$B$25:$C$259,2)</f>
        <v>57.461687830000002</v>
      </c>
      <c r="I39" s="250">
        <f>VLOOKUP(G39,'Super Peak Curve Simulation'!$B$4:$C$225,2)</f>
        <v>34.004484694764606</v>
      </c>
      <c r="J39" s="252">
        <f t="shared" si="1"/>
        <v>-23.457203135235396</v>
      </c>
      <c r="L39" s="248">
        <v>37742</v>
      </c>
      <c r="M39" s="250">
        <f>IF($L$1=1,VLOOKUP(L39,'Super Peak Curve Simulation'!$B$7:$N$225,12),VLOOKUP(L39,'PJM Curve Simulation'!$B$9:$J$246,9))</f>
        <v>30.975000000000001</v>
      </c>
      <c r="N39" s="250">
        <f t="shared" si="2"/>
        <v>44.642081791149423</v>
      </c>
      <c r="P39" s="250">
        <f>IF($L$1=1,VLOOKUP(L39,'Fuel Curve'!$B$7:$H$246,7),VLOOKUP(L39,'Revenues &amp; Expenses'!$K$9:$S$246,9))</f>
        <v>42.451485517241387</v>
      </c>
      <c r="Q39" s="250">
        <f>'Revenues &amp; Expenses'!$AM$5*1000*'Revenues &amp; Expenses'!O47</f>
        <v>2.1905962739080316</v>
      </c>
      <c r="S39" s="247">
        <f t="shared" si="3"/>
        <v>0</v>
      </c>
      <c r="T39" s="247">
        <f>'Revenues &amp; Expenses'!$S$3</f>
        <v>310.66000000000003</v>
      </c>
      <c r="U39" s="391">
        <f>T39*'Revenues &amp; Expenses'!F47*4</f>
        <v>27338.080000000002</v>
      </c>
      <c r="W39" s="391">
        <f t="shared" si="4"/>
        <v>0</v>
      </c>
    </row>
    <row r="40" spans="2:23">
      <c r="B40" s="248">
        <v>37773</v>
      </c>
      <c r="C40" s="251">
        <f>VLOOKUP(B40,'Company Gas Prices'!$B$25:$C$259,2)</f>
        <v>3.8093750000000002</v>
      </c>
      <c r="D40" s="250">
        <f>VLOOKUP(B40,'Fuel Curve'!$B$7:$F$268,5)</f>
        <v>4.4150000000000009</v>
      </c>
      <c r="E40" s="250">
        <f t="shared" si="0"/>
        <v>0.60562500000000075</v>
      </c>
      <c r="G40" s="248">
        <v>37773</v>
      </c>
      <c r="H40" s="250">
        <f>VLOOKUP(G40,'Company Power Prices'!$B$25:$C$259,2)</f>
        <v>105.2136455</v>
      </c>
      <c r="I40" s="250">
        <f>VLOOKUP(G40,'Super Peak Curve Simulation'!$B$4:$C$225,2)</f>
        <v>67.991868267676097</v>
      </c>
      <c r="J40" s="252">
        <f t="shared" si="1"/>
        <v>-37.221777232323902</v>
      </c>
      <c r="L40" s="248">
        <v>37773</v>
      </c>
      <c r="M40" s="250">
        <f>IF($L$1=1,VLOOKUP(L40,'Super Peak Curve Simulation'!$B$7:$N$225,12),VLOOKUP(L40,'PJM Curve Simulation'!$B$9:$J$246,9))</f>
        <v>55.099998474121094</v>
      </c>
      <c r="N40" s="250">
        <f t="shared" si="2"/>
        <v>44.486750152977343</v>
      </c>
      <c r="P40" s="250">
        <f>IF($L$1=1,VLOOKUP(L40,'Fuel Curve'!$B$7:$H$246,7),VLOOKUP(L40,'Revenues &amp; Expenses'!$K$9:$S$246,9))</f>
        <v>42.291285000000009</v>
      </c>
      <c r="Q40" s="250">
        <f>'Revenues &amp; Expenses'!$AM$5*1000*'Revenues &amp; Expenses'!O48</f>
        <v>2.1954651529773366</v>
      </c>
      <c r="S40" s="247">
        <f t="shared" si="3"/>
        <v>1</v>
      </c>
      <c r="T40" s="247">
        <f>'Revenues &amp; Expenses'!$S$3</f>
        <v>310.66000000000003</v>
      </c>
      <c r="U40" s="391">
        <f>T40*'Revenues &amp; Expenses'!F48*4</f>
        <v>26095.440000000002</v>
      </c>
      <c r="W40" s="391">
        <f t="shared" si="4"/>
        <v>276957.38476950751</v>
      </c>
    </row>
    <row r="41" spans="2:23">
      <c r="B41" s="248">
        <v>37803</v>
      </c>
      <c r="C41" s="251">
        <f>VLOOKUP(B41,'Company Gas Prices'!$B$25:$C$259,2)</f>
        <v>3.7718750000000001</v>
      </c>
      <c r="D41" s="250">
        <f>VLOOKUP(B41,'Fuel Curve'!$B$7:$F$268,5)</f>
        <v>4.4606896551724144</v>
      </c>
      <c r="E41" s="250">
        <f t="shared" si="0"/>
        <v>0.68881465517241436</v>
      </c>
      <c r="G41" s="248">
        <v>37803</v>
      </c>
      <c r="H41" s="250">
        <f>VLOOKUP(G41,'Company Power Prices'!$B$25:$C$259,2)</f>
        <v>165.2013354</v>
      </c>
      <c r="I41" s="250">
        <f>VLOOKUP(G41,'Super Peak Curve Simulation'!$B$4:$C$225,2)</f>
        <v>123.69079091723562</v>
      </c>
      <c r="J41" s="252">
        <f t="shared" si="1"/>
        <v>-41.510544482764388</v>
      </c>
      <c r="L41" s="248">
        <v>37803</v>
      </c>
      <c r="M41" s="250">
        <f>IF($L$1=1,VLOOKUP(L41,'Super Peak Curve Simulation'!$B$7:$N$225,12),VLOOKUP(L41,'PJM Curve Simulation'!$B$9:$J$246,9))</f>
        <v>94.199996948242188</v>
      </c>
      <c r="N41" s="250">
        <f t="shared" si="2"/>
        <v>44.929291060646712</v>
      </c>
      <c r="P41" s="250">
        <f>IF($L$1=1,VLOOKUP(L41,'Fuel Curve'!$B$7:$H$246,7),VLOOKUP(L41,'Revenues &amp; Expenses'!$K$9:$S$246,9))</f>
        <v>42.728946206896559</v>
      </c>
      <c r="Q41" s="250">
        <f>'Revenues &amp; Expenses'!$AM$5*1000*'Revenues &amp; Expenses'!O49</f>
        <v>2.200344853750154</v>
      </c>
      <c r="S41" s="247">
        <f t="shared" si="3"/>
        <v>1</v>
      </c>
      <c r="T41" s="247">
        <f>'Revenues &amp; Expenses'!$S$3</f>
        <v>310.66000000000003</v>
      </c>
      <c r="U41" s="391">
        <f>T41*'Revenues &amp; Expenses'!F49*4</f>
        <v>28580.720000000001</v>
      </c>
      <c r="W41" s="391">
        <f t="shared" si="4"/>
        <v>1408192.2491757178</v>
      </c>
    </row>
    <row r="42" spans="2:23">
      <c r="B42" s="248">
        <v>37834</v>
      </c>
      <c r="C42" s="251">
        <f>VLOOKUP(B42,'Company Gas Prices'!$B$25:$C$259,2)</f>
        <v>3.7718750000000001</v>
      </c>
      <c r="D42" s="250">
        <f>VLOOKUP(B42,'Fuel Curve'!$B$7:$F$268,5)</f>
        <v>4.5389655172413796</v>
      </c>
      <c r="E42" s="250">
        <f t="shared" si="0"/>
        <v>0.76709051724137955</v>
      </c>
      <c r="G42" s="248">
        <v>37834</v>
      </c>
      <c r="H42" s="250">
        <f>VLOOKUP(G42,'Company Power Prices'!$B$25:$C$259,2)</f>
        <v>165.2013354</v>
      </c>
      <c r="I42" s="250">
        <f>VLOOKUP(G42,'Super Peak Curve Simulation'!$B$4:$C$225,2)</f>
        <v>99.659995410110895</v>
      </c>
      <c r="J42" s="252">
        <f t="shared" si="1"/>
        <v>-65.54133998988911</v>
      </c>
      <c r="L42" s="248">
        <v>37834</v>
      </c>
      <c r="M42" s="250">
        <f>IF($L$1=1,VLOOKUP(L42,'Super Peak Curve Simulation'!$B$7:$N$225,12),VLOOKUP(L42,'PJM Curve Simulation'!$B$9:$J$246,9))</f>
        <v>81.199996948242188</v>
      </c>
      <c r="N42" s="250">
        <f t="shared" si="2"/>
        <v>45.68398608993428</v>
      </c>
      <c r="P42" s="250">
        <f>IF($L$1=1,VLOOKUP(L42,'Fuel Curve'!$B$7:$H$246,7),VLOOKUP(L42,'Revenues &amp; Expenses'!$K$9:$S$246,9))</f>
        <v>43.478750689655179</v>
      </c>
      <c r="Q42" s="250">
        <f>'Revenues &amp; Expenses'!$AM$5*1000*'Revenues &amp; Expenses'!O50</f>
        <v>2.2052354002790975</v>
      </c>
      <c r="S42" s="247">
        <f t="shared" si="3"/>
        <v>1</v>
      </c>
      <c r="T42" s="247">
        <f>'Revenues &amp; Expenses'!$S$3</f>
        <v>310.66000000000003</v>
      </c>
      <c r="U42" s="391">
        <f>T42*'Revenues &amp; Expenses'!F50*4</f>
        <v>26095.440000000002</v>
      </c>
      <c r="W42" s="391">
        <f t="shared" si="4"/>
        <v>926805.9303923226</v>
      </c>
    </row>
    <row r="43" spans="2:23">
      <c r="B43" s="248">
        <v>37865</v>
      </c>
      <c r="C43" s="251">
        <f>VLOOKUP(B43,'Company Gas Prices'!$B$25:$C$259,2)</f>
        <v>3.8177083299999999</v>
      </c>
      <c r="D43" s="250">
        <f>VLOOKUP(B43,'Fuel Curve'!$B$7:$F$268,5)</f>
        <v>4.6236206896551728</v>
      </c>
      <c r="E43" s="250">
        <f t="shared" si="0"/>
        <v>0.80591235965517294</v>
      </c>
      <c r="G43" s="248">
        <v>37865</v>
      </c>
      <c r="H43" s="250">
        <f>VLOOKUP(G43,'Company Power Prices'!$B$25:$C$259,2)</f>
        <v>57.461687830000002</v>
      </c>
      <c r="I43" s="250">
        <f>VLOOKUP(G43,'Super Peak Curve Simulation'!$B$4:$C$225,2)</f>
        <v>38.204036653260367</v>
      </c>
      <c r="J43" s="252">
        <f t="shared" si="1"/>
        <v>-19.257651176739635</v>
      </c>
      <c r="L43" s="248">
        <v>37865</v>
      </c>
      <c r="M43" s="250">
        <f>IF($L$1=1,VLOOKUP(L43,'Super Peak Curve Simulation'!$B$7:$N$225,12),VLOOKUP(L43,'PJM Curve Simulation'!$B$9:$J$246,9))</f>
        <v>33.074998474121095</v>
      </c>
      <c r="N43" s="250">
        <f t="shared" si="2"/>
        <v>46.499799402877137</v>
      </c>
      <c r="P43" s="250">
        <f>IF($L$1=1,VLOOKUP(L43,'Fuel Curve'!$B$7:$H$246,7),VLOOKUP(L43,'Revenues &amp; Expenses'!$K$9:$S$246,9))</f>
        <v>44.289662586206894</v>
      </c>
      <c r="Q43" s="250">
        <f>'Revenues &amp; Expenses'!$AM$5*1000*'Revenues &amp; Expenses'!O51</f>
        <v>2.2101368166702402</v>
      </c>
      <c r="S43" s="247">
        <f t="shared" si="3"/>
        <v>0</v>
      </c>
      <c r="T43" s="247">
        <f>'Revenues &amp; Expenses'!$S$3</f>
        <v>310.66000000000003</v>
      </c>
      <c r="U43" s="391">
        <f>T43*'Revenues &amp; Expenses'!F51*4</f>
        <v>27338.080000000002</v>
      </c>
      <c r="W43" s="391">
        <f t="shared" si="4"/>
        <v>0</v>
      </c>
    </row>
    <row r="44" spans="2:23">
      <c r="B44" s="248">
        <v>37895</v>
      </c>
      <c r="C44" s="251">
        <f>VLOOKUP(B44,'Company Gas Prices'!$B$25:$C$259,2)</f>
        <v>3.7781250000000002</v>
      </c>
      <c r="D44" s="250">
        <f>VLOOKUP(B44,'Fuel Curve'!$B$7:$F$268,5)</f>
        <v>4.7039655172413806</v>
      </c>
      <c r="E44" s="250">
        <f t="shared" si="0"/>
        <v>0.92584051724138039</v>
      </c>
      <c r="G44" s="248">
        <v>37895</v>
      </c>
      <c r="H44" s="250">
        <f>VLOOKUP(G44,'Company Power Prices'!$B$25:$C$259,2)</f>
        <v>47.031459339999998</v>
      </c>
      <c r="I44" s="250">
        <f>VLOOKUP(G44,'Super Peak Curve Simulation'!$B$4:$C$225,2)</f>
        <v>31.394526073122023</v>
      </c>
      <c r="J44" s="252">
        <f t="shared" si="1"/>
        <v>-15.636933266877975</v>
      </c>
      <c r="L44" s="248">
        <v>37895</v>
      </c>
      <c r="M44" s="250">
        <f>IF($L$1=1,VLOOKUP(L44,'Super Peak Curve Simulation'!$B$7:$N$225,12),VLOOKUP(L44,'PJM Curve Simulation'!$B$9:$J$246,9))</f>
        <v>26.725000381469727</v>
      </c>
      <c r="N44" s="250">
        <f t="shared" si="2"/>
        <v>47.274334816738417</v>
      </c>
      <c r="P44" s="250">
        <f>IF($L$1=1,VLOOKUP(L44,'Fuel Curve'!$B$7:$H$246,7),VLOOKUP(L44,'Revenues &amp; Expenses'!$K$9:$S$246,9))</f>
        <v>45.059285689655184</v>
      </c>
      <c r="Q44" s="250">
        <f>'Revenues &amp; Expenses'!$AM$5*1000*'Revenues &amp; Expenses'!O52</f>
        <v>2.2150491270832351</v>
      </c>
      <c r="S44" s="247">
        <f t="shared" si="3"/>
        <v>0</v>
      </c>
      <c r="T44" s="247">
        <f>'Revenues &amp; Expenses'!$S$3</f>
        <v>310.66000000000003</v>
      </c>
      <c r="U44" s="391">
        <f>T44*'Revenues &amp; Expenses'!F52*4</f>
        <v>28580.720000000001</v>
      </c>
      <c r="W44" s="391">
        <f t="shared" si="4"/>
        <v>0</v>
      </c>
    </row>
    <row r="45" spans="2:23">
      <c r="B45" s="248">
        <v>37926</v>
      </c>
      <c r="C45" s="251">
        <f>VLOOKUP(B45,'Company Gas Prices'!$B$25:$C$259,2)</f>
        <v>3.7781250000000002</v>
      </c>
      <c r="D45" s="250">
        <f>VLOOKUP(B45,'Fuel Curve'!$B$7:$F$268,5)</f>
        <v>4.783620689655173</v>
      </c>
      <c r="E45" s="250">
        <f t="shared" si="0"/>
        <v>1.0054956896551728</v>
      </c>
      <c r="G45" s="248">
        <v>37926</v>
      </c>
      <c r="H45" s="250">
        <f>VLOOKUP(G45,'Company Power Prices'!$B$25:$C$259,2)</f>
        <v>50.00419986</v>
      </c>
      <c r="I45" s="250">
        <f>VLOOKUP(G45,'Super Peak Curve Simulation'!$B$4:$C$225,2)</f>
        <v>31.434801847267153</v>
      </c>
      <c r="J45" s="252">
        <f t="shared" si="1"/>
        <v>-18.569398012732847</v>
      </c>
      <c r="L45" s="248">
        <v>37926</v>
      </c>
      <c r="M45" s="250">
        <f>IF($L$1=1,VLOOKUP(L45,'Super Peak Curve Simulation'!$B$7:$N$225,12),VLOOKUP(L45,'PJM Curve Simulation'!$B$9:$J$246,9))</f>
        <v>26.397499084472656</v>
      </c>
      <c r="N45" s="250">
        <f t="shared" si="2"/>
        <v>48.042274941938331</v>
      </c>
      <c r="P45" s="250">
        <f>IF($L$1=1,VLOOKUP(L45,'Fuel Curve'!$B$7:$H$246,7),VLOOKUP(L45,'Revenues &amp; Expenses'!$K$9:$S$246,9))</f>
        <v>45.822302586206902</v>
      </c>
      <c r="Q45" s="250">
        <f>'Revenues &amp; Expenses'!$AM$5*1000*'Revenues &amp; Expenses'!O53</f>
        <v>2.2199723557314321</v>
      </c>
      <c r="S45" s="247">
        <f t="shared" si="3"/>
        <v>0</v>
      </c>
      <c r="T45" s="247">
        <f>'Revenues &amp; Expenses'!$S$3</f>
        <v>310.66000000000003</v>
      </c>
      <c r="U45" s="391">
        <f>T45*'Revenues &amp; Expenses'!F53*4</f>
        <v>24852.800000000003</v>
      </c>
      <c r="W45" s="391">
        <f t="shared" si="4"/>
        <v>0</v>
      </c>
    </row>
    <row r="46" spans="2:23">
      <c r="B46" s="248">
        <v>37956</v>
      </c>
      <c r="C46" s="251">
        <f>VLOOKUP(B46,'Company Gas Prices'!$B$25:$C$259,2)</f>
        <v>3.7781250000000002</v>
      </c>
      <c r="D46" s="250">
        <f>VLOOKUP(B46,'Fuel Curve'!$B$7:$F$268,5)</f>
        <v>4.8205172413793109</v>
      </c>
      <c r="E46" s="250">
        <f t="shared" si="0"/>
        <v>1.0423922413793107</v>
      </c>
      <c r="G46" s="248">
        <v>37956</v>
      </c>
      <c r="H46" s="250">
        <f>VLOOKUP(G46,'Company Power Prices'!$B$25:$C$259,2)</f>
        <v>50.00419986</v>
      </c>
      <c r="I46" s="250">
        <f>VLOOKUP(G46,'Super Peak Curve Simulation'!$B$4:$C$225,2)</f>
        <v>33.947883051749486</v>
      </c>
      <c r="J46" s="252">
        <f t="shared" si="1"/>
        <v>-16.056316808250514</v>
      </c>
      <c r="L46" s="248">
        <v>37956</v>
      </c>
      <c r="M46" s="250">
        <f>IF($L$1=1,VLOOKUP(L46,'Super Peak Curve Simulation'!$B$7:$N$225,12),VLOOKUP(L46,'PJM Curve Simulation'!$B$9:$J$246,9))</f>
        <v>28.149999618530273</v>
      </c>
      <c r="N46" s="250">
        <f t="shared" si="2"/>
        <v>48.400641182054422</v>
      </c>
      <c r="P46" s="250">
        <f>IF($L$1=1,VLOOKUP(L46,'Fuel Curve'!$B$7:$H$246,7),VLOOKUP(L46,'Revenues &amp; Expenses'!$K$9:$S$246,9))</f>
        <v>46.17573465517242</v>
      </c>
      <c r="Q46" s="250">
        <f>'Revenues &amp; Expenses'!$AM$5*1000*'Revenues &amp; Expenses'!O54</f>
        <v>2.2249065268819992</v>
      </c>
      <c r="S46" s="247">
        <f t="shared" si="3"/>
        <v>0</v>
      </c>
      <c r="T46" s="247">
        <f>'Revenues &amp; Expenses'!$S$3</f>
        <v>310.66000000000003</v>
      </c>
      <c r="U46" s="391">
        <f>T46*'Revenues &amp; Expenses'!F54*4</f>
        <v>28580.720000000001</v>
      </c>
      <c r="W46" s="391">
        <f t="shared" si="4"/>
        <v>0</v>
      </c>
    </row>
    <row r="47" spans="2:23">
      <c r="B47" s="248">
        <v>37987</v>
      </c>
      <c r="C47" s="251">
        <f>VLOOKUP(B47,'Company Gas Prices'!$B$25:$C$259,2)</f>
        <v>3.8354166699999999</v>
      </c>
      <c r="D47" s="250">
        <f>VLOOKUP(B47,'Fuel Curve'!$B$7:$F$268,5)</f>
        <v>4.7582758620689658</v>
      </c>
      <c r="E47" s="250">
        <f t="shared" si="0"/>
        <v>0.92285919206896594</v>
      </c>
      <c r="G47" s="248">
        <v>37987</v>
      </c>
      <c r="H47" s="250">
        <f>VLOOKUP(G47,'Company Power Prices'!$B$25:$C$259,2)</f>
        <v>48.114296760000002</v>
      </c>
      <c r="I47" s="250">
        <f>VLOOKUP(G47,'Super Peak Curve Simulation'!$B$4:$C$225,2)</f>
        <v>45.155466746220995</v>
      </c>
      <c r="J47" s="252">
        <f t="shared" si="1"/>
        <v>-2.9588300137790071</v>
      </c>
      <c r="L47" s="248">
        <v>37987</v>
      </c>
      <c r="M47" s="250">
        <f>IF($L$1=1,VLOOKUP(L47,'Super Peak Curve Simulation'!$B$7:$N$225,12),VLOOKUP(L47,'PJM Curve Simulation'!$B$9:$J$246,9))</f>
        <v>36.824998474121088</v>
      </c>
      <c r="N47" s="250">
        <f t="shared" si="2"/>
        <v>47.809376147614664</v>
      </c>
      <c r="P47" s="250">
        <f>IF($L$1=1,VLOOKUP(L47,'Fuel Curve'!$B$7:$H$246,7),VLOOKUP(L47,'Revenues &amp; Expenses'!$K$9:$S$246,9))</f>
        <v>45.579524482758622</v>
      </c>
      <c r="Q47" s="250">
        <f>'Revenues &amp; Expenses'!$AM$5*1000*'Revenues &amp; Expenses'!O55</f>
        <v>2.2298516648560405</v>
      </c>
      <c r="S47" s="247">
        <f t="shared" si="3"/>
        <v>0</v>
      </c>
      <c r="T47" s="247">
        <f>'Revenues &amp; Expenses'!$S$3</f>
        <v>310.66000000000003</v>
      </c>
      <c r="U47" s="391">
        <f>T47*'Revenues &amp; Expenses'!F55*4</f>
        <v>27338.080000000002</v>
      </c>
      <c r="W47" s="391">
        <f t="shared" si="4"/>
        <v>0</v>
      </c>
    </row>
    <row r="48" spans="2:23">
      <c r="B48" s="248">
        <v>38018</v>
      </c>
      <c r="C48" s="251">
        <f>VLOOKUP(B48,'Company Gas Prices'!$B$25:$C$259,2)</f>
        <v>3.8354166699999999</v>
      </c>
      <c r="D48" s="250">
        <f>VLOOKUP(B48,'Fuel Curve'!$B$7:$F$268,5)</f>
        <v>4.6539655172413807</v>
      </c>
      <c r="E48" s="250">
        <f t="shared" si="0"/>
        <v>0.81854884724138088</v>
      </c>
      <c r="G48" s="248">
        <v>38018</v>
      </c>
      <c r="H48" s="250">
        <f>VLOOKUP(G48,'Company Power Prices'!$B$25:$C$259,2)</f>
        <v>41.790971169999999</v>
      </c>
      <c r="I48" s="250">
        <f>VLOOKUP(G48,'Super Peak Curve Simulation'!$B$4:$C$225,2)</f>
        <v>45.155466746220995</v>
      </c>
      <c r="J48" s="252">
        <f t="shared" si="1"/>
        <v>3.364495576220996</v>
      </c>
      <c r="L48" s="248">
        <v>38018</v>
      </c>
      <c r="M48" s="250">
        <f>IF($L$1=1,VLOOKUP(L48,'Super Peak Curve Simulation'!$B$7:$N$225,12),VLOOKUP(L48,'PJM Curve Simulation'!$B$9:$J$246,9))</f>
        <v>36.824998474121088</v>
      </c>
      <c r="N48" s="250">
        <f t="shared" si="2"/>
        <v>46.815143483683904</v>
      </c>
      <c r="P48" s="250">
        <f>IF($L$1=1,VLOOKUP(L48,'Fuel Curve'!$B$7:$H$246,7),VLOOKUP(L48,'Revenues &amp; Expenses'!$K$9:$S$246,9))</f>
        <v>44.580335689655186</v>
      </c>
      <c r="Q48" s="250">
        <f>'Revenues &amp; Expenses'!$AM$5*1000*'Revenues &amp; Expenses'!O56</f>
        <v>2.2348077940287174</v>
      </c>
      <c r="S48" s="247">
        <f t="shared" si="3"/>
        <v>0</v>
      </c>
      <c r="T48" s="247">
        <f>'Revenues &amp; Expenses'!$S$3</f>
        <v>310.66000000000003</v>
      </c>
      <c r="U48" s="391">
        <f>T48*'Revenues &amp; Expenses'!F56*4</f>
        <v>24852.800000000003</v>
      </c>
      <c r="W48" s="391">
        <f t="shared" si="4"/>
        <v>0</v>
      </c>
    </row>
    <row r="49" spans="2:23">
      <c r="B49" s="248">
        <v>38047</v>
      </c>
      <c r="C49" s="251">
        <f>VLOOKUP(B49,'Company Gas Prices'!$B$25:$C$259,2)</f>
        <v>3.8354166699999999</v>
      </c>
      <c r="D49" s="250">
        <f>VLOOKUP(B49,'Fuel Curve'!$B$7:$F$268,5)</f>
        <v>4.5505172413793114</v>
      </c>
      <c r="E49" s="250">
        <f t="shared" si="0"/>
        <v>0.71510057137931149</v>
      </c>
      <c r="G49" s="248">
        <v>38047</v>
      </c>
      <c r="H49" s="250">
        <f>VLOOKUP(G49,'Company Power Prices'!$B$25:$C$259,2)</f>
        <v>41.790971169999999</v>
      </c>
      <c r="I49" s="250">
        <f>VLOOKUP(G49,'Super Peak Curve Simulation'!$B$4:$C$225,2)</f>
        <v>32.290774677906036</v>
      </c>
      <c r="J49" s="252">
        <f t="shared" si="1"/>
        <v>-9.5001964920939628</v>
      </c>
      <c r="L49" s="248">
        <v>38047</v>
      </c>
      <c r="M49" s="250">
        <f>IF($L$1=1,VLOOKUP(L49,'Super Peak Curve Simulation'!$B$7:$N$225,12),VLOOKUP(L49,'PJM Curve Simulation'!$B$9:$J$246,9))</f>
        <v>26.550000762939455</v>
      </c>
      <c r="N49" s="250">
        <f t="shared" si="2"/>
        <v>45.829179594001793</v>
      </c>
      <c r="P49" s="250">
        <f>IF($L$1=1,VLOOKUP(L49,'Fuel Curve'!$B$7:$H$246,7),VLOOKUP(L49,'Revenues &amp; Expenses'!$K$9:$S$246,9))</f>
        <v>43.589404655172423</v>
      </c>
      <c r="Q49" s="250">
        <f>'Revenues &amp; Expenses'!$AM$5*1000*'Revenues &amp; Expenses'!O57</f>
        <v>2.2397749388293673</v>
      </c>
      <c r="S49" s="247">
        <f t="shared" si="3"/>
        <v>0</v>
      </c>
      <c r="T49" s="247">
        <f>'Revenues &amp; Expenses'!$S$3</f>
        <v>310.66000000000003</v>
      </c>
      <c r="U49" s="391">
        <f>T49*'Revenues &amp; Expenses'!F57*4</f>
        <v>28580.720000000001</v>
      </c>
      <c r="W49" s="391">
        <f t="shared" si="4"/>
        <v>0</v>
      </c>
    </row>
    <row r="50" spans="2:23">
      <c r="B50" s="248">
        <v>38078</v>
      </c>
      <c r="C50" s="251">
        <f>VLOOKUP(B50,'Company Gas Prices'!$B$25:$C$259,2)</f>
        <v>3.98020833</v>
      </c>
      <c r="D50" s="250">
        <f>VLOOKUP(B50,'Fuel Curve'!$B$7:$F$268,5)</f>
        <v>4.4448275862068964</v>
      </c>
      <c r="E50" s="250">
        <f t="shared" si="0"/>
        <v>0.46461925620689648</v>
      </c>
      <c r="G50" s="248">
        <v>38078</v>
      </c>
      <c r="H50" s="250">
        <f>VLOOKUP(G50,'Company Power Prices'!$B$25:$C$259,2)</f>
        <v>46.152457849999998</v>
      </c>
      <c r="I50" s="250">
        <f>VLOOKUP(G50,'Super Peak Curve Simulation'!$B$4:$C$225,2)</f>
        <v>29.86208816014706</v>
      </c>
      <c r="J50" s="252">
        <f t="shared" si="1"/>
        <v>-16.290369689852938</v>
      </c>
      <c r="L50" s="248">
        <v>38078</v>
      </c>
      <c r="M50" s="250">
        <f>IF($L$1=1,VLOOKUP(L50,'Super Peak Curve Simulation'!$B$7:$N$225,12),VLOOKUP(L50,'PJM Curve Simulation'!$B$9:$J$246,9))</f>
        <v>26.325000762939453</v>
      </c>
      <c r="N50" s="250">
        <f t="shared" si="2"/>
        <v>44.821756572017485</v>
      </c>
      <c r="P50" s="250">
        <f>IF($L$1=1,VLOOKUP(L50,'Fuel Curve'!$B$7:$H$246,7),VLOOKUP(L50,'Revenues &amp; Expenses'!$K$9:$S$246,9))</f>
        <v>42.57700344827586</v>
      </c>
      <c r="Q50" s="250">
        <f>'Revenues &amp; Expenses'!$AM$5*1000*'Revenues &amp; Expenses'!O58</f>
        <v>2.2447531237416265</v>
      </c>
      <c r="S50" s="247">
        <f t="shared" si="3"/>
        <v>0</v>
      </c>
      <c r="T50" s="247">
        <f>'Revenues &amp; Expenses'!$S$3</f>
        <v>310.66000000000003</v>
      </c>
      <c r="U50" s="391">
        <f>T50*'Revenues &amp; Expenses'!F58*4</f>
        <v>27338.080000000002</v>
      </c>
      <c r="W50" s="391">
        <f t="shared" si="4"/>
        <v>0</v>
      </c>
    </row>
    <row r="51" spans="2:23">
      <c r="B51" s="248">
        <v>38108</v>
      </c>
      <c r="C51" s="251">
        <f>VLOOKUP(B51,'Company Gas Prices'!$B$25:$C$259,2)</f>
        <v>3.8177083299999999</v>
      </c>
      <c r="D51" s="250">
        <f>VLOOKUP(B51,'Fuel Curve'!$B$7:$F$268,5)</f>
        <v>4.3715517241379311</v>
      </c>
      <c r="E51" s="250">
        <f t="shared" si="0"/>
        <v>0.55384339413793127</v>
      </c>
      <c r="G51" s="248">
        <v>38108</v>
      </c>
      <c r="H51" s="250">
        <f>VLOOKUP(G51,'Company Power Prices'!$B$25:$C$259,2)</f>
        <v>57.919345980000003</v>
      </c>
      <c r="I51" s="250">
        <f>VLOOKUP(G51,'Super Peak Curve Simulation'!$B$4:$C$225,2)</f>
        <v>34.388716160242168</v>
      </c>
      <c r="J51" s="252">
        <f t="shared" si="1"/>
        <v>-23.530629819757834</v>
      </c>
      <c r="L51" s="248">
        <v>38108</v>
      </c>
      <c r="M51" s="250">
        <f>IF($L$1=1,VLOOKUP(L51,'Super Peak Curve Simulation'!$B$7:$N$225,12),VLOOKUP(L51,'PJM Curve Simulation'!$B$9:$J$246,9))</f>
        <v>31.324999999999999</v>
      </c>
      <c r="N51" s="250">
        <f t="shared" si="2"/>
        <v>44.124836338820785</v>
      </c>
      <c r="P51" s="250">
        <f>IF($L$1=1,VLOOKUP(L51,'Fuel Curve'!$B$7:$H$246,7),VLOOKUP(L51,'Revenues &amp; Expenses'!$K$9:$S$246,9))</f>
        <v>41.875093965517237</v>
      </c>
      <c r="Q51" s="250">
        <f>'Revenues &amp; Expenses'!$AM$5*1000*'Revenues &amp; Expenses'!O59</f>
        <v>2.2497423733035484</v>
      </c>
      <c r="S51" s="247">
        <f t="shared" si="3"/>
        <v>0</v>
      </c>
      <c r="T51" s="247">
        <f>'Revenues &amp; Expenses'!$S$3</f>
        <v>310.66000000000003</v>
      </c>
      <c r="U51" s="391">
        <f>T51*'Revenues &amp; Expenses'!F59*4</f>
        <v>26095.440000000002</v>
      </c>
      <c r="W51" s="391">
        <f t="shared" si="4"/>
        <v>0</v>
      </c>
    </row>
    <row r="52" spans="2:23">
      <c r="B52" s="248">
        <v>38139</v>
      </c>
      <c r="C52" s="251">
        <f>VLOOKUP(B52,'Company Gas Prices'!$B$25:$C$259,2)</f>
        <v>3.8093750000000002</v>
      </c>
      <c r="D52" s="250">
        <f>VLOOKUP(B52,'Fuel Curve'!$B$7:$F$268,5)</f>
        <v>4.3606896551724148</v>
      </c>
      <c r="E52" s="250">
        <f t="shared" si="0"/>
        <v>0.55131465517241462</v>
      </c>
      <c r="G52" s="248">
        <v>38139</v>
      </c>
      <c r="H52" s="250">
        <f>VLOOKUP(G52,'Company Power Prices'!$B$25:$C$259,2)</f>
        <v>106.4071165</v>
      </c>
      <c r="I52" s="250">
        <f>VLOOKUP(G52,'Super Peak Curve Simulation'!$B$4:$C$225,2)</f>
        <v>68.608854385194874</v>
      </c>
      <c r="J52" s="252">
        <f t="shared" si="1"/>
        <v>-37.798262114805127</v>
      </c>
      <c r="L52" s="248">
        <v>38139</v>
      </c>
      <c r="M52" s="250">
        <f>IF($L$1=1,VLOOKUP(L52,'Super Peak Curve Simulation'!$B$7:$N$225,12),VLOOKUP(L52,'PJM Curve Simulation'!$B$9:$J$246,9))</f>
        <v>55.599998474121094</v>
      </c>
      <c r="N52" s="250">
        <f t="shared" si="2"/>
        <v>44.025788919004292</v>
      </c>
      <c r="P52" s="250">
        <f>IF($L$1=1,VLOOKUP(L52,'Fuel Curve'!$B$7:$H$246,7),VLOOKUP(L52,'Revenues &amp; Expenses'!$K$9:$S$246,9))</f>
        <v>41.771046206896564</v>
      </c>
      <c r="Q52" s="250">
        <f>'Revenues &amp; Expenses'!$AM$5*1000*'Revenues &amp; Expenses'!O60</f>
        <v>2.2547427121077246</v>
      </c>
      <c r="S52" s="247">
        <f t="shared" si="3"/>
        <v>1</v>
      </c>
      <c r="T52" s="247">
        <f>'Revenues &amp; Expenses'!$S$3</f>
        <v>310.66000000000003</v>
      </c>
      <c r="U52" s="391">
        <f>T52*'Revenues &amp; Expenses'!F60*4</f>
        <v>27338.080000000002</v>
      </c>
      <c r="W52" s="391">
        <f t="shared" si="4"/>
        <v>316416.66675454756</v>
      </c>
    </row>
    <row r="53" spans="2:23">
      <c r="B53" s="248">
        <v>38169</v>
      </c>
      <c r="C53" s="251">
        <f>VLOOKUP(B53,'Company Gas Prices'!$B$25:$C$259,2)</f>
        <v>3.7718750000000001</v>
      </c>
      <c r="D53" s="250">
        <f>VLOOKUP(B53,'Fuel Curve'!$B$7:$F$268,5)</f>
        <v>4.4113793103448282</v>
      </c>
      <c r="E53" s="250">
        <f t="shared" si="0"/>
        <v>0.63950431034482813</v>
      </c>
      <c r="G53" s="248">
        <v>38169</v>
      </c>
      <c r="H53" s="250">
        <f>VLOOKUP(G53,'Company Power Prices'!$B$25:$C$259,2)</f>
        <v>168.53742829999999</v>
      </c>
      <c r="I53" s="250">
        <f>VLOOKUP(G53,'Super Peak Curve Simulation'!$B$4:$C$225,2)</f>
        <v>124.01905735811776</v>
      </c>
      <c r="J53" s="252">
        <f t="shared" si="1"/>
        <v>-44.518370941882225</v>
      </c>
      <c r="L53" s="248">
        <v>38169</v>
      </c>
      <c r="M53" s="250">
        <f>IF($L$1=1,VLOOKUP(L53,'Super Peak Curve Simulation'!$B$7:$N$225,12),VLOOKUP(L53,'PJM Curve Simulation'!$B$9:$J$246,9))</f>
        <v>94.449996948242188</v>
      </c>
      <c r="N53" s="250">
        <f t="shared" si="2"/>
        <v>44.516356578594518</v>
      </c>
      <c r="P53" s="250">
        <f>IF($L$1=1,VLOOKUP(L53,'Fuel Curve'!$B$7:$H$246,7),VLOOKUP(L53,'Revenues &amp; Expenses'!$K$9:$S$246,9))</f>
        <v>42.256602413793111</v>
      </c>
      <c r="Q53" s="250">
        <f>'Revenues &amp; Expenses'!$AM$5*1000*'Revenues &amp; Expenses'!O61</f>
        <v>2.2597541648014081</v>
      </c>
      <c r="S53" s="247">
        <f t="shared" si="3"/>
        <v>1</v>
      </c>
      <c r="T53" s="247">
        <f>'Revenues &amp; Expenses'!$S$3</f>
        <v>310.66000000000003</v>
      </c>
      <c r="U53" s="391">
        <f>T53*'Revenues &amp; Expenses'!F61*4</f>
        <v>27338.080000000002</v>
      </c>
      <c r="W53" s="391">
        <f t="shared" si="4"/>
        <v>1365089.8551166577</v>
      </c>
    </row>
    <row r="54" spans="2:23">
      <c r="B54" s="248">
        <v>38200</v>
      </c>
      <c r="C54" s="251">
        <f>VLOOKUP(B54,'Company Gas Prices'!$B$25:$C$259,2)</f>
        <v>3.7718750000000001</v>
      </c>
      <c r="D54" s="250">
        <f>VLOOKUP(B54,'Fuel Curve'!$B$7:$F$268,5)</f>
        <v>4.4962068965517243</v>
      </c>
      <c r="E54" s="250">
        <f t="shared" si="0"/>
        <v>0.72433189655172425</v>
      </c>
      <c r="G54" s="248">
        <v>38200</v>
      </c>
      <c r="H54" s="250">
        <f>VLOOKUP(G54,'Company Power Prices'!$B$25:$C$259,2)</f>
        <v>168.53742829999999</v>
      </c>
      <c r="I54" s="250">
        <f>VLOOKUP(G54,'Super Peak Curve Simulation'!$B$4:$C$225,2)</f>
        <v>99.966830382880772</v>
      </c>
      <c r="J54" s="252">
        <f t="shared" si="1"/>
        <v>-68.570597917119215</v>
      </c>
      <c r="L54" s="248">
        <v>38200</v>
      </c>
      <c r="M54" s="250">
        <f>IF($L$1=1,VLOOKUP(L54,'Super Peak Curve Simulation'!$B$7:$N$225,12),VLOOKUP(L54,'PJM Curve Simulation'!$B$9:$J$246,9))</f>
        <v>81.449996948242188</v>
      </c>
      <c r="N54" s="250">
        <f t="shared" si="2"/>
        <v>45.333942618155604</v>
      </c>
      <c r="P54" s="250">
        <f>IF($L$1=1,VLOOKUP(L54,'Fuel Curve'!$B$7:$H$246,7),VLOOKUP(L54,'Revenues &amp; Expenses'!$K$9:$S$246,9))</f>
        <v>43.069165862068971</v>
      </c>
      <c r="Q54" s="250">
        <f>'Revenues &amp; Expenses'!$AM$5*1000*'Revenues &amp; Expenses'!O62</f>
        <v>2.2647767560866328</v>
      </c>
      <c r="S54" s="247">
        <f t="shared" si="3"/>
        <v>1</v>
      </c>
      <c r="T54" s="247">
        <f>'Revenues &amp; Expenses'!$S$3</f>
        <v>310.66000000000003</v>
      </c>
      <c r="U54" s="391">
        <f>T54*'Revenues &amp; Expenses'!F62*4</f>
        <v>27338.080000000002</v>
      </c>
      <c r="W54" s="391">
        <f t="shared" si="4"/>
        <v>987343.58256025345</v>
      </c>
    </row>
    <row r="55" spans="2:23">
      <c r="B55" s="248">
        <v>38231</v>
      </c>
      <c r="C55" s="251">
        <f>VLOOKUP(B55,'Company Gas Prices'!$B$25:$C$259,2)</f>
        <v>3.8177083299999999</v>
      </c>
      <c r="D55" s="250">
        <f>VLOOKUP(B55,'Fuel Curve'!$B$7:$F$268,5)</f>
        <v>4.5860344827586212</v>
      </c>
      <c r="E55" s="250">
        <f t="shared" si="0"/>
        <v>0.76832615275862137</v>
      </c>
      <c r="G55" s="248">
        <v>38231</v>
      </c>
      <c r="H55" s="250">
        <f>VLOOKUP(G55,'Company Power Prices'!$B$25:$C$259,2)</f>
        <v>57.919345980000003</v>
      </c>
      <c r="I55" s="250">
        <f>VLOOKUP(G55,'Super Peak Curve Simulation'!$B$4:$C$225,2)</f>
        <v>38.6083121920515</v>
      </c>
      <c r="J55" s="252">
        <f t="shared" si="1"/>
        <v>-19.311033787948503</v>
      </c>
      <c r="L55" s="248">
        <v>38231</v>
      </c>
      <c r="M55" s="250">
        <f>IF($L$1=1,VLOOKUP(L55,'Super Peak Curve Simulation'!$B$7:$N$225,12),VLOOKUP(L55,'PJM Curve Simulation'!$B$9:$J$246,9))</f>
        <v>33.424998474121097</v>
      </c>
      <c r="N55" s="250">
        <f t="shared" si="2"/>
        <v>46.199434821065168</v>
      </c>
      <c r="P55" s="250">
        <f>IF($L$1=1,VLOOKUP(L55,'Fuel Curve'!$B$7:$H$246,7),VLOOKUP(L55,'Revenues &amp; Expenses'!$K$9:$S$246,9))</f>
        <v>43.929624310344835</v>
      </c>
      <c r="Q55" s="250">
        <f>'Revenues &amp; Expenses'!$AM$5*1000*'Revenues &amp; Expenses'!O63</f>
        <v>2.2698105107203368</v>
      </c>
      <c r="S55" s="247">
        <f t="shared" si="3"/>
        <v>0</v>
      </c>
      <c r="T55" s="247">
        <f>'Revenues &amp; Expenses'!$S$3</f>
        <v>310.66000000000003</v>
      </c>
      <c r="U55" s="391">
        <f>T55*'Revenues &amp; Expenses'!F63*4</f>
        <v>27338.080000000002</v>
      </c>
      <c r="W55" s="391">
        <f t="shared" si="4"/>
        <v>0</v>
      </c>
    </row>
    <row r="56" spans="2:23">
      <c r="B56" s="248">
        <v>38261</v>
      </c>
      <c r="C56" s="251">
        <f>VLOOKUP(B56,'Company Gas Prices'!$B$25:$C$259,2)</f>
        <v>3.7781250000000002</v>
      </c>
      <c r="D56" s="250">
        <f>VLOOKUP(B56,'Fuel Curve'!$B$7:$F$268,5)</f>
        <v>4.6729310344827599</v>
      </c>
      <c r="E56" s="250">
        <f t="shared" si="0"/>
        <v>0.89480603448275975</v>
      </c>
      <c r="G56" s="248">
        <v>38261</v>
      </c>
      <c r="H56" s="250">
        <f>VLOOKUP(G56,'Company Power Prices'!$B$25:$C$259,2)</f>
        <v>47.742775229999999</v>
      </c>
      <c r="I56" s="250">
        <f>VLOOKUP(G56,'Super Peak Curve Simulation'!$B$4:$C$225,2)</f>
        <v>31.805679823122031</v>
      </c>
      <c r="J56" s="252">
        <f t="shared" si="1"/>
        <v>-15.937095406877969</v>
      </c>
      <c r="L56" s="248">
        <v>38261</v>
      </c>
      <c r="M56" s="250">
        <f>IF($L$1=1,VLOOKUP(L56,'Super Peak Curve Simulation'!$B$7:$N$225,12),VLOOKUP(L56,'PJM Curve Simulation'!$B$9:$J$246,9))</f>
        <v>27.075000381469728</v>
      </c>
      <c r="N56" s="250">
        <f t="shared" si="2"/>
        <v>47.03686183282484</v>
      </c>
      <c r="P56" s="250">
        <f>IF($L$1=1,VLOOKUP(L56,'Fuel Curve'!$B$7:$H$246,7),VLOOKUP(L56,'Revenues &amp; Expenses'!$K$9:$S$246,9))</f>
        <v>44.762006379310357</v>
      </c>
      <c r="Q56" s="250">
        <f>'Revenues &amp; Expenses'!$AM$5*1000*'Revenues &amp; Expenses'!O64</f>
        <v>2.274855453514482</v>
      </c>
      <c r="S56" s="247">
        <f t="shared" si="3"/>
        <v>0</v>
      </c>
      <c r="T56" s="247">
        <f>'Revenues &amp; Expenses'!$S$3</f>
        <v>310.66000000000003</v>
      </c>
      <c r="U56" s="391">
        <f>T56*'Revenues &amp; Expenses'!F64*4</f>
        <v>26095.440000000002</v>
      </c>
      <c r="W56" s="391">
        <f t="shared" si="4"/>
        <v>0</v>
      </c>
    </row>
    <row r="57" spans="2:23">
      <c r="B57" s="248">
        <v>38292</v>
      </c>
      <c r="C57" s="251">
        <f>VLOOKUP(B57,'Company Gas Prices'!$B$25:$C$259,2)</f>
        <v>3.7781250000000002</v>
      </c>
      <c r="D57" s="250">
        <f>VLOOKUP(B57,'Fuel Curve'!$B$7:$F$268,5)</f>
        <v>4.7568965517241377</v>
      </c>
      <c r="E57" s="250">
        <f t="shared" si="0"/>
        <v>0.97877155172413755</v>
      </c>
      <c r="G57" s="248">
        <v>38292</v>
      </c>
      <c r="H57" s="250">
        <f>VLOOKUP(G57,'Company Power Prices'!$B$25:$C$259,2)</f>
        <v>50.15598731</v>
      </c>
      <c r="I57" s="250">
        <f>VLOOKUP(G57,'Super Peak Curve Simulation'!$B$4:$C$225,2)</f>
        <v>31.851590597267155</v>
      </c>
      <c r="J57" s="252">
        <f t="shared" si="1"/>
        <v>-18.304396712732846</v>
      </c>
      <c r="L57" s="248">
        <v>38292</v>
      </c>
      <c r="M57" s="250">
        <f>IF($L$1=1,VLOOKUP(L57,'Super Peak Curve Simulation'!$B$7:$N$225,12),VLOOKUP(L57,'PJM Curve Simulation'!$B$9:$J$246,9))</f>
        <v>26.747499084472658</v>
      </c>
      <c r="N57" s="250">
        <f t="shared" si="2"/>
        <v>47.846223678301698</v>
      </c>
      <c r="P57" s="250">
        <f>IF($L$1=1,VLOOKUP(L57,'Fuel Curve'!$B$7:$H$246,7),VLOOKUP(L57,'Revenues &amp; Expenses'!$K$9:$S$246,9))</f>
        <v>45.566312068965516</v>
      </c>
      <c r="Q57" s="250">
        <f>'Revenues &amp; Expenses'!$AM$5*1000*'Revenues &amp; Expenses'!O65</f>
        <v>2.2799116093361809</v>
      </c>
      <c r="S57" s="247">
        <f t="shared" si="3"/>
        <v>0</v>
      </c>
      <c r="T57" s="247">
        <f>'Revenues &amp; Expenses'!$S$3</f>
        <v>310.66000000000003</v>
      </c>
      <c r="U57" s="391">
        <f>T57*'Revenues &amp; Expenses'!F65*4</f>
        <v>27338.080000000002</v>
      </c>
      <c r="W57" s="391">
        <f t="shared" si="4"/>
        <v>0</v>
      </c>
    </row>
    <row r="58" spans="2:23">
      <c r="B58" s="248">
        <v>38322</v>
      </c>
      <c r="C58" s="251">
        <f>VLOOKUP(B58,'Company Gas Prices'!$B$25:$C$259,2)</f>
        <v>3.7781250000000002</v>
      </c>
      <c r="D58" s="250">
        <f>VLOOKUP(B58,'Fuel Curve'!$B$7:$F$268,5)</f>
        <v>4.7951724137931047</v>
      </c>
      <c r="E58" s="250">
        <f t="shared" si="0"/>
        <v>1.0170474137931045</v>
      </c>
      <c r="G58" s="248">
        <v>38322</v>
      </c>
      <c r="H58" s="250">
        <f>VLOOKUP(G58,'Company Power Prices'!$B$25:$C$259,2)</f>
        <v>50.15598731</v>
      </c>
      <c r="I58" s="250">
        <f>VLOOKUP(G58,'Super Peak Curve Simulation'!$B$4:$C$225,2)</f>
        <v>34.369970413352533</v>
      </c>
      <c r="J58" s="252">
        <f t="shared" si="1"/>
        <v>-15.786016896647467</v>
      </c>
      <c r="L58" s="248">
        <v>38322</v>
      </c>
      <c r="M58" s="250">
        <f>IF($L$1=1,VLOOKUP(L58,'Super Peak Curve Simulation'!$B$7:$N$225,12),VLOOKUP(L58,'PJM Curve Simulation'!$B$9:$J$246,9))</f>
        <v>28.499999618530275</v>
      </c>
      <c r="N58" s="250">
        <f t="shared" si="2"/>
        <v>48.217935554831968</v>
      </c>
      <c r="P58" s="250">
        <f>IF($L$1=1,VLOOKUP(L58,'Fuel Curve'!$B$7:$H$246,7),VLOOKUP(L58,'Revenues &amp; Expenses'!$K$9:$S$246,9))</f>
        <v>45.932956551724153</v>
      </c>
      <c r="Q58" s="250">
        <f>'Revenues &amp; Expenses'!$AM$5*1000*'Revenues &amp; Expenses'!O66</f>
        <v>2.284979003107813</v>
      </c>
      <c r="S58" s="247">
        <f t="shared" si="3"/>
        <v>0</v>
      </c>
      <c r="T58" s="247">
        <f>'Revenues &amp; Expenses'!$S$3</f>
        <v>310.66000000000003</v>
      </c>
      <c r="U58" s="391">
        <f>T58*'Revenues &amp; Expenses'!F66*4</f>
        <v>28580.720000000001</v>
      </c>
      <c r="W58" s="391">
        <f t="shared" si="4"/>
        <v>0</v>
      </c>
    </row>
    <row r="59" spans="2:23">
      <c r="B59" s="248">
        <v>38353</v>
      </c>
      <c r="C59" s="251">
        <f>VLOOKUP(B59,'Company Gas Prices'!$B$25:$C$259,2)</f>
        <v>3.8354166699999999</v>
      </c>
      <c r="D59" s="250">
        <f>VLOOKUP(B59,'Fuel Curve'!$B$7:$F$268,5)</f>
        <v>4.7344827586206897</v>
      </c>
      <c r="E59" s="250">
        <f t="shared" si="0"/>
        <v>0.89906608862068982</v>
      </c>
      <c r="G59" s="248">
        <v>38353</v>
      </c>
      <c r="H59" s="250">
        <f>VLOOKUP(G59,'Company Power Prices'!$B$25:$C$259,2)</f>
        <v>48.06361708</v>
      </c>
      <c r="I59" s="250">
        <f>VLOOKUP(G59,'Super Peak Curve Simulation'!$B$4:$C$225,2)</f>
        <v>45.768575620861604</v>
      </c>
      <c r="J59" s="252">
        <f t="shared" si="1"/>
        <v>-2.2950414591383961</v>
      </c>
      <c r="L59" s="248">
        <v>38353</v>
      </c>
      <c r="M59" s="250">
        <f>IF($L$1=1,VLOOKUP(L59,'Super Peak Curve Simulation'!$B$7:$N$225,12),VLOOKUP(L59,'PJM Curve Simulation'!$B$9:$J$246,9))</f>
        <v>37.324998474121088</v>
      </c>
      <c r="N59" s="250">
        <f t="shared" si="2"/>
        <v>47.641668004634745</v>
      </c>
      <c r="P59" s="250">
        <f>IF($L$1=1,VLOOKUP(L59,'Fuel Curve'!$B$7:$H$246,7),VLOOKUP(L59,'Revenues &amp; Expenses'!$K$9:$S$246,9))</f>
        <v>45.351610344827591</v>
      </c>
      <c r="Q59" s="250">
        <f>'Revenues &amp; Expenses'!$AM$5*1000*'Revenues &amp; Expenses'!O67</f>
        <v>2.2900576598071534</v>
      </c>
      <c r="S59" s="247">
        <f t="shared" si="3"/>
        <v>0</v>
      </c>
      <c r="T59" s="247">
        <f>'Revenues &amp; Expenses'!$S$3</f>
        <v>310.66000000000003</v>
      </c>
      <c r="U59" s="391">
        <f>T59*'Revenues &amp; Expenses'!F67*4</f>
        <v>28580.720000000001</v>
      </c>
      <c r="W59" s="391">
        <f t="shared" si="4"/>
        <v>0</v>
      </c>
    </row>
    <row r="60" spans="2:23">
      <c r="B60" s="248">
        <v>38384</v>
      </c>
      <c r="C60" s="251">
        <f>VLOOKUP(B60,'Company Gas Prices'!$B$25:$C$259,2)</f>
        <v>3.8354166699999999</v>
      </c>
      <c r="D60" s="250">
        <f>VLOOKUP(B60,'Fuel Curve'!$B$7:$F$268,5)</f>
        <v>4.6315517241379318</v>
      </c>
      <c r="E60" s="250">
        <f t="shared" si="0"/>
        <v>0.79613505413793195</v>
      </c>
      <c r="G60" s="248">
        <v>38384</v>
      </c>
      <c r="H60" s="250">
        <f>VLOOKUP(G60,'Company Power Prices'!$B$25:$C$259,2)</f>
        <v>41.746887319999999</v>
      </c>
      <c r="I60" s="250">
        <f>VLOOKUP(G60,'Super Peak Curve Simulation'!$B$4:$C$225,2)</f>
        <v>45.768575620861604</v>
      </c>
      <c r="J60" s="252">
        <f t="shared" si="1"/>
        <v>4.0216883008616051</v>
      </c>
      <c r="L60" s="248">
        <v>38384</v>
      </c>
      <c r="M60" s="250">
        <f>IF($L$1=1,VLOOKUP(L60,'Super Peak Curve Simulation'!$B$7:$N$225,12),VLOOKUP(L60,'PJM Curve Simulation'!$B$9:$J$246,9))</f>
        <v>37.324998474121088</v>
      </c>
      <c r="N60" s="250">
        <f t="shared" si="2"/>
        <v>46.660781569984742</v>
      </c>
      <c r="P60" s="250">
        <f>IF($L$1=1,VLOOKUP(L60,'Fuel Curve'!$B$7:$H$246,7),VLOOKUP(L60,'Revenues &amp; Expenses'!$K$9:$S$246,9))</f>
        <v>44.365633965517247</v>
      </c>
      <c r="Q60" s="250">
        <f>'Revenues &amp; Expenses'!$AM$5*1000*'Revenues &amp; Expenses'!O68</f>
        <v>2.2951476044674926</v>
      </c>
      <c r="S60" s="247">
        <f t="shared" si="3"/>
        <v>0</v>
      </c>
      <c r="T60" s="247">
        <f>'Revenues &amp; Expenses'!$S$3</f>
        <v>310.66000000000003</v>
      </c>
      <c r="U60" s="391">
        <f>T60*'Revenues &amp; Expenses'!F68*4</f>
        <v>24852.800000000003</v>
      </c>
      <c r="W60" s="391">
        <f t="shared" si="4"/>
        <v>0</v>
      </c>
    </row>
    <row r="61" spans="2:23">
      <c r="B61" s="248">
        <v>38412</v>
      </c>
      <c r="C61" s="251">
        <f>VLOOKUP(B61,'Company Gas Prices'!$B$25:$C$259,2)</f>
        <v>3.8354166699999999</v>
      </c>
      <c r="D61" s="250">
        <f>VLOOKUP(B61,'Fuel Curve'!$B$7:$F$268,5)</f>
        <v>4.5301724137931041</v>
      </c>
      <c r="E61" s="250">
        <f t="shared" si="0"/>
        <v>0.69475574379310423</v>
      </c>
      <c r="G61" s="248">
        <v>38412</v>
      </c>
      <c r="H61" s="250">
        <f>VLOOKUP(G61,'Company Power Prices'!$B$25:$C$259,2)</f>
        <v>41.746887319999999</v>
      </c>
      <c r="I61" s="250">
        <f>VLOOKUP(G61,'Super Peak Curve Simulation'!$B$4:$C$225,2)</f>
        <v>32.898887177906033</v>
      </c>
      <c r="J61" s="252">
        <f t="shared" si="1"/>
        <v>-8.8480001420939658</v>
      </c>
      <c r="L61" s="248">
        <v>38412</v>
      </c>
      <c r="M61" s="250">
        <f>IF($L$1=1,VLOOKUP(L61,'Super Peak Curve Simulation'!$B$7:$N$225,12),VLOOKUP(L61,'PJM Curve Simulation'!$B$9:$J$246,9))</f>
        <v>27.050000762939455</v>
      </c>
      <c r="N61" s="250">
        <f t="shared" si="2"/>
        <v>45.694770413901907</v>
      </c>
      <c r="P61" s="250">
        <f>IF($L$1=1,VLOOKUP(L61,'Fuel Curve'!$B$7:$H$246,7),VLOOKUP(L61,'Revenues &amp; Expenses'!$K$9:$S$246,9))</f>
        <v>43.394521551724146</v>
      </c>
      <c r="Q61" s="250">
        <f>'Revenues &amp; Expenses'!$AM$5*1000*'Revenues &amp; Expenses'!O69</f>
        <v>2.3002488621777601</v>
      </c>
      <c r="S61" s="247">
        <f t="shared" si="3"/>
        <v>0</v>
      </c>
      <c r="T61" s="247">
        <f>'Revenues &amp; Expenses'!$S$3</f>
        <v>310.66000000000003</v>
      </c>
      <c r="U61" s="391">
        <f>T61*'Revenues &amp; Expenses'!F69*4</f>
        <v>27338.080000000002</v>
      </c>
      <c r="W61" s="391">
        <f t="shared" si="4"/>
        <v>0</v>
      </c>
    </row>
    <row r="62" spans="2:23">
      <c r="B62" s="248">
        <v>38443</v>
      </c>
      <c r="C62" s="251">
        <f>VLOOKUP(B62,'Company Gas Prices'!$B$25:$C$259,2)</f>
        <v>3.98020833</v>
      </c>
      <c r="D62" s="250">
        <f>VLOOKUP(B62,'Fuel Curve'!$B$7:$F$268,5)</f>
        <v>4.4258620689655173</v>
      </c>
      <c r="E62" s="250">
        <f t="shared" si="0"/>
        <v>0.4456537389655173</v>
      </c>
      <c r="G62" s="248">
        <v>38443</v>
      </c>
      <c r="H62" s="250">
        <f>VLOOKUP(G62,'Company Power Prices'!$B$25:$C$259,2)</f>
        <v>46.158718229999998</v>
      </c>
      <c r="I62" s="250">
        <f>VLOOKUP(G62,'Super Peak Curve Simulation'!$B$4:$C$225,2)</f>
        <v>30.429269305345489</v>
      </c>
      <c r="J62" s="252">
        <f t="shared" si="1"/>
        <v>-15.729448924654509</v>
      </c>
      <c r="L62" s="248">
        <v>38443</v>
      </c>
      <c r="M62" s="250">
        <f>IF($L$1=1,VLOOKUP(L62,'Super Peak Curve Simulation'!$B$7:$N$225,12),VLOOKUP(L62,'PJM Curve Simulation'!$B$9:$J$246,9))</f>
        <v>26.825000762939453</v>
      </c>
      <c r="N62" s="250">
        <f t="shared" si="2"/>
        <v>44.70069421670334</v>
      </c>
      <c r="P62" s="250">
        <f>IF($L$1=1,VLOOKUP(L62,'Fuel Curve'!$B$7:$H$246,7),VLOOKUP(L62,'Revenues &amp; Expenses'!$K$9:$S$246,9))</f>
        <v>42.39533275862069</v>
      </c>
      <c r="Q62" s="250">
        <f>'Revenues &amp; Expenses'!$AM$5*1000*'Revenues &amp; Expenses'!O70</f>
        <v>2.3053614580826505</v>
      </c>
      <c r="S62" s="247">
        <f t="shared" si="3"/>
        <v>0</v>
      </c>
      <c r="T62" s="247">
        <f>'Revenues &amp; Expenses'!$S$3</f>
        <v>310.66000000000003</v>
      </c>
      <c r="U62" s="391">
        <f>T62*'Revenues &amp; Expenses'!F70*4</f>
        <v>26095.440000000002</v>
      </c>
      <c r="W62" s="391">
        <f t="shared" si="4"/>
        <v>0</v>
      </c>
    </row>
    <row r="63" spans="2:23">
      <c r="B63" s="248">
        <v>38473</v>
      </c>
      <c r="C63" s="251">
        <f>VLOOKUP(B63,'Company Gas Prices'!$B$25:$C$259,2)</f>
        <v>3.8177083299999999</v>
      </c>
      <c r="D63" s="250">
        <f>VLOOKUP(B63,'Fuel Curve'!$B$7:$F$268,5)</f>
        <v>4.3543103448275868</v>
      </c>
      <c r="E63" s="250">
        <f t="shared" si="0"/>
        <v>0.53660201482758696</v>
      </c>
      <c r="G63" s="248">
        <v>38473</v>
      </c>
      <c r="H63" s="250">
        <f>VLOOKUP(G63,'Company Power Prices'!$B$25:$C$259,2)</f>
        <v>53.610625630000001</v>
      </c>
      <c r="I63" s="250">
        <f>VLOOKUP(G63,'Super Peak Curve Simulation'!$B$4:$C$225,2)</f>
        <v>34.937618253781551</v>
      </c>
      <c r="J63" s="252">
        <f t="shared" si="1"/>
        <v>-18.67300737621845</v>
      </c>
      <c r="L63" s="248">
        <v>38473</v>
      </c>
      <c r="M63" s="250">
        <f>IF($L$1=1,VLOOKUP(L63,'Super Peak Curve Simulation'!$B$7:$N$225,12),VLOOKUP(L63,'PJM Curve Simulation'!$B$9:$J$246,9))</f>
        <v>31.824999999999999</v>
      </c>
      <c r="N63" s="250">
        <f t="shared" si="2"/>
        <v>44.020424210486198</v>
      </c>
      <c r="P63" s="250">
        <f>IF($L$1=1,VLOOKUP(L63,'Fuel Curve'!$B$7:$H$246,7),VLOOKUP(L63,'Revenues &amp; Expenses'!$K$9:$S$246,9))</f>
        <v>41.709938793103454</v>
      </c>
      <c r="Q63" s="250">
        <f>'Revenues &amp; Expenses'!$AM$5*1000*'Revenues &amp; Expenses'!O71</f>
        <v>2.3104854173827438</v>
      </c>
      <c r="S63" s="247">
        <f t="shared" si="3"/>
        <v>0</v>
      </c>
      <c r="T63" s="247">
        <f>'Revenues &amp; Expenses'!$S$3</f>
        <v>310.66000000000003</v>
      </c>
      <c r="U63" s="391">
        <f>T63*'Revenues &amp; Expenses'!F71*4</f>
        <v>28580.720000000001</v>
      </c>
      <c r="W63" s="391">
        <f t="shared" si="4"/>
        <v>0</v>
      </c>
    </row>
    <row r="64" spans="2:23">
      <c r="B64" s="248">
        <v>38504</v>
      </c>
      <c r="C64" s="251">
        <f>VLOOKUP(B64,'Company Gas Prices'!$B$25:$C$259,2)</f>
        <v>3.8093750000000002</v>
      </c>
      <c r="D64" s="250">
        <f>VLOOKUP(B64,'Fuel Curve'!$B$7:$F$268,5)</f>
        <v>4.3441379310344832</v>
      </c>
      <c r="E64" s="250">
        <f t="shared" si="0"/>
        <v>0.53476293103448302</v>
      </c>
      <c r="G64" s="248">
        <v>38504</v>
      </c>
      <c r="H64" s="250">
        <f>VLOOKUP(G64,'Company Power Prices'!$B$25:$C$259,2)</f>
        <v>94.655896670000004</v>
      </c>
      <c r="I64" s="250">
        <f>VLOOKUP(G64,'Super Peak Curve Simulation'!$B$4:$C$225,2)</f>
        <v>69.534333561473005</v>
      </c>
      <c r="J64" s="252">
        <f t="shared" si="1"/>
        <v>-25.121563108526999</v>
      </c>
      <c r="L64" s="248">
        <v>38504</v>
      </c>
      <c r="M64" s="250">
        <f>IF($L$1=1,VLOOKUP(L64,'Super Peak Curve Simulation'!$B$7:$N$225,12),VLOOKUP(L64,'PJM Curve Simulation'!$B$9:$J$246,9))</f>
        <v>56.349998474121094</v>
      </c>
      <c r="N64" s="250">
        <f t="shared" si="2"/>
        <v>43.928118006713952</v>
      </c>
      <c r="P64" s="250">
        <f>IF($L$1=1,VLOOKUP(L64,'Fuel Curve'!$B$7:$H$246,7),VLOOKUP(L64,'Revenues &amp; Expenses'!$K$9:$S$246,9))</f>
        <v>41.612497241379316</v>
      </c>
      <c r="Q64" s="250">
        <f>'Revenues &amp; Expenses'!$AM$5*1000*'Revenues &amp; Expenses'!O72</f>
        <v>2.315620765334633</v>
      </c>
      <c r="S64" s="247">
        <f t="shared" si="3"/>
        <v>1</v>
      </c>
      <c r="T64" s="247">
        <f>'Revenues &amp; Expenses'!$S$3</f>
        <v>310.66000000000003</v>
      </c>
      <c r="U64" s="391">
        <f>T64*'Revenues &amp; Expenses'!F72*4</f>
        <v>26095.440000000002</v>
      </c>
      <c r="W64" s="391">
        <f t="shared" si="4"/>
        <v>324154.43642439507</v>
      </c>
    </row>
    <row r="65" spans="2:23">
      <c r="B65" s="248">
        <v>38534</v>
      </c>
      <c r="C65" s="251">
        <f>VLOOKUP(B65,'Company Gas Prices'!$B$25:$C$259,2)</f>
        <v>3.7718750000000001</v>
      </c>
      <c r="D65" s="250">
        <f>VLOOKUP(B65,'Fuel Curve'!$B$7:$F$268,5)</f>
        <v>4.3968965517241392</v>
      </c>
      <c r="E65" s="250">
        <f t="shared" si="0"/>
        <v>0.62502155172413909</v>
      </c>
      <c r="G65" s="248">
        <v>38534</v>
      </c>
      <c r="H65" s="250">
        <f>VLOOKUP(G65,'Company Power Prices'!$B$25:$C$259,2)</f>
        <v>139.3279043</v>
      </c>
      <c r="I65" s="250">
        <f>VLOOKUP(G65,'Super Peak Curve Simulation'!$B$4:$C$225,2)</f>
        <v>125.66038956252852</v>
      </c>
      <c r="J65" s="252">
        <f t="shared" si="1"/>
        <v>-13.667514737471478</v>
      </c>
      <c r="L65" s="248">
        <v>38534</v>
      </c>
      <c r="M65" s="250">
        <f>IF($L$1=1,VLOOKUP(L65,'Super Peak Curve Simulation'!$B$7:$N$225,12),VLOOKUP(L65,'PJM Curve Simulation'!$B$9:$J$246,9))</f>
        <v>95.699996948242188</v>
      </c>
      <c r="N65" s="250">
        <f t="shared" si="2"/>
        <v>44.438639596216575</v>
      </c>
      <c r="P65" s="250">
        <f>IF($L$1=1,VLOOKUP(L65,'Fuel Curve'!$B$7:$H$246,7),VLOOKUP(L65,'Revenues &amp; Expenses'!$K$9:$S$246,9))</f>
        <v>42.117872068965532</v>
      </c>
      <c r="Q65" s="250">
        <f>'Revenues &amp; Expenses'!$AM$5*1000*'Revenues &amp; Expenses'!O73</f>
        <v>2.320767527251046</v>
      </c>
      <c r="S65" s="247">
        <f t="shared" si="3"/>
        <v>1</v>
      </c>
      <c r="T65" s="247">
        <f>'Revenues &amp; Expenses'!$S$3</f>
        <v>310.66000000000003</v>
      </c>
      <c r="U65" s="391">
        <f>T65*'Revenues &amp; Expenses'!F73*4</f>
        <v>27338.080000000002</v>
      </c>
      <c r="W65" s="391">
        <f t="shared" si="4"/>
        <v>1401387.0881982644</v>
      </c>
    </row>
    <row r="66" spans="2:23">
      <c r="B66" s="248">
        <v>38565</v>
      </c>
      <c r="C66" s="251">
        <f>VLOOKUP(B66,'Company Gas Prices'!$B$25:$C$259,2)</f>
        <v>3.7718750000000001</v>
      </c>
      <c r="D66" s="250">
        <f>VLOOKUP(B66,'Fuel Curve'!$B$7:$F$268,5)</f>
        <v>4.4837931034482761</v>
      </c>
      <c r="E66" s="250">
        <f t="shared" si="0"/>
        <v>0.711918103448276</v>
      </c>
      <c r="G66" s="248">
        <v>38565</v>
      </c>
      <c r="H66" s="250">
        <f>VLOOKUP(G66,'Company Power Prices'!$B$25:$C$259,2)</f>
        <v>139.3279043</v>
      </c>
      <c r="I66" s="250">
        <f>VLOOKUP(G66,'Super Peak Curve Simulation'!$B$4:$C$225,2)</f>
        <v>101.50100524673013</v>
      </c>
      <c r="J66" s="252">
        <f t="shared" si="1"/>
        <v>-37.826899053269869</v>
      </c>
      <c r="L66" s="248">
        <v>38565</v>
      </c>
      <c r="M66" s="250">
        <f>IF($L$1=1,VLOOKUP(L66,'Super Peak Curve Simulation'!$B$7:$N$225,12),VLOOKUP(L66,'PJM Curve Simulation'!$B$9:$J$246,9))</f>
        <v>82.699996948242188</v>
      </c>
      <c r="N66" s="250">
        <f t="shared" si="2"/>
        <v>45.276179866432003</v>
      </c>
      <c r="P66" s="250">
        <f>IF($L$1=1,VLOOKUP(L66,'Fuel Curve'!$B$7:$H$246,7),VLOOKUP(L66,'Revenues &amp; Expenses'!$K$9:$S$246,9))</f>
        <v>42.950254137931033</v>
      </c>
      <c r="Q66" s="250">
        <f>'Revenues &amp; Expenses'!$AM$5*1000*'Revenues &amp; Expenses'!O74</f>
        <v>2.3259257285009718</v>
      </c>
      <c r="S66" s="247">
        <f t="shared" si="3"/>
        <v>1</v>
      </c>
      <c r="T66" s="247">
        <f>'Revenues &amp; Expenses'!$S$3</f>
        <v>310.66000000000003</v>
      </c>
      <c r="U66" s="391">
        <f>T66*'Revenues &amp; Expenses'!F74*4</f>
        <v>28580.720000000001</v>
      </c>
      <c r="W66" s="391">
        <f t="shared" si="4"/>
        <v>1069599.6373464339</v>
      </c>
    </row>
    <row r="67" spans="2:23">
      <c r="B67" s="248">
        <v>38596</v>
      </c>
      <c r="C67" s="251">
        <f>VLOOKUP(B67,'Company Gas Prices'!$B$25:$C$259,2)</f>
        <v>3.8177083299999999</v>
      </c>
      <c r="D67" s="250">
        <f>VLOOKUP(B67,'Fuel Curve'!$B$7:$F$268,5)</f>
        <v>4.5743103448275866</v>
      </c>
      <c r="E67" s="250">
        <f t="shared" si="0"/>
        <v>0.75660201482758671</v>
      </c>
      <c r="G67" s="248">
        <v>38596</v>
      </c>
      <c r="H67" s="250">
        <f>VLOOKUP(G67,'Company Power Prices'!$B$25:$C$259,2)</f>
        <v>53.610625630000001</v>
      </c>
      <c r="I67" s="250">
        <f>VLOOKUP(G67,'Super Peak Curve Simulation'!$B$4:$C$225,2)</f>
        <v>39.18584867603883</v>
      </c>
      <c r="J67" s="252">
        <f t="shared" si="1"/>
        <v>-14.424776953961171</v>
      </c>
      <c r="L67" s="248">
        <v>38596</v>
      </c>
      <c r="M67" s="250">
        <f>IF($L$1=1,VLOOKUP(L67,'Super Peak Curve Simulation'!$B$7:$N$225,12),VLOOKUP(L67,'PJM Curve Simulation'!$B$9:$J$246,9))</f>
        <v>33.924998474121097</v>
      </c>
      <c r="N67" s="250">
        <f t="shared" si="2"/>
        <v>46.148414187613241</v>
      </c>
      <c r="P67" s="250">
        <f>IF($L$1=1,VLOOKUP(L67,'Fuel Curve'!$B$7:$H$246,7),VLOOKUP(L67,'Revenues &amp; Expenses'!$K$9:$S$246,9))</f>
        <v>43.817318793103453</v>
      </c>
      <c r="Q67" s="250">
        <f>'Revenues &amp; Expenses'!$AM$5*1000*'Revenues &amp; Expenses'!O75</f>
        <v>2.3310953945097856</v>
      </c>
      <c r="S67" s="247">
        <f t="shared" si="3"/>
        <v>0</v>
      </c>
      <c r="T67" s="247">
        <f>'Revenues &amp; Expenses'!$S$3</f>
        <v>310.66000000000003</v>
      </c>
      <c r="U67" s="391">
        <f>T67*'Revenues &amp; Expenses'!F75*4</f>
        <v>24852.800000000003</v>
      </c>
      <c r="W67" s="391">
        <f t="shared" si="4"/>
        <v>0</v>
      </c>
    </row>
    <row r="68" spans="2:23">
      <c r="B68" s="248">
        <v>38626</v>
      </c>
      <c r="C68" s="251">
        <f>VLOOKUP(B68,'Company Gas Prices'!$B$25:$C$259,2)</f>
        <v>3.7781250000000002</v>
      </c>
      <c r="D68" s="250">
        <f>VLOOKUP(B68,'Fuel Curve'!$B$7:$F$268,5)</f>
        <v>4.6634482758620699</v>
      </c>
      <c r="E68" s="250">
        <f t="shared" si="0"/>
        <v>0.88532327586206971</v>
      </c>
      <c r="G68" s="248">
        <v>38626</v>
      </c>
      <c r="H68" s="250">
        <f>VLOOKUP(G68,'Company Power Prices'!$B$25:$C$259,2)</f>
        <v>47.844415580000003</v>
      </c>
      <c r="I68" s="250">
        <f>VLOOKUP(G68,'Super Peak Curve Simulation'!$B$4:$C$225,2)</f>
        <v>32.393042323122025</v>
      </c>
      <c r="J68" s="252">
        <f t="shared" si="1"/>
        <v>-15.451373256877979</v>
      </c>
      <c r="L68" s="248">
        <v>38626</v>
      </c>
      <c r="M68" s="250">
        <f>IF($L$1=1,VLOOKUP(L68,'Super Peak Curve Simulation'!$B$7:$N$225,12),VLOOKUP(L68,'PJM Curve Simulation'!$B$9:$J$246,9))</f>
        <v>27.575000381469728</v>
      </c>
      <c r="N68" s="250">
        <f t="shared" si="2"/>
        <v>47.00744758524214</v>
      </c>
      <c r="P68" s="250">
        <f>IF($L$1=1,VLOOKUP(L68,'Fuel Curve'!$B$7:$H$246,7),VLOOKUP(L68,'Revenues &amp; Expenses'!$K$9:$S$246,9))</f>
        <v>44.671171034482768</v>
      </c>
      <c r="Q68" s="250">
        <f>'Revenues &amp; Expenses'!$AM$5*1000*'Revenues &amp; Expenses'!O76</f>
        <v>2.336276550759373</v>
      </c>
      <c r="S68" s="247">
        <f t="shared" si="3"/>
        <v>0</v>
      </c>
      <c r="T68" s="247">
        <f>'Revenues &amp; Expenses'!$S$3</f>
        <v>310.66000000000003</v>
      </c>
      <c r="U68" s="391">
        <f>T68*'Revenues &amp; Expenses'!F76*4</f>
        <v>28580.720000000001</v>
      </c>
      <c r="W68" s="391">
        <f t="shared" si="4"/>
        <v>0</v>
      </c>
    </row>
    <row r="69" spans="2:23">
      <c r="B69" s="248">
        <v>38657</v>
      </c>
      <c r="C69" s="251">
        <f>VLOOKUP(B69,'Company Gas Prices'!$B$25:$C$259,2)</f>
        <v>3.7781250000000002</v>
      </c>
      <c r="D69" s="250">
        <f>VLOOKUP(B69,'Fuel Curve'!$B$7:$F$268,5)</f>
        <v>4.7489655172413805</v>
      </c>
      <c r="E69" s="250">
        <f t="shared" ref="E69:E132" si="7">D69-C69</f>
        <v>0.97084051724138032</v>
      </c>
      <c r="G69" s="248">
        <v>38657</v>
      </c>
      <c r="H69" s="250">
        <f>VLOOKUP(G69,'Company Power Prices'!$B$25:$C$259,2)</f>
        <v>50.177827559999997</v>
      </c>
      <c r="I69" s="250">
        <f>VLOOKUP(G69,'Super Peak Curve Simulation'!$B$4:$C$225,2)</f>
        <v>32.447003097267157</v>
      </c>
      <c r="J69" s="252">
        <f t="shared" ref="J69:J132" si="8">I69-H69</f>
        <v>-17.730824462732841</v>
      </c>
      <c r="L69" s="248">
        <v>38657</v>
      </c>
      <c r="M69" s="250">
        <f>IF($L$1=1,VLOOKUP(L69,'Super Peak Curve Simulation'!$B$7:$N$225,12),VLOOKUP(L69,'PJM Curve Simulation'!$B$9:$J$246,9))</f>
        <v>27.247499084472658</v>
      </c>
      <c r="N69" s="250">
        <f t="shared" ref="N69:N132" si="9">P69+Q69</f>
        <v>47.83180991244344</v>
      </c>
      <c r="P69" s="250">
        <f>IF($L$1=1,VLOOKUP(L69,'Fuel Curve'!$B$7:$H$246,7),VLOOKUP(L69,'Revenues &amp; Expenses'!$K$9:$S$246,9))</f>
        <v>45.490340689655184</v>
      </c>
      <c r="Q69" s="250">
        <f>'Revenues &amp; Expenses'!$AM$5*1000*'Revenues &amp; Expenses'!O77</f>
        <v>2.3414692227882576</v>
      </c>
      <c r="S69" s="247">
        <f t="shared" ref="S69:S132" si="10">IF(M69&gt;N69,1,0)</f>
        <v>0</v>
      </c>
      <c r="T69" s="247">
        <f>'Revenues &amp; Expenses'!$S$3</f>
        <v>310.66000000000003</v>
      </c>
      <c r="U69" s="391">
        <f>T69*'Revenues &amp; Expenses'!F77*4</f>
        <v>27338.080000000002</v>
      </c>
      <c r="W69" s="391">
        <f t="shared" ref="W69:W132" si="11">IF(S69&gt;0,(M69-N69)*U69,0)</f>
        <v>0</v>
      </c>
    </row>
    <row r="70" spans="2:23">
      <c r="B70" s="248">
        <v>38687</v>
      </c>
      <c r="C70" s="251">
        <f>VLOOKUP(B70,'Company Gas Prices'!$B$25:$C$259,2)</f>
        <v>3.7781250000000002</v>
      </c>
      <c r="D70" s="250">
        <f>VLOOKUP(B70,'Fuel Curve'!$B$7:$F$268,5)</f>
        <v>4.7894827586206903</v>
      </c>
      <c r="E70" s="250">
        <f t="shared" si="7"/>
        <v>1.0113577586206901</v>
      </c>
      <c r="G70" s="248">
        <v>38687</v>
      </c>
      <c r="H70" s="250">
        <f>VLOOKUP(G70,'Company Power Prices'!$B$25:$C$259,2)</f>
        <v>50.177827559999997</v>
      </c>
      <c r="I70" s="250">
        <f>VLOOKUP(G70,'Super Peak Curve Simulation'!$B$4:$C$225,2)</f>
        <v>34.972952358499754</v>
      </c>
      <c r="J70" s="252">
        <f t="shared" si="8"/>
        <v>-15.204875201500244</v>
      </c>
      <c r="L70" s="248">
        <v>38687</v>
      </c>
      <c r="M70" s="250">
        <f>IF($L$1=1,VLOOKUP(L70,'Super Peak Curve Simulation'!$B$7:$N$225,12),VLOOKUP(L70,'PJM Curve Simulation'!$B$9:$J$246,9))</f>
        <v>28.999999618530275</v>
      </c>
      <c r="N70" s="250">
        <f t="shared" si="9"/>
        <v>48.225128781019315</v>
      </c>
      <c r="P70" s="250">
        <f>IF($L$1=1,VLOOKUP(L70,'Fuel Curve'!$B$7:$H$246,7),VLOOKUP(L70,'Revenues &amp; Expenses'!$K$9:$S$246,9))</f>
        <v>45.878455344827593</v>
      </c>
      <c r="Q70" s="250">
        <f>'Revenues &amp; Expenses'!$AM$5*1000*'Revenues &amp; Expenses'!O78</f>
        <v>2.3466734361917236</v>
      </c>
      <c r="S70" s="247">
        <f t="shared" si="10"/>
        <v>0</v>
      </c>
      <c r="T70" s="247">
        <f>'Revenues &amp; Expenses'!$S$3</f>
        <v>310.66000000000003</v>
      </c>
      <c r="U70" s="391">
        <f>T70*'Revenues &amp; Expenses'!F78*4</f>
        <v>26095.440000000002</v>
      </c>
      <c r="W70" s="391">
        <f t="shared" si="11"/>
        <v>0</v>
      </c>
    </row>
    <row r="71" spans="2:23">
      <c r="B71" s="248">
        <v>38718</v>
      </c>
      <c r="C71" s="251">
        <f>VLOOKUP(B71,'Company Gas Prices'!$B$25:$C$259,2)</f>
        <v>3.8354166699999999</v>
      </c>
      <c r="D71" s="250">
        <f>VLOOKUP(B71,'Fuel Curve'!$B$7:$F$268,5)</f>
        <v>4.7308620689655179</v>
      </c>
      <c r="E71" s="250">
        <f t="shared" si="7"/>
        <v>0.895445398965518</v>
      </c>
      <c r="G71" s="248">
        <v>38718</v>
      </c>
      <c r="H71" s="250">
        <f>VLOOKUP(G71,'Company Power Prices'!$B$25:$C$259,2)</f>
        <v>47.985188090000001</v>
      </c>
      <c r="I71" s="250">
        <f>VLOOKUP(G71,'Super Peak Curve Simulation'!$B$4:$C$225,2)</f>
        <v>46.381684495502206</v>
      </c>
      <c r="J71" s="252">
        <f t="shared" si="8"/>
        <v>-1.6035035944977949</v>
      </c>
      <c r="L71" s="248">
        <v>38718</v>
      </c>
      <c r="M71" s="250">
        <f>IF($L$1=1,VLOOKUP(L71,'Super Peak Curve Simulation'!$B$7:$N$225,12),VLOOKUP(L71,'PJM Curve Simulation'!$B$9:$J$246,9))</f>
        <v>37.824998474121088</v>
      </c>
      <c r="N71" s="250">
        <f t="shared" si="9"/>
        <v>47.668816975242642</v>
      </c>
      <c r="P71" s="250">
        <f>IF($L$1=1,VLOOKUP(L71,'Fuel Curve'!$B$7:$H$246,7),VLOOKUP(L71,'Revenues &amp; Expenses'!$K$9:$S$246,9))</f>
        <v>45.316927758620693</v>
      </c>
      <c r="Q71" s="250">
        <f>'Revenues &amp; Expenses'!$AM$5*1000*'Revenues &amp; Expenses'!O79</f>
        <v>2.3518892166219461</v>
      </c>
      <c r="S71" s="247">
        <f t="shared" si="10"/>
        <v>0</v>
      </c>
      <c r="T71" s="247">
        <f>'Revenues &amp; Expenses'!$S$3</f>
        <v>310.66000000000003</v>
      </c>
      <c r="U71" s="391">
        <f>T71*'Revenues &amp; Expenses'!F79*4</f>
        <v>28580.720000000001</v>
      </c>
      <c r="W71" s="391">
        <f t="shared" si="11"/>
        <v>0</v>
      </c>
    </row>
    <row r="72" spans="2:23">
      <c r="B72" s="248">
        <v>38749</v>
      </c>
      <c r="C72" s="251">
        <f>VLOOKUP(B72,'Company Gas Prices'!$B$25:$C$259,2)</f>
        <v>3.8354166699999999</v>
      </c>
      <c r="D72" s="250">
        <f>VLOOKUP(B72,'Fuel Curve'!$B$7:$F$268,5)</f>
        <v>4.6294827586206901</v>
      </c>
      <c r="E72" s="250">
        <f t="shared" si="7"/>
        <v>0.79406608862069028</v>
      </c>
      <c r="G72" s="248">
        <v>38749</v>
      </c>
      <c r="H72" s="250">
        <f>VLOOKUP(G72,'Company Power Prices'!$B$25:$C$259,2)</f>
        <v>41.739237850000002</v>
      </c>
      <c r="I72" s="250">
        <f>VLOOKUP(G72,'Super Peak Curve Simulation'!$B$4:$C$225,2)</f>
        <v>46.381684495502206</v>
      </c>
      <c r="J72" s="252">
        <f t="shared" si="8"/>
        <v>4.6424466455022042</v>
      </c>
      <c r="L72" s="248">
        <v>38749</v>
      </c>
      <c r="M72" s="250">
        <f>IF($L$1=1,VLOOKUP(L72,'Super Peak Curve Simulation'!$B$7:$N$225,12),VLOOKUP(L72,'PJM Curve Simulation'!$B$9:$J$246,9))</f>
        <v>37.824998474121088</v>
      </c>
      <c r="N72" s="250">
        <f t="shared" si="9"/>
        <v>46.702931934615705</v>
      </c>
      <c r="P72" s="250">
        <f>IF($L$1=1,VLOOKUP(L72,'Fuel Curve'!$B$7:$H$246,7),VLOOKUP(L72,'Revenues &amp; Expenses'!$K$9:$S$246,9))</f>
        <v>44.345815344827592</v>
      </c>
      <c r="Q72" s="250">
        <f>'Revenues &amp; Expenses'!$AM$5*1000*'Revenues &amp; Expenses'!O80</f>
        <v>2.3571165897881143</v>
      </c>
      <c r="S72" s="247">
        <f t="shared" si="10"/>
        <v>0</v>
      </c>
      <c r="T72" s="247">
        <f>'Revenues &amp; Expenses'!$S$3</f>
        <v>310.66000000000003</v>
      </c>
      <c r="U72" s="391">
        <f>T72*'Revenues &amp; Expenses'!F80*4</f>
        <v>24852.800000000003</v>
      </c>
      <c r="W72" s="391">
        <f t="shared" si="11"/>
        <v>0</v>
      </c>
    </row>
    <row r="73" spans="2:23">
      <c r="B73" s="248">
        <v>38777</v>
      </c>
      <c r="C73" s="251">
        <f>VLOOKUP(B73,'Company Gas Prices'!$B$25:$C$259,2)</f>
        <v>3.8354166699999999</v>
      </c>
      <c r="D73" s="250">
        <f>VLOOKUP(B73,'Fuel Curve'!$B$7:$F$268,5)</f>
        <v>4.5308620689655177</v>
      </c>
      <c r="E73" s="250">
        <f t="shared" si="7"/>
        <v>0.69544539896551782</v>
      </c>
      <c r="G73" s="248">
        <v>38777</v>
      </c>
      <c r="H73" s="250">
        <f>VLOOKUP(G73,'Company Power Prices'!$B$25:$C$259,2)</f>
        <v>41.739237850000002</v>
      </c>
      <c r="I73" s="250">
        <f>VLOOKUP(G73,'Super Peak Curve Simulation'!$B$4:$C$225,2)</f>
        <v>33.506999677906038</v>
      </c>
      <c r="J73" s="252">
        <f t="shared" si="8"/>
        <v>-8.2322381720939646</v>
      </c>
      <c r="L73" s="248">
        <v>38777</v>
      </c>
      <c r="M73" s="250">
        <f>IF($L$1=1,VLOOKUP(L73,'Super Peak Curve Simulation'!$B$7:$N$225,12),VLOOKUP(L73,'PJM Curve Simulation'!$B$9:$J$246,9))</f>
        <v>27.550000762939455</v>
      </c>
      <c r="N73" s="250">
        <f t="shared" si="9"/>
        <v>45.763483340077258</v>
      </c>
      <c r="P73" s="250">
        <f>IF($L$1=1,VLOOKUP(L73,'Fuel Curve'!$B$7:$H$246,7),VLOOKUP(L73,'Revenues &amp; Expenses'!$K$9:$S$246,9))</f>
        <v>43.401127758620696</v>
      </c>
      <c r="Q73" s="250">
        <f>'Revenues &amp; Expenses'!$AM$5*1000*'Revenues &amp; Expenses'!O81</f>
        <v>2.3623555814565598</v>
      </c>
      <c r="S73" s="247">
        <f t="shared" si="10"/>
        <v>0</v>
      </c>
      <c r="T73" s="247">
        <f>'Revenues &amp; Expenses'!$S$3</f>
        <v>310.66000000000003</v>
      </c>
      <c r="U73" s="391">
        <f>T73*'Revenues &amp; Expenses'!F81*4</f>
        <v>26095.440000000002</v>
      </c>
      <c r="W73" s="391">
        <f t="shared" si="11"/>
        <v>0</v>
      </c>
    </row>
    <row r="74" spans="2:23">
      <c r="B74" s="248">
        <v>38808</v>
      </c>
      <c r="C74" s="251">
        <f>VLOOKUP(B74,'Company Gas Prices'!$B$25:$C$259,2)</f>
        <v>3.98020833</v>
      </c>
      <c r="D74" s="250">
        <f>VLOOKUP(B74,'Fuel Curve'!$B$7:$F$268,5)</f>
        <v>4.4287931034482764</v>
      </c>
      <c r="E74" s="250">
        <f t="shared" si="7"/>
        <v>0.44858477344827641</v>
      </c>
      <c r="G74" s="248">
        <v>38808</v>
      </c>
      <c r="H74" s="250">
        <f>VLOOKUP(G74,'Company Power Prices'!$B$25:$C$259,2)</f>
        <v>46.17733114</v>
      </c>
      <c r="I74" s="250">
        <f>VLOOKUP(G74,'Super Peak Curve Simulation'!$B$4:$C$225,2)</f>
        <v>30.996450450543918</v>
      </c>
      <c r="J74" s="252">
        <f t="shared" si="8"/>
        <v>-15.180880689456082</v>
      </c>
      <c r="L74" s="248">
        <v>38808</v>
      </c>
      <c r="M74" s="250">
        <f>IF($L$1=1,VLOOKUP(L74,'Super Peak Curve Simulation'!$B$7:$N$225,12),VLOOKUP(L74,'PJM Curve Simulation'!$B$9:$J$246,9))</f>
        <v>27.325000762939453</v>
      </c>
      <c r="N74" s="250">
        <f t="shared" si="9"/>
        <v>44.791015355381923</v>
      </c>
      <c r="P74" s="250">
        <f>IF($L$1=1,VLOOKUP(L74,'Fuel Curve'!$B$7:$H$246,7),VLOOKUP(L74,'Revenues &amp; Expenses'!$K$9:$S$246,9))</f>
        <v>42.423409137931039</v>
      </c>
      <c r="Q74" s="250">
        <f>'Revenues &amp; Expenses'!$AM$5*1000*'Revenues &amp; Expenses'!O82</f>
        <v>2.3676062174508816</v>
      </c>
      <c r="S74" s="247">
        <f t="shared" si="10"/>
        <v>0</v>
      </c>
      <c r="T74" s="247">
        <f>'Revenues &amp; Expenses'!$S$3</f>
        <v>310.66000000000003</v>
      </c>
      <c r="U74" s="391">
        <f>T74*'Revenues &amp; Expenses'!F82*4</f>
        <v>27338.080000000002</v>
      </c>
      <c r="W74" s="391">
        <f t="shared" si="11"/>
        <v>0</v>
      </c>
    </row>
    <row r="75" spans="2:23">
      <c r="B75" s="248">
        <v>38838</v>
      </c>
      <c r="C75" s="251">
        <f>VLOOKUP(B75,'Company Gas Prices'!$B$25:$C$259,2)</f>
        <v>3.8177083299999999</v>
      </c>
      <c r="D75" s="250">
        <f>VLOOKUP(B75,'Fuel Curve'!$B$7:$F$268,5)</f>
        <v>4.3593103448275867</v>
      </c>
      <c r="E75" s="250">
        <f t="shared" si="7"/>
        <v>0.54160201482758685</v>
      </c>
      <c r="G75" s="248">
        <v>38838</v>
      </c>
      <c r="H75" s="250">
        <f>VLOOKUP(G75,'Company Power Prices'!$B$25:$C$259,2)</f>
        <v>56.393782999999999</v>
      </c>
      <c r="I75" s="250">
        <f>VLOOKUP(G75,'Super Peak Curve Simulation'!$B$4:$C$225,2)</f>
        <v>35.760971394090625</v>
      </c>
      <c r="J75" s="252">
        <f t="shared" si="8"/>
        <v>-20.632811605909374</v>
      </c>
      <c r="L75" s="248">
        <v>38838</v>
      </c>
      <c r="M75" s="250">
        <f>IF($L$1=1,VLOOKUP(L75,'Super Peak Curve Simulation'!$B$7:$N$225,12),VLOOKUP(L75,'PJM Curve Simulation'!$B$9:$J$246,9))</f>
        <v>32.575000000000003</v>
      </c>
      <c r="N75" s="250">
        <f t="shared" si="9"/>
        <v>44.130702316755539</v>
      </c>
      <c r="P75" s="250">
        <f>IF($L$1=1,VLOOKUP(L75,'Fuel Curve'!$B$7:$H$246,7),VLOOKUP(L75,'Revenues &amp; Expenses'!$K$9:$S$246,9))</f>
        <v>41.757833793103458</v>
      </c>
      <c r="Q75" s="250">
        <f>'Revenues &amp; Expenses'!$AM$5*1000*'Revenues &amp; Expenses'!O83</f>
        <v>2.3728685236520777</v>
      </c>
      <c r="S75" s="247">
        <f t="shared" si="10"/>
        <v>0</v>
      </c>
      <c r="T75" s="247">
        <f>'Revenues &amp; Expenses'!$S$3</f>
        <v>310.66000000000003</v>
      </c>
      <c r="U75" s="391">
        <f>T75*'Revenues &amp; Expenses'!F83*4</f>
        <v>28580.720000000001</v>
      </c>
      <c r="W75" s="391">
        <f t="shared" si="11"/>
        <v>0</v>
      </c>
    </row>
    <row r="76" spans="2:23">
      <c r="B76" s="248">
        <v>38869</v>
      </c>
      <c r="C76" s="251">
        <f>VLOOKUP(B76,'Company Gas Prices'!$B$25:$C$259,2)</f>
        <v>3.8093750000000002</v>
      </c>
      <c r="D76" s="250">
        <f>VLOOKUP(B76,'Fuel Curve'!$B$7:$F$268,5)</f>
        <v>4.3513793103448286</v>
      </c>
      <c r="E76" s="250">
        <f t="shared" si="7"/>
        <v>0.54200431034482843</v>
      </c>
      <c r="G76" s="248">
        <v>38869</v>
      </c>
      <c r="H76" s="250">
        <f>VLOOKUP(G76,'Company Power Prices'!$B$25:$C$259,2)</f>
        <v>102.64554800000001</v>
      </c>
      <c r="I76" s="250">
        <f>VLOOKUP(G76,'Super Peak Curve Simulation'!$B$4:$C$225,2)</f>
        <v>70.76830579651056</v>
      </c>
      <c r="J76" s="252">
        <f t="shared" si="8"/>
        <v>-31.877242203489445</v>
      </c>
      <c r="L76" s="248">
        <v>38869</v>
      </c>
      <c r="M76" s="250">
        <f>IF($L$1=1,VLOOKUP(L76,'Super Peak Curve Simulation'!$B$7:$N$225,12),VLOOKUP(L76,'PJM Curve Simulation'!$B$9:$J$246,9))</f>
        <v>57.349998474121094</v>
      </c>
      <c r="N76" s="250">
        <f t="shared" si="9"/>
        <v>44.060004939791781</v>
      </c>
      <c r="P76" s="250">
        <f>IF($L$1=1,VLOOKUP(L76,'Fuel Curve'!$B$7:$H$246,7),VLOOKUP(L76,'Revenues &amp; Expenses'!$K$9:$S$246,9))</f>
        <v>41.681862413793112</v>
      </c>
      <c r="Q76" s="250">
        <f>'Revenues &amp; Expenses'!$AM$5*1000*'Revenues &amp; Expenses'!O84</f>
        <v>2.3781425259986677</v>
      </c>
      <c r="S76" s="247">
        <f t="shared" si="10"/>
        <v>1</v>
      </c>
      <c r="T76" s="247">
        <f>'Revenues &amp; Expenses'!$S$3</f>
        <v>310.66000000000003</v>
      </c>
      <c r="U76" s="391">
        <f>T76*'Revenues &amp; Expenses'!F84*4</f>
        <v>24852.800000000003</v>
      </c>
      <c r="W76" s="391">
        <f t="shared" si="11"/>
        <v>330293.55130997958</v>
      </c>
    </row>
    <row r="77" spans="2:23">
      <c r="B77" s="248">
        <v>38899</v>
      </c>
      <c r="C77" s="251">
        <f>VLOOKUP(B77,'Company Gas Prices'!$B$25:$C$259,2)</f>
        <v>3.7718750000000001</v>
      </c>
      <c r="D77" s="250">
        <f>VLOOKUP(B77,'Fuel Curve'!$B$7:$F$268,5)</f>
        <v>4.4063793103448283</v>
      </c>
      <c r="E77" s="250">
        <f t="shared" si="7"/>
        <v>0.63450431034482824</v>
      </c>
      <c r="G77" s="248">
        <v>38899</v>
      </c>
      <c r="H77" s="250">
        <f>VLOOKUP(G77,'Company Power Prices'!$B$25:$C$259,2)</f>
        <v>159.35017020000001</v>
      </c>
      <c r="I77" s="250">
        <f>VLOOKUP(G77,'Super Peak Curve Simulation'!$B$4:$C$225,2)</f>
        <v>128.61478753046788</v>
      </c>
      <c r="J77" s="252">
        <f t="shared" si="8"/>
        <v>-30.735382669532129</v>
      </c>
      <c r="L77" s="248">
        <v>38899</v>
      </c>
      <c r="M77" s="250">
        <f>IF($L$1=1,VLOOKUP(L77,'Super Peak Curve Simulation'!$B$7:$N$225,12),VLOOKUP(L77,'PJM Curve Simulation'!$B$9:$J$246,9))</f>
        <v>97.949996948242188</v>
      </c>
      <c r="N77" s="250">
        <f t="shared" si="9"/>
        <v>44.592135664279937</v>
      </c>
      <c r="P77" s="250">
        <f>IF($L$1=1,VLOOKUP(L77,'Fuel Curve'!$B$7:$H$246,7),VLOOKUP(L77,'Revenues &amp; Expenses'!$K$9:$S$246,9))</f>
        <v>42.208707413793114</v>
      </c>
      <c r="Q77" s="250">
        <f>'Revenues &amp; Expenses'!$AM$5*1000*'Revenues &amp; Expenses'!O85</f>
        <v>2.3834282504868241</v>
      </c>
      <c r="S77" s="247">
        <f t="shared" si="10"/>
        <v>1</v>
      </c>
      <c r="T77" s="247">
        <f>'Revenues &amp; Expenses'!$S$3</f>
        <v>310.66000000000003</v>
      </c>
      <c r="U77" s="391">
        <f>T77*'Revenues &amp; Expenses'!F85*4</f>
        <v>28580.720000000001</v>
      </c>
      <c r="W77" s="391">
        <f t="shared" si="11"/>
        <v>1525006.0931557657</v>
      </c>
    </row>
    <row r="78" spans="2:23">
      <c r="B78" s="248">
        <v>38930</v>
      </c>
      <c r="C78" s="251">
        <f>VLOOKUP(B78,'Company Gas Prices'!$B$25:$C$259,2)</f>
        <v>3.7718750000000001</v>
      </c>
      <c r="D78" s="250">
        <f>VLOOKUP(B78,'Fuel Curve'!$B$7:$F$268,5)</f>
        <v>4.4946551724137933</v>
      </c>
      <c r="E78" s="250">
        <f t="shared" si="7"/>
        <v>0.72278017241379322</v>
      </c>
      <c r="G78" s="248">
        <v>38930</v>
      </c>
      <c r="H78" s="250">
        <f>VLOOKUP(G78,'Company Power Prices'!$B$25:$C$259,2)</f>
        <v>159.35017020000001</v>
      </c>
      <c r="I78" s="250">
        <f>VLOOKUP(G78,'Super Peak Curve Simulation'!$B$4:$C$225,2)</f>
        <v>104.262520001659</v>
      </c>
      <c r="J78" s="252">
        <f t="shared" si="8"/>
        <v>-55.087650198341009</v>
      </c>
      <c r="L78" s="248">
        <v>38930</v>
      </c>
      <c r="M78" s="250">
        <f>IF($L$1=1,VLOOKUP(L78,'Super Peak Curve Simulation'!$B$7:$N$225,12),VLOOKUP(L78,'PJM Curve Simulation'!$B$9:$J$246,9))</f>
        <v>84.949996948242188</v>
      </c>
      <c r="N78" s="250">
        <f t="shared" si="9"/>
        <v>45.443027619722223</v>
      </c>
      <c r="P78" s="250">
        <f>IF($L$1=1,VLOOKUP(L78,'Fuel Curve'!$B$7:$H$246,7),VLOOKUP(L78,'Revenues &amp; Expenses'!$K$9:$S$246,9))</f>
        <v>43.054301896551728</v>
      </c>
      <c r="Q78" s="250">
        <f>'Revenues &amp; Expenses'!$AM$5*1000*'Revenues &amp; Expenses'!O86</f>
        <v>2.3887257231704977</v>
      </c>
      <c r="S78" s="247">
        <f t="shared" si="10"/>
        <v>1</v>
      </c>
      <c r="T78" s="247">
        <f>'Revenues &amp; Expenses'!$S$3</f>
        <v>310.66000000000003</v>
      </c>
      <c r="U78" s="391">
        <f>T78*'Revenues &amp; Expenses'!F86*4</f>
        <v>27338.080000000002</v>
      </c>
      <c r="W78" s="391">
        <f t="shared" si="11"/>
        <v>1080044.6880606252</v>
      </c>
    </row>
    <row r="79" spans="2:23">
      <c r="B79" s="248">
        <v>38961</v>
      </c>
      <c r="C79" s="251">
        <f>VLOOKUP(B79,'Company Gas Prices'!$B$25:$C$259,2)</f>
        <v>3.8177083299999999</v>
      </c>
      <c r="D79" s="250">
        <f>VLOOKUP(B79,'Fuel Curve'!$B$7:$F$268,5)</f>
        <v>4.588103448275862</v>
      </c>
      <c r="E79" s="250">
        <f t="shared" si="7"/>
        <v>0.77039511827586216</v>
      </c>
      <c r="G79" s="248">
        <v>38961</v>
      </c>
      <c r="H79" s="250">
        <f>VLOOKUP(G79,'Company Power Prices'!$B$25:$C$259,2)</f>
        <v>56.393782999999999</v>
      </c>
      <c r="I79" s="250">
        <f>VLOOKUP(G79,'Super Peak Curve Simulation'!$B$4:$C$225,2)</f>
        <v>39.763385160026154</v>
      </c>
      <c r="J79" s="252">
        <f t="shared" si="8"/>
        <v>-16.630397839973845</v>
      </c>
      <c r="L79" s="248">
        <v>38961</v>
      </c>
      <c r="M79" s="250">
        <f>IF($L$1=1,VLOOKUP(L79,'Super Peak Curve Simulation'!$B$7:$N$225,12),VLOOKUP(L79,'PJM Curve Simulation'!$B$9:$J$246,9))</f>
        <v>34.424998474121097</v>
      </c>
      <c r="N79" s="250">
        <f t="shared" si="9"/>
        <v>46.343477901196032</v>
      </c>
      <c r="P79" s="250">
        <f>IF($L$1=1,VLOOKUP(L79,'Fuel Curve'!$B$7:$H$246,7),VLOOKUP(L79,'Revenues &amp; Expenses'!$K$9:$S$246,9))</f>
        <v>43.949442931034483</v>
      </c>
      <c r="Q79" s="250">
        <f>'Revenues &amp; Expenses'!$AM$5*1000*'Revenues &amp; Expenses'!O87</f>
        <v>2.3940349701615493</v>
      </c>
      <c r="S79" s="247">
        <f t="shared" si="10"/>
        <v>0</v>
      </c>
      <c r="T79" s="247">
        <f>'Revenues &amp; Expenses'!$S$3</f>
        <v>310.66000000000003</v>
      </c>
      <c r="U79" s="391">
        <f>T79*'Revenues &amp; Expenses'!F87*4</f>
        <v>26095.440000000002</v>
      </c>
      <c r="W79" s="391">
        <f t="shared" si="11"/>
        <v>0</v>
      </c>
    </row>
    <row r="80" spans="2:23">
      <c r="B80" s="248">
        <v>38991</v>
      </c>
      <c r="C80" s="251">
        <f>VLOOKUP(B80,'Company Gas Prices'!$B$25:$C$259,2)</f>
        <v>3.7781250000000002</v>
      </c>
      <c r="D80" s="250">
        <f>VLOOKUP(B80,'Fuel Curve'!$B$7:$F$268,5)</f>
        <v>4.6786206896551734</v>
      </c>
      <c r="E80" s="250">
        <f t="shared" si="7"/>
        <v>0.90049568965517324</v>
      </c>
      <c r="G80" s="248">
        <v>38991</v>
      </c>
      <c r="H80" s="250">
        <f>VLOOKUP(G80,'Company Power Prices'!$B$25:$C$259,2)</f>
        <v>47.893237370000001</v>
      </c>
      <c r="I80" s="250">
        <f>VLOOKUP(G80,'Super Peak Curve Simulation'!$B$4:$C$225,2)</f>
        <v>32.980404823122029</v>
      </c>
      <c r="J80" s="252">
        <f t="shared" si="8"/>
        <v>-14.912832546877972</v>
      </c>
      <c r="L80" s="248">
        <v>38991</v>
      </c>
      <c r="M80" s="250">
        <f>IF($L$1=1,VLOOKUP(L80,'Super Peak Curve Simulation'!$B$7:$N$225,12),VLOOKUP(L80,'PJM Curve Simulation'!$B$9:$J$246,9))</f>
        <v>28.075000381469728</v>
      </c>
      <c r="N80" s="250">
        <f t="shared" si="9"/>
        <v>47.21586360383678</v>
      </c>
      <c r="P80" s="250">
        <f>IF($L$1=1,VLOOKUP(L80,'Fuel Curve'!$B$7:$H$246,7),VLOOKUP(L80,'Revenues &amp; Expenses'!$K$9:$S$246,9))</f>
        <v>44.816507586206903</v>
      </c>
      <c r="Q80" s="250">
        <f>'Revenues &amp; Expenses'!$AM$5*1000*'Revenues &amp; Expenses'!O88</f>
        <v>2.3993560176298758</v>
      </c>
      <c r="S80" s="247">
        <f t="shared" si="10"/>
        <v>0</v>
      </c>
      <c r="T80" s="247">
        <f>'Revenues &amp; Expenses'!$S$3</f>
        <v>310.66000000000003</v>
      </c>
      <c r="U80" s="391">
        <f>T80*'Revenues &amp; Expenses'!F88*4</f>
        <v>28580.720000000001</v>
      </c>
      <c r="W80" s="391">
        <f t="shared" si="11"/>
        <v>0</v>
      </c>
    </row>
    <row r="81" spans="2:23">
      <c r="B81" s="248">
        <v>39022</v>
      </c>
      <c r="C81" s="251">
        <f>VLOOKUP(B81,'Company Gas Prices'!$B$25:$C$259,2)</f>
        <v>3.7781250000000002</v>
      </c>
      <c r="D81" s="250">
        <f>VLOOKUP(B81,'Fuel Curve'!$B$7:$F$268,5)</f>
        <v>4.7670689655172422</v>
      </c>
      <c r="E81" s="250">
        <f t="shared" si="7"/>
        <v>0.98894396551724206</v>
      </c>
      <c r="G81" s="248">
        <v>39022</v>
      </c>
      <c r="H81" s="250">
        <f>VLOOKUP(G81,'Company Power Prices'!$B$25:$C$259,2)</f>
        <v>50.220165530000003</v>
      </c>
      <c r="I81" s="250">
        <f>VLOOKUP(G81,'Super Peak Curve Simulation'!$B$4:$C$225,2)</f>
        <v>33.042415597267158</v>
      </c>
      <c r="J81" s="252">
        <f t="shared" si="8"/>
        <v>-17.177749932732844</v>
      </c>
      <c r="L81" s="248">
        <v>39022</v>
      </c>
      <c r="M81" s="250">
        <f>IF($L$1=1,VLOOKUP(L81,'Super Peak Curve Simulation'!$B$7:$N$225,12),VLOOKUP(L81,'PJM Curve Simulation'!$B$9:$J$246,9))</f>
        <v>27.747499084472658</v>
      </c>
      <c r="N81" s="250">
        <f t="shared" si="9"/>
        <v>48.068442512493199</v>
      </c>
      <c r="P81" s="250">
        <f>IF($L$1=1,VLOOKUP(L81,'Fuel Curve'!$B$7:$H$246,7),VLOOKUP(L81,'Revenues &amp; Expenses'!$K$9:$S$246,9))</f>
        <v>45.663753620689661</v>
      </c>
      <c r="Q81" s="250">
        <f>'Revenues &amp; Expenses'!$AM$5*1000*'Revenues &amp; Expenses'!O89</f>
        <v>2.4046888918035401</v>
      </c>
      <c r="S81" s="247">
        <f t="shared" si="10"/>
        <v>0</v>
      </c>
      <c r="T81" s="247">
        <f>'Revenues &amp; Expenses'!$S$3</f>
        <v>310.66000000000003</v>
      </c>
      <c r="U81" s="391">
        <f>T81*'Revenues &amp; Expenses'!F89*4</f>
        <v>26095.440000000002</v>
      </c>
      <c r="W81" s="391">
        <f t="shared" si="11"/>
        <v>0</v>
      </c>
    </row>
    <row r="82" spans="2:23">
      <c r="B82" s="248">
        <v>39052</v>
      </c>
      <c r="C82" s="251">
        <f>VLOOKUP(B82,'Company Gas Prices'!$B$25:$C$259,2)</f>
        <v>3.7781250000000002</v>
      </c>
      <c r="D82" s="250">
        <f>VLOOKUP(B82,'Fuel Curve'!$B$7:$F$268,5)</f>
        <v>4.808965517241381</v>
      </c>
      <c r="E82" s="250">
        <f t="shared" si="7"/>
        <v>1.0308405172413808</v>
      </c>
      <c r="G82" s="248">
        <v>39052</v>
      </c>
      <c r="H82" s="250">
        <f>VLOOKUP(G82,'Company Power Prices'!$B$25:$C$259,2)</f>
        <v>50.220165530000003</v>
      </c>
      <c r="I82" s="250">
        <f>VLOOKUP(G82,'Super Peak Curve Simulation'!$B$4:$C$225,2)</f>
        <v>35.575934303646967</v>
      </c>
      <c r="J82" s="252">
        <f t="shared" si="8"/>
        <v>-14.644231226353035</v>
      </c>
      <c r="L82" s="248">
        <v>39052</v>
      </c>
      <c r="M82" s="250">
        <f>IF($L$1=1,VLOOKUP(L82,'Super Peak Curve Simulation'!$B$7:$N$225,12),VLOOKUP(L82,'PJM Curve Simulation'!$B$9:$J$246,9))</f>
        <v>29.499999618530275</v>
      </c>
      <c r="N82" s="250">
        <f t="shared" si="9"/>
        <v>48.475114308624093</v>
      </c>
      <c r="P82" s="250">
        <f>IF($L$1=1,VLOOKUP(L82,'Fuel Curve'!$B$7:$H$246,7),VLOOKUP(L82,'Revenues &amp; Expenses'!$K$9:$S$246,9))</f>
        <v>46.06508068965519</v>
      </c>
      <c r="Q82" s="250">
        <f>'Revenues &amp; Expenses'!$AM$5*1000*'Revenues &amp; Expenses'!O90</f>
        <v>2.4100336189689</v>
      </c>
      <c r="S82" s="247">
        <f t="shared" si="10"/>
        <v>0</v>
      </c>
      <c r="T82" s="247">
        <f>'Revenues &amp; Expenses'!$S$3</f>
        <v>310.66000000000003</v>
      </c>
      <c r="U82" s="391">
        <f>T82*'Revenues &amp; Expenses'!F90*4</f>
        <v>27338.080000000002</v>
      </c>
      <c r="W82" s="391">
        <f t="shared" si="11"/>
        <v>0</v>
      </c>
    </row>
    <row r="83" spans="2:23">
      <c r="B83" s="248">
        <v>39083</v>
      </c>
      <c r="C83" s="251">
        <f>VLOOKUP(B83,'Company Gas Prices'!$B$25:$C$259,2)</f>
        <v>3.8354166699999999</v>
      </c>
      <c r="D83" s="250">
        <f>VLOOKUP(B83,'Fuel Curve'!$B$7:$F$268,5)</f>
        <v>4.7525862068965523</v>
      </c>
      <c r="E83" s="250">
        <f t="shared" si="7"/>
        <v>0.91716953689655245</v>
      </c>
      <c r="G83" s="248">
        <v>39083</v>
      </c>
      <c r="H83" s="250">
        <f>VLOOKUP(G83,'Company Power Prices'!$B$25:$C$259,2)</f>
        <v>47.92342798</v>
      </c>
      <c r="I83" s="250">
        <f>VLOOKUP(G83,'Super Peak Curve Simulation'!$B$4:$C$225,2)</f>
        <v>46.994793370142816</v>
      </c>
      <c r="J83" s="252">
        <f t="shared" si="8"/>
        <v>-0.92863460985718405</v>
      </c>
      <c r="L83" s="248">
        <v>39083</v>
      </c>
      <c r="M83" s="250">
        <f>IF($L$1=1,VLOOKUP(L83,'Super Peak Curve Simulation'!$B$7:$N$225,12),VLOOKUP(L83,'PJM Curve Simulation'!$B$9:$J$246,9))</f>
        <v>38.324998474121088</v>
      </c>
      <c r="N83" s="250">
        <f t="shared" si="9"/>
        <v>47.940413501332813</v>
      </c>
      <c r="P83" s="250">
        <f>IF($L$1=1,VLOOKUP(L83,'Fuel Curve'!$B$7:$H$246,7),VLOOKUP(L83,'Revenues &amp; Expenses'!$K$9:$S$246,9))</f>
        <v>45.525023275862075</v>
      </c>
      <c r="Q83" s="250">
        <f>'Revenues &amp; Expenses'!$AM$5*1000*'Revenues &amp; Expenses'!O91</f>
        <v>2.4153902254707389</v>
      </c>
      <c r="S83" s="247">
        <f t="shared" si="10"/>
        <v>0</v>
      </c>
      <c r="T83" s="247">
        <f>'Revenues &amp; Expenses'!$S$3</f>
        <v>310.66000000000003</v>
      </c>
      <c r="U83" s="391">
        <f>T83*'Revenues &amp; Expenses'!F91*4</f>
        <v>28580.720000000001</v>
      </c>
      <c r="W83" s="391">
        <f t="shared" si="11"/>
        <v>0</v>
      </c>
    </row>
    <row r="84" spans="2:23">
      <c r="B84" s="248">
        <v>39114</v>
      </c>
      <c r="C84" s="251">
        <f>VLOOKUP(B84,'Company Gas Prices'!$B$25:$C$259,2)</f>
        <v>3.8354166699999999</v>
      </c>
      <c r="D84" s="250">
        <f>VLOOKUP(B84,'Fuel Curve'!$B$7:$F$268,5)</f>
        <v>4.6525862068965527</v>
      </c>
      <c r="E84" s="250">
        <f t="shared" si="7"/>
        <v>0.81716953689655281</v>
      </c>
      <c r="G84" s="248">
        <v>39114</v>
      </c>
      <c r="H84" s="250">
        <f>VLOOKUP(G84,'Company Power Prices'!$B$25:$C$259,2)</f>
        <v>41.750481800000003</v>
      </c>
      <c r="I84" s="250">
        <f>VLOOKUP(G84,'Super Peak Curve Simulation'!$B$4:$C$225,2)</f>
        <v>46.994793370142816</v>
      </c>
      <c r="J84" s="252">
        <f t="shared" si="8"/>
        <v>5.2443115701428127</v>
      </c>
      <c r="L84" s="248">
        <v>39114</v>
      </c>
      <c r="M84" s="250">
        <f>IF($L$1=1,VLOOKUP(L84,'Super Peak Curve Simulation'!$B$7:$N$225,12),VLOOKUP(L84,'PJM Curve Simulation'!$B$9:$J$246,9))</f>
        <v>38.324998474121088</v>
      </c>
      <c r="N84" s="250">
        <f t="shared" si="9"/>
        <v>46.987882013574463</v>
      </c>
      <c r="P84" s="250">
        <f>IF($L$1=1,VLOOKUP(L84,'Fuel Curve'!$B$7:$H$246,7),VLOOKUP(L84,'Revenues &amp; Expenses'!$K$9:$S$246,9))</f>
        <v>44.567123275862073</v>
      </c>
      <c r="Q84" s="250">
        <f>'Revenues &amp; Expenses'!$AM$5*1000*'Revenues &amp; Expenses'!O92</f>
        <v>2.4207587377123936</v>
      </c>
      <c r="S84" s="247">
        <f t="shared" si="10"/>
        <v>0</v>
      </c>
      <c r="T84" s="247">
        <f>'Revenues &amp; Expenses'!$S$3</f>
        <v>310.66000000000003</v>
      </c>
      <c r="U84" s="391">
        <f>T84*'Revenues &amp; Expenses'!F92*4</f>
        <v>24852.800000000003</v>
      </c>
      <c r="W84" s="391">
        <f t="shared" si="11"/>
        <v>0</v>
      </c>
    </row>
    <row r="85" spans="2:23">
      <c r="B85" s="248">
        <v>39142</v>
      </c>
      <c r="C85" s="251">
        <f>VLOOKUP(B85,'Company Gas Prices'!$B$25:$C$259,2)</f>
        <v>3.8354166699999999</v>
      </c>
      <c r="D85" s="250">
        <f>VLOOKUP(B85,'Fuel Curve'!$B$7:$F$268,5)</f>
        <v>4.5555172413793112</v>
      </c>
      <c r="E85" s="250">
        <f t="shared" si="7"/>
        <v>0.72010057137931138</v>
      </c>
      <c r="G85" s="248">
        <v>39142</v>
      </c>
      <c r="H85" s="250">
        <f>VLOOKUP(G85,'Company Power Prices'!$B$25:$C$259,2)</f>
        <v>41.750481800000003</v>
      </c>
      <c r="I85" s="250">
        <f>VLOOKUP(G85,'Super Peak Curve Simulation'!$B$4:$C$225,2)</f>
        <v>34.115112177906042</v>
      </c>
      <c r="J85" s="252">
        <f t="shared" si="8"/>
        <v>-7.6353696220939611</v>
      </c>
      <c r="L85" s="248">
        <v>39142</v>
      </c>
      <c r="M85" s="250">
        <f>IF($L$1=1,VLOOKUP(L85,'Super Peak Curve Simulation'!$B$7:$N$225,12),VLOOKUP(L85,'PJM Curve Simulation'!$B$9:$J$246,9))</f>
        <v>28.050000762939455</v>
      </c>
      <c r="N85" s="250">
        <f t="shared" si="9"/>
        <v>46.063438837328306</v>
      </c>
      <c r="P85" s="250">
        <f>IF($L$1=1,VLOOKUP(L85,'Fuel Curve'!$B$7:$H$246,7),VLOOKUP(L85,'Revenues &amp; Expenses'!$K$9:$S$246,9))</f>
        <v>43.63729965517242</v>
      </c>
      <c r="Q85" s="250">
        <f>'Revenues &amp; Expenses'!$AM$5*1000*'Revenues &amp; Expenses'!O93</f>
        <v>2.4261391821558864</v>
      </c>
      <c r="S85" s="247">
        <f t="shared" si="10"/>
        <v>0</v>
      </c>
      <c r="T85" s="247">
        <f>'Revenues &amp; Expenses'!$S$3</f>
        <v>310.66000000000003</v>
      </c>
      <c r="U85" s="391">
        <f>T85*'Revenues &amp; Expenses'!F93*4</f>
        <v>26095.440000000002</v>
      </c>
      <c r="W85" s="391">
        <f t="shared" si="11"/>
        <v>0</v>
      </c>
    </row>
    <row r="86" spans="2:23">
      <c r="B86" s="248">
        <v>39173</v>
      </c>
      <c r="C86" s="251">
        <f>VLOOKUP(B86,'Company Gas Prices'!$B$25:$C$259,2)</f>
        <v>3.98020833</v>
      </c>
      <c r="D86" s="250">
        <f>VLOOKUP(B86,'Fuel Curve'!$B$7:$F$268,5)</f>
        <v>4.4548275862068971</v>
      </c>
      <c r="E86" s="250">
        <f t="shared" si="7"/>
        <v>0.47461925620689716</v>
      </c>
      <c r="G86" s="248">
        <v>39173</v>
      </c>
      <c r="H86" s="250">
        <f>VLOOKUP(G86,'Company Power Prices'!$B$25:$C$259,2)</f>
        <v>46.215252710000001</v>
      </c>
      <c r="I86" s="250">
        <f>VLOOKUP(G86,'Super Peak Curve Simulation'!$B$4:$C$225,2)</f>
        <v>31.563631595742347</v>
      </c>
      <c r="J86" s="252">
        <f t="shared" si="8"/>
        <v>-14.651621114257654</v>
      </c>
      <c r="L86" s="248">
        <v>39173</v>
      </c>
      <c r="M86" s="250">
        <f>IF($L$1=1,VLOOKUP(L86,'Super Peak Curve Simulation'!$B$7:$N$225,12),VLOOKUP(L86,'PJM Curve Simulation'!$B$9:$J$246,9))</f>
        <v>27.825000762939453</v>
      </c>
      <c r="N86" s="250">
        <f t="shared" si="9"/>
        <v>45.104325033597917</v>
      </c>
      <c r="P86" s="250">
        <f>IF($L$1=1,VLOOKUP(L86,'Fuel Curve'!$B$7:$H$246,7),VLOOKUP(L86,'Revenues &amp; Expenses'!$K$9:$S$246,9))</f>
        <v>42.672793448275861</v>
      </c>
      <c r="Q86" s="250">
        <f>'Revenues &amp; Expenses'!$AM$5*1000*'Revenues &amp; Expenses'!O94</f>
        <v>2.4315315853220554</v>
      </c>
      <c r="S86" s="247">
        <f t="shared" si="10"/>
        <v>0</v>
      </c>
      <c r="T86" s="247">
        <f>'Revenues &amp; Expenses'!$S$3</f>
        <v>310.66000000000003</v>
      </c>
      <c r="U86" s="391">
        <f>T86*'Revenues &amp; Expenses'!F94*4</f>
        <v>27338.080000000002</v>
      </c>
      <c r="W86" s="391">
        <f t="shared" si="11"/>
        <v>0</v>
      </c>
    </row>
    <row r="87" spans="2:23">
      <c r="B87" s="248">
        <v>39203</v>
      </c>
      <c r="C87" s="251">
        <f>VLOOKUP(B87,'Company Gas Prices'!$B$25:$C$259,2)</f>
        <v>3.8177083299999999</v>
      </c>
      <c r="D87" s="250">
        <f>VLOOKUP(B87,'Fuel Curve'!$B$7:$F$268,5)</f>
        <v>4.3875862068965521</v>
      </c>
      <c r="E87" s="250">
        <f t="shared" si="7"/>
        <v>0.56987787689655223</v>
      </c>
      <c r="G87" s="248">
        <v>39203</v>
      </c>
      <c r="H87" s="250">
        <f>VLOOKUP(G87,'Company Power Prices'!$B$25:$C$259,2)</f>
        <v>58.915942250000001</v>
      </c>
      <c r="I87" s="250">
        <f>VLOOKUP(G87,'Super Peak Curve Simulation'!$B$4:$C$225,2)</f>
        <v>36.85877558116939</v>
      </c>
      <c r="J87" s="252">
        <f t="shared" si="8"/>
        <v>-22.057166668830611</v>
      </c>
      <c r="L87" s="248">
        <v>39203</v>
      </c>
      <c r="M87" s="250">
        <f>IF($L$1=1,VLOOKUP(L87,'Super Peak Curve Simulation'!$B$7:$N$225,12),VLOOKUP(L87,'PJM Curve Simulation'!$B$9:$J$246,9))</f>
        <v>33.575000000000003</v>
      </c>
      <c r="N87" s="250">
        <f t="shared" si="9"/>
        <v>44.465624249652755</v>
      </c>
      <c r="P87" s="250">
        <f>IF($L$1=1,VLOOKUP(L87,'Fuel Curve'!$B$7:$H$246,7),VLOOKUP(L87,'Revenues &amp; Expenses'!$K$9:$S$246,9))</f>
        <v>42.028688275862073</v>
      </c>
      <c r="Q87" s="250">
        <f>'Revenues &amp; Expenses'!$AM$5*1000*'Revenues &amp; Expenses'!O95</f>
        <v>2.4369359737906837</v>
      </c>
      <c r="S87" s="247">
        <f t="shared" si="10"/>
        <v>0</v>
      </c>
      <c r="T87" s="247">
        <f>'Revenues &amp; Expenses'!$S$3</f>
        <v>310.66000000000003</v>
      </c>
      <c r="U87" s="391">
        <f>T87*'Revenues &amp; Expenses'!F95*4</f>
        <v>27338.080000000002</v>
      </c>
      <c r="W87" s="391">
        <f t="shared" si="11"/>
        <v>0</v>
      </c>
    </row>
    <row r="88" spans="2:23">
      <c r="B88" s="248">
        <v>39234</v>
      </c>
      <c r="C88" s="251">
        <f>VLOOKUP(B88,'Company Gas Prices'!$B$25:$C$259,2)</f>
        <v>3.8093750000000002</v>
      </c>
      <c r="D88" s="250">
        <f>VLOOKUP(B88,'Fuel Curve'!$B$7:$F$268,5)</f>
        <v>4.3817241379310348</v>
      </c>
      <c r="E88" s="250">
        <f t="shared" si="7"/>
        <v>0.57234913793103459</v>
      </c>
      <c r="G88" s="248">
        <v>39234</v>
      </c>
      <c r="H88" s="250">
        <f>VLOOKUP(G88,'Company Power Prices'!$B$25:$C$259,2)</f>
        <v>109.4849347</v>
      </c>
      <c r="I88" s="250">
        <f>VLOOKUP(G88,'Super Peak Curve Simulation'!$B$4:$C$225,2)</f>
        <v>72.310771090307469</v>
      </c>
      <c r="J88" s="252">
        <f t="shared" si="8"/>
        <v>-37.174163609692528</v>
      </c>
      <c r="L88" s="248">
        <v>39234</v>
      </c>
      <c r="M88" s="250">
        <f>IF($L$1=1,VLOOKUP(L88,'Super Peak Curve Simulation'!$B$7:$N$225,12),VLOOKUP(L88,'PJM Curve Simulation'!$B$9:$J$246,9))</f>
        <v>58.599998474121094</v>
      </c>
      <c r="N88" s="250">
        <f t="shared" si="9"/>
        <v>44.414887891442014</v>
      </c>
      <c r="P88" s="250">
        <f>IF($L$1=1,VLOOKUP(L88,'Fuel Curve'!$B$7:$H$246,7),VLOOKUP(L88,'Revenues &amp; Expenses'!$K$9:$S$246,9))</f>
        <v>41.972535517241383</v>
      </c>
      <c r="Q88" s="250">
        <f>'Revenues &amp; Expenses'!$AM$5*1000*'Revenues &amp; Expenses'!O96</f>
        <v>2.4423523742006314</v>
      </c>
      <c r="S88" s="247">
        <f t="shared" si="10"/>
        <v>1</v>
      </c>
      <c r="T88" s="247">
        <f>'Revenues &amp; Expenses'!$S$3</f>
        <v>310.66000000000003</v>
      </c>
      <c r="U88" s="391">
        <f>T88*'Revenues &amp; Expenses'!F96*4</f>
        <v>26095.440000000002</v>
      </c>
      <c r="W88" s="391">
        <f t="shared" si="11"/>
        <v>370166.70210366702</v>
      </c>
    </row>
    <row r="89" spans="2:23">
      <c r="B89" s="248">
        <v>39264</v>
      </c>
      <c r="C89" s="251">
        <f>VLOOKUP(B89,'Company Gas Prices'!$B$25:$C$259,2)</f>
        <v>3.7718750000000001</v>
      </c>
      <c r="D89" s="250">
        <f>VLOOKUP(B89,'Fuel Curve'!$B$7:$F$268,5)</f>
        <v>4.4382758620689664</v>
      </c>
      <c r="E89" s="250">
        <f t="shared" si="7"/>
        <v>0.66640086206896632</v>
      </c>
      <c r="G89" s="248">
        <v>39264</v>
      </c>
      <c r="H89" s="250">
        <f>VLOOKUP(G89,'Company Power Prices'!$B$25:$C$259,2)</f>
        <v>178.5405433</v>
      </c>
      <c r="I89" s="250">
        <f>VLOOKUP(G89,'Super Peak Curve Simulation'!$B$4:$C$225,2)</f>
        <v>131.56918549840722</v>
      </c>
      <c r="J89" s="252">
        <f t="shared" si="8"/>
        <v>-46.971357801592774</v>
      </c>
      <c r="L89" s="248">
        <v>39264</v>
      </c>
      <c r="M89" s="250">
        <f>IF($L$1=1,VLOOKUP(L89,'Super Peak Curve Simulation'!$B$7:$N$225,12),VLOOKUP(L89,'PJM Curve Simulation'!$B$9:$J$246,9))</f>
        <v>100.19999694824219</v>
      </c>
      <c r="N89" s="250">
        <f t="shared" si="9"/>
        <v>44.962025296008598</v>
      </c>
      <c r="P89" s="250">
        <f>IF($L$1=1,VLOOKUP(L89,'Fuel Curve'!$B$7:$H$246,7),VLOOKUP(L89,'Revenues &amp; Expenses'!$K$9:$S$246,9))</f>
        <v>42.514244482758627</v>
      </c>
      <c r="Q89" s="250">
        <f>'Revenues &amp; Expenses'!$AM$5*1000*'Revenues &amp; Expenses'!O97</f>
        <v>2.4477808132499677</v>
      </c>
      <c r="S89" s="247">
        <f t="shared" si="10"/>
        <v>1</v>
      </c>
      <c r="T89" s="247">
        <f>'Revenues &amp; Expenses'!$S$3</f>
        <v>310.66000000000003</v>
      </c>
      <c r="U89" s="391">
        <f>T89*'Revenues &amp; Expenses'!F97*4</f>
        <v>28580.720000000001</v>
      </c>
      <c r="W89" s="391">
        <f t="shared" si="11"/>
        <v>1578741.0011604256</v>
      </c>
    </row>
    <row r="90" spans="2:23">
      <c r="B90" s="248">
        <v>39295</v>
      </c>
      <c r="C90" s="251">
        <f>VLOOKUP(B90,'Company Gas Prices'!$B$25:$C$259,2)</f>
        <v>3.7718750000000001</v>
      </c>
      <c r="D90" s="250">
        <f>VLOOKUP(B90,'Fuel Curve'!$B$7:$F$268,5)</f>
        <v>4.5281034482758633</v>
      </c>
      <c r="E90" s="250">
        <f t="shared" si="7"/>
        <v>0.75622844827586322</v>
      </c>
      <c r="G90" s="248">
        <v>39295</v>
      </c>
      <c r="H90" s="250">
        <f>VLOOKUP(G90,'Company Power Prices'!$B$25:$C$259,2)</f>
        <v>178.5405433</v>
      </c>
      <c r="I90" s="250">
        <f>VLOOKUP(G90,'Super Peak Curve Simulation'!$B$4:$C$225,2)</f>
        <v>107.02403475658787</v>
      </c>
      <c r="J90" s="252">
        <f t="shared" si="8"/>
        <v>-71.516508543412129</v>
      </c>
      <c r="L90" s="248">
        <v>39295</v>
      </c>
      <c r="M90" s="250">
        <f>IF($L$1=1,VLOOKUP(L90,'Super Peak Curve Simulation'!$B$7:$N$225,12),VLOOKUP(L90,'PJM Curve Simulation'!$B$9:$J$246,9))</f>
        <v>87.199996948242188</v>
      </c>
      <c r="N90" s="250">
        <f t="shared" si="9"/>
        <v>45.827924248730596</v>
      </c>
      <c r="P90" s="250">
        <f>IF($L$1=1,VLOOKUP(L90,'Fuel Curve'!$B$7:$H$246,7),VLOOKUP(L90,'Revenues &amp; Expenses'!$K$9:$S$246,9))</f>
        <v>43.374702931034498</v>
      </c>
      <c r="Q90" s="250">
        <f>'Revenues &amp; Expenses'!$AM$5*1000*'Revenues &amp; Expenses'!O98</f>
        <v>2.4532213176961011</v>
      </c>
      <c r="S90" s="247">
        <f t="shared" si="10"/>
        <v>1</v>
      </c>
      <c r="T90" s="247">
        <f>'Revenues &amp; Expenses'!$S$3</f>
        <v>310.66000000000003</v>
      </c>
      <c r="U90" s="391">
        <f>T90*'Revenues &amp; Expenses'!F98*4</f>
        <v>26095.440000000002</v>
      </c>
      <c r="W90" s="391">
        <f t="shared" si="11"/>
        <v>1079622.4408057427</v>
      </c>
    </row>
    <row r="91" spans="2:23">
      <c r="B91" s="248">
        <v>39326</v>
      </c>
      <c r="C91" s="251">
        <f>VLOOKUP(B91,'Company Gas Prices'!$B$25:$C$259,2)</f>
        <v>3.8177083299999999</v>
      </c>
      <c r="D91" s="250">
        <f>VLOOKUP(B91,'Fuel Curve'!$B$7:$F$268,5)</f>
        <v>4.6236206896551728</v>
      </c>
      <c r="E91" s="250">
        <f t="shared" si="7"/>
        <v>0.80591235965517294</v>
      </c>
      <c r="G91" s="248">
        <v>39326</v>
      </c>
      <c r="H91" s="250">
        <f>VLOOKUP(G91,'Company Power Prices'!$B$25:$C$259,2)</f>
        <v>58.915942250000001</v>
      </c>
      <c r="I91" s="250">
        <f>VLOOKUP(G91,'Super Peak Curve Simulation'!$B$4:$C$225,2)</f>
        <v>40.340921644013484</v>
      </c>
      <c r="J91" s="252">
        <f t="shared" si="8"/>
        <v>-18.575020605986516</v>
      </c>
      <c r="L91" s="248">
        <v>39326</v>
      </c>
      <c r="M91" s="250">
        <f>IF($L$1=1,VLOOKUP(L91,'Super Peak Curve Simulation'!$B$7:$N$225,12),VLOOKUP(L91,'PJM Curve Simulation'!$B$9:$J$246,9))</f>
        <v>34.924998474121097</v>
      </c>
      <c r="N91" s="250">
        <f t="shared" si="9"/>
        <v>46.748336500562807</v>
      </c>
      <c r="P91" s="250">
        <f>IF($L$1=1,VLOOKUP(L91,'Fuel Curve'!$B$7:$H$246,7),VLOOKUP(L91,'Revenues &amp; Expenses'!$K$9:$S$246,9))</f>
        <v>44.289662586206894</v>
      </c>
      <c r="Q91" s="250">
        <f>'Revenues &amp; Expenses'!$AM$5*1000*'Revenues &amp; Expenses'!O99</f>
        <v>2.4586739143559111</v>
      </c>
      <c r="S91" s="247">
        <f t="shared" si="10"/>
        <v>0</v>
      </c>
      <c r="T91" s="247">
        <f>'Revenues &amp; Expenses'!$S$3</f>
        <v>310.66000000000003</v>
      </c>
      <c r="U91" s="391">
        <f>T91*'Revenues &amp; Expenses'!F99*4</f>
        <v>27338.080000000002</v>
      </c>
      <c r="W91" s="391">
        <f t="shared" si="11"/>
        <v>0</v>
      </c>
    </row>
    <row r="92" spans="2:23">
      <c r="B92" s="248">
        <v>39356</v>
      </c>
      <c r="C92" s="251">
        <f>VLOOKUP(B92,'Company Gas Prices'!$B$25:$C$259,2)</f>
        <v>3.7781250000000002</v>
      </c>
      <c r="D92" s="250">
        <f>VLOOKUP(B92,'Fuel Curve'!$B$7:$F$268,5)</f>
        <v>4.7155172413793105</v>
      </c>
      <c r="E92" s="250">
        <f t="shared" si="7"/>
        <v>0.93739224137931032</v>
      </c>
      <c r="G92" s="248">
        <v>39356</v>
      </c>
      <c r="H92" s="250">
        <f>VLOOKUP(G92,'Company Power Prices'!$B$25:$C$259,2)</f>
        <v>47.945772689999998</v>
      </c>
      <c r="I92" s="250">
        <f>VLOOKUP(G92,'Super Peak Curve Simulation'!$B$4:$C$225,2)</f>
        <v>33.567767323122027</v>
      </c>
      <c r="J92" s="252">
        <f t="shared" si="8"/>
        <v>-14.378005366877971</v>
      </c>
      <c r="L92" s="248">
        <v>39356</v>
      </c>
      <c r="M92" s="250">
        <f>IF($L$1=1,VLOOKUP(L92,'Super Peak Curve Simulation'!$B$7:$N$225,12),VLOOKUP(L92,'PJM Curve Simulation'!$B$9:$J$246,9))</f>
        <v>28.575000381469728</v>
      </c>
      <c r="N92" s="250">
        <f t="shared" si="9"/>
        <v>47.634078285278292</v>
      </c>
      <c r="P92" s="250">
        <f>IF($L$1=1,VLOOKUP(L92,'Fuel Curve'!$B$7:$H$246,7),VLOOKUP(L92,'Revenues &amp; Expenses'!$K$9:$S$246,9))</f>
        <v>45.169939655172413</v>
      </c>
      <c r="Q92" s="250">
        <f>'Revenues &amp; Expenses'!$AM$5*1000*'Revenues &amp; Expenses'!O100</f>
        <v>2.4641386301058823</v>
      </c>
      <c r="S92" s="247">
        <f t="shared" si="10"/>
        <v>0</v>
      </c>
      <c r="T92" s="247">
        <f>'Revenues &amp; Expenses'!$S$3</f>
        <v>310.66000000000003</v>
      </c>
      <c r="U92" s="391">
        <f>T92*'Revenues &amp; Expenses'!F100*4</f>
        <v>28580.720000000001</v>
      </c>
      <c r="W92" s="391">
        <f t="shared" si="11"/>
        <v>0</v>
      </c>
    </row>
    <row r="93" spans="2:23">
      <c r="B93" s="248">
        <v>39387</v>
      </c>
      <c r="C93" s="251">
        <f>VLOOKUP(B93,'Company Gas Prices'!$B$25:$C$259,2)</f>
        <v>3.7781250000000002</v>
      </c>
      <c r="D93" s="250">
        <f>VLOOKUP(B93,'Fuel Curve'!$B$7:$F$268,5)</f>
        <v>4.8046551724137938</v>
      </c>
      <c r="E93" s="250">
        <f t="shared" si="7"/>
        <v>1.0265301724137936</v>
      </c>
      <c r="G93" s="248">
        <v>39387</v>
      </c>
      <c r="H93" s="250">
        <f>VLOOKUP(G93,'Company Power Prices'!$B$25:$C$259,2)</f>
        <v>50.242813720000001</v>
      </c>
      <c r="I93" s="250">
        <f>VLOOKUP(G93,'Super Peak Curve Simulation'!$B$4:$C$225,2)</f>
        <v>33.637828097267153</v>
      </c>
      <c r="J93" s="252">
        <f t="shared" si="8"/>
        <v>-16.604985622732848</v>
      </c>
      <c r="L93" s="248">
        <v>39387</v>
      </c>
      <c r="M93" s="250">
        <f>IF($L$1=1,VLOOKUP(L93,'Super Peak Curve Simulation'!$B$7:$N$225,12),VLOOKUP(L93,'PJM Curve Simulation'!$B$9:$J$246,9))</f>
        <v>28.247499084472658</v>
      </c>
      <c r="N93" s="250">
        <f t="shared" si="9"/>
        <v>48.493407388433965</v>
      </c>
      <c r="P93" s="250">
        <f>IF($L$1=1,VLOOKUP(L93,'Fuel Curve'!$B$7:$H$246,7),VLOOKUP(L93,'Revenues &amp; Expenses'!$K$9:$S$246,9))</f>
        <v>46.023791896551728</v>
      </c>
      <c r="Q93" s="250">
        <f>'Revenues &amp; Expenses'!$AM$5*1000*'Revenues &amp; Expenses'!O101</f>
        <v>2.4696154918822355</v>
      </c>
      <c r="S93" s="247">
        <f t="shared" si="10"/>
        <v>0</v>
      </c>
      <c r="T93" s="247">
        <f>'Revenues &amp; Expenses'!$S$3</f>
        <v>310.66000000000003</v>
      </c>
      <c r="U93" s="391">
        <f>T93*'Revenues &amp; Expenses'!F101*4</f>
        <v>24852.800000000003</v>
      </c>
      <c r="W93" s="391">
        <f t="shared" si="11"/>
        <v>0</v>
      </c>
    </row>
    <row r="94" spans="2:23">
      <c r="B94" s="248">
        <v>39417</v>
      </c>
      <c r="C94" s="251">
        <f>VLOOKUP(B94,'Company Gas Prices'!$B$25:$C$259,2)</f>
        <v>3.7781250000000002</v>
      </c>
      <c r="D94" s="250">
        <f>VLOOKUP(B94,'Fuel Curve'!$B$7:$F$268,5)</f>
        <v>4.8474137931034491</v>
      </c>
      <c r="E94" s="250">
        <f t="shared" si="7"/>
        <v>1.0692887931034489</v>
      </c>
      <c r="G94" s="248">
        <v>39417</v>
      </c>
      <c r="H94" s="250">
        <f>VLOOKUP(G94,'Company Power Prices'!$B$25:$C$259,2)</f>
        <v>50.242813720000001</v>
      </c>
      <c r="I94" s="250">
        <f>VLOOKUP(G94,'Super Peak Curve Simulation'!$B$4:$C$225,2)</f>
        <v>36.178916248794181</v>
      </c>
      <c r="J94" s="252">
        <f t="shared" si="8"/>
        <v>-14.06389747120582</v>
      </c>
      <c r="L94" s="248">
        <v>39417</v>
      </c>
      <c r="M94" s="250">
        <f>IF($L$1=1,VLOOKUP(L94,'Super Peak Curve Simulation'!$B$7:$N$225,12),VLOOKUP(L94,'PJM Curve Simulation'!$B$9:$J$246,9))</f>
        <v>29.999999618530275</v>
      </c>
      <c r="N94" s="250">
        <f t="shared" si="9"/>
        <v>48.908481250818994</v>
      </c>
      <c r="P94" s="250">
        <f>IF($L$1=1,VLOOKUP(L94,'Fuel Curve'!$B$7:$H$246,7),VLOOKUP(L94,'Revenues &amp; Expenses'!$K$9:$S$246,9))</f>
        <v>46.433376724137936</v>
      </c>
      <c r="Q94" s="250">
        <f>'Revenues &amp; Expenses'!$AM$5*1000*'Revenues &amp; Expenses'!O102</f>
        <v>2.4751045266810601</v>
      </c>
      <c r="S94" s="247">
        <f t="shared" si="10"/>
        <v>0</v>
      </c>
      <c r="T94" s="247">
        <f>'Revenues &amp; Expenses'!$S$3</f>
        <v>310.66000000000003</v>
      </c>
      <c r="U94" s="391">
        <f>T94*'Revenues &amp; Expenses'!F102*4</f>
        <v>28580.720000000001</v>
      </c>
      <c r="W94" s="391">
        <f t="shared" si="11"/>
        <v>0</v>
      </c>
    </row>
    <row r="95" spans="2:23">
      <c r="B95" s="248">
        <v>39448</v>
      </c>
      <c r="C95" s="251">
        <f>VLOOKUP(B95,'Company Gas Prices'!$B$25:$C$259,2)</f>
        <v>3.8354166699999999</v>
      </c>
      <c r="D95" s="250">
        <f>VLOOKUP(B95,'Fuel Curve'!$B$7:$F$268,5)</f>
        <v>4.7901724137931048</v>
      </c>
      <c r="E95" s="250">
        <f t="shared" si="7"/>
        <v>0.95475574379310491</v>
      </c>
      <c r="G95" s="248">
        <v>39448</v>
      </c>
      <c r="H95" s="250">
        <f>VLOOKUP(G95,'Company Power Prices'!$B$25:$C$259,2)</f>
        <v>47.851334469999998</v>
      </c>
      <c r="I95" s="250">
        <f>VLOOKUP(G95,'Super Peak Curve Simulation'!$B$4:$C$225,2)</f>
        <v>47.607902244783425</v>
      </c>
      <c r="J95" s="252">
        <f t="shared" si="8"/>
        <v>-0.24343222521657282</v>
      </c>
      <c r="L95" s="248">
        <v>39448</v>
      </c>
      <c r="M95" s="250">
        <f>IF($L$1=1,VLOOKUP(L95,'Super Peak Curve Simulation'!$B$7:$N$225,12),VLOOKUP(L95,'PJM Curve Simulation'!$B$9:$J$246,9))</f>
        <v>38.824998474121088</v>
      </c>
      <c r="N95" s="250">
        <f t="shared" si="9"/>
        <v>48.365667313282607</v>
      </c>
      <c r="P95" s="250">
        <f>IF($L$1=1,VLOOKUP(L95,'Fuel Curve'!$B$7:$H$246,7),VLOOKUP(L95,'Revenues &amp; Expenses'!$K$9:$S$246,9))</f>
        <v>45.885061551724156</v>
      </c>
      <c r="Q95" s="250">
        <f>'Revenues &amp; Expenses'!$AM$5*1000*'Revenues &amp; Expenses'!O103</f>
        <v>2.4806057615584485</v>
      </c>
      <c r="S95" s="247">
        <f t="shared" si="10"/>
        <v>0</v>
      </c>
      <c r="T95" s="247">
        <f>'Revenues &amp; Expenses'!$S$3</f>
        <v>310.66000000000003</v>
      </c>
      <c r="U95" s="391">
        <f>T95*'Revenues &amp; Expenses'!F103*4</f>
        <v>27338.080000000002</v>
      </c>
      <c r="W95" s="391">
        <f t="shared" si="11"/>
        <v>0</v>
      </c>
    </row>
    <row r="96" spans="2:23">
      <c r="B96" s="248">
        <v>39479</v>
      </c>
      <c r="C96" s="251">
        <f>VLOOKUP(B96,'Company Gas Prices'!$B$25:$C$259,2)</f>
        <v>3.8354166699999999</v>
      </c>
      <c r="D96" s="250">
        <f>VLOOKUP(B96,'Fuel Curve'!$B$7:$F$268,5)</f>
        <v>4.6910344827586217</v>
      </c>
      <c r="E96" s="250">
        <f t="shared" si="7"/>
        <v>0.85561781275862181</v>
      </c>
      <c r="G96" s="248">
        <v>39479</v>
      </c>
      <c r="H96" s="250">
        <f>VLOOKUP(G96,'Company Power Prices'!$B$25:$C$259,2)</f>
        <v>41.745338220000001</v>
      </c>
      <c r="I96" s="250">
        <f>VLOOKUP(G96,'Super Peak Curve Simulation'!$B$4:$C$225,2)</f>
        <v>47.607902244783425</v>
      </c>
      <c r="J96" s="252">
        <f t="shared" si="8"/>
        <v>5.8625640247834241</v>
      </c>
      <c r="L96" s="248">
        <v>39479</v>
      </c>
      <c r="M96" s="250">
        <f>IF($L$1=1,VLOOKUP(L96,'Super Peak Curve Simulation'!$B$7:$N$225,12),VLOOKUP(L96,'PJM Curve Simulation'!$B$9:$J$246,9))</f>
        <v>38.824998474121088</v>
      </c>
      <c r="N96" s="250">
        <f t="shared" si="9"/>
        <v>47.421538533975465</v>
      </c>
      <c r="P96" s="250">
        <f>IF($L$1=1,VLOOKUP(L96,'Fuel Curve'!$B$7:$H$246,7),VLOOKUP(L96,'Revenues &amp; Expenses'!$K$9:$S$246,9))</f>
        <v>44.935419310344834</v>
      </c>
      <c r="Q96" s="250">
        <f>'Revenues &amp; Expenses'!$AM$5*1000*'Revenues &amp; Expenses'!O104</f>
        <v>2.4861192236306278</v>
      </c>
      <c r="S96" s="247">
        <f t="shared" si="10"/>
        <v>0</v>
      </c>
      <c r="T96" s="247">
        <f>'Revenues &amp; Expenses'!$S$3</f>
        <v>310.66000000000003</v>
      </c>
      <c r="U96" s="391">
        <f>T96*'Revenues &amp; Expenses'!F104*4</f>
        <v>24852.800000000003</v>
      </c>
      <c r="W96" s="391">
        <f t="shared" si="11"/>
        <v>0</v>
      </c>
    </row>
    <row r="97" spans="2:23">
      <c r="B97" s="248">
        <v>39508</v>
      </c>
      <c r="C97" s="251">
        <f>VLOOKUP(B97,'Company Gas Prices'!$B$25:$C$259,2)</f>
        <v>3.8354166699999999</v>
      </c>
      <c r="D97" s="250">
        <f>VLOOKUP(B97,'Fuel Curve'!$B$7:$F$268,5)</f>
        <v>4.5939655172413802</v>
      </c>
      <c r="E97" s="250">
        <f t="shared" si="7"/>
        <v>0.75854884724138039</v>
      </c>
      <c r="G97" s="248">
        <v>39508</v>
      </c>
      <c r="H97" s="250">
        <f>VLOOKUP(G97,'Company Power Prices'!$B$25:$C$259,2)</f>
        <v>41.745338220000001</v>
      </c>
      <c r="I97" s="250">
        <f>VLOOKUP(G97,'Super Peak Curve Simulation'!$B$4:$C$225,2)</f>
        <v>34.723224677906039</v>
      </c>
      <c r="J97" s="252">
        <f t="shared" si="8"/>
        <v>-7.0221135420939618</v>
      </c>
      <c r="L97" s="248">
        <v>39508</v>
      </c>
      <c r="M97" s="250">
        <f>IF($L$1=1,VLOOKUP(L97,'Super Peak Curve Simulation'!$B$7:$N$225,12),VLOOKUP(L97,'PJM Curve Simulation'!$B$9:$J$246,9))</f>
        <v>28.550000762939455</v>
      </c>
      <c r="N97" s="250">
        <f t="shared" si="9"/>
        <v>46.497240629729276</v>
      </c>
      <c r="P97" s="250">
        <f>IF($L$1=1,VLOOKUP(L97,'Fuel Curve'!$B$7:$H$246,7),VLOOKUP(L97,'Revenues &amp; Expenses'!$K$9:$S$246,9))</f>
        <v>44.005595689655181</v>
      </c>
      <c r="Q97" s="250">
        <f>'Revenues &amp; Expenses'!$AM$5*1000*'Revenues &amp; Expenses'!O105</f>
        <v>2.491644940074095</v>
      </c>
      <c r="S97" s="247">
        <f t="shared" si="10"/>
        <v>0</v>
      </c>
      <c r="T97" s="247">
        <f>'Revenues &amp; Expenses'!$S$3</f>
        <v>310.66000000000003</v>
      </c>
      <c r="U97" s="391">
        <f>T97*'Revenues &amp; Expenses'!F105*4</f>
        <v>28580.720000000001</v>
      </c>
      <c r="W97" s="391">
        <f t="shared" si="11"/>
        <v>0</v>
      </c>
    </row>
    <row r="98" spans="2:23">
      <c r="B98" s="248">
        <v>39539</v>
      </c>
      <c r="C98" s="251">
        <f>VLOOKUP(B98,'Company Gas Prices'!$B$25:$C$259,2)</f>
        <v>3.98020833</v>
      </c>
      <c r="D98" s="250">
        <f>VLOOKUP(B98,'Fuel Curve'!$B$7:$F$268,5)</f>
        <v>4.4939655172413797</v>
      </c>
      <c r="E98" s="250">
        <f t="shared" si="7"/>
        <v>0.51375718724137975</v>
      </c>
      <c r="G98" s="248">
        <v>39539</v>
      </c>
      <c r="H98" s="250">
        <f>VLOOKUP(G98,'Company Power Prices'!$B$25:$C$259,2)</f>
        <v>46.195517700000003</v>
      </c>
      <c r="I98" s="250">
        <f>VLOOKUP(G98,'Super Peak Curve Simulation'!$B$4:$C$225,2)</f>
        <v>32.130812740940776</v>
      </c>
      <c r="J98" s="252">
        <f t="shared" si="8"/>
        <v>-14.064704959059227</v>
      </c>
      <c r="L98" s="248">
        <v>39539</v>
      </c>
      <c r="M98" s="250">
        <f>IF($L$1=1,VLOOKUP(L98,'Super Peak Curve Simulation'!$B$7:$N$225,12),VLOOKUP(L98,'PJM Curve Simulation'!$B$9:$J$246,9))</f>
        <v>28.325000762939453</v>
      </c>
      <c r="N98" s="250">
        <f t="shared" si="9"/>
        <v>45.544878627780932</v>
      </c>
      <c r="P98" s="250">
        <f>IF($L$1=1,VLOOKUP(L98,'Fuel Curve'!$B$7:$H$246,7),VLOOKUP(L98,'Revenues &amp; Expenses'!$K$9:$S$246,9))</f>
        <v>43.047695689655178</v>
      </c>
      <c r="Q98" s="250">
        <f>'Revenues &amp; Expenses'!$AM$5*1000*'Revenues &amp; Expenses'!O106</f>
        <v>2.4971829381257509</v>
      </c>
      <c r="S98" s="247">
        <f t="shared" si="10"/>
        <v>0</v>
      </c>
      <c r="T98" s="247">
        <f>'Revenues &amp; Expenses'!$S$3</f>
        <v>310.66000000000003</v>
      </c>
      <c r="U98" s="391">
        <f>T98*'Revenues &amp; Expenses'!F106*4</f>
        <v>27338.080000000002</v>
      </c>
      <c r="W98" s="391">
        <f t="shared" si="11"/>
        <v>0</v>
      </c>
    </row>
    <row r="99" spans="2:23">
      <c r="B99" s="248">
        <v>39569</v>
      </c>
      <c r="C99" s="251">
        <f>VLOOKUP(B99,'Company Gas Prices'!$B$25:$C$259,2)</f>
        <v>3.8177083299999999</v>
      </c>
      <c r="D99" s="250">
        <f>VLOOKUP(B99,'Fuel Curve'!$B$7:$F$268,5)</f>
        <v>4.4267241379310347</v>
      </c>
      <c r="E99" s="250">
        <f t="shared" si="7"/>
        <v>0.60901580793103482</v>
      </c>
      <c r="G99" s="248">
        <v>39569</v>
      </c>
      <c r="H99" s="250">
        <f>VLOOKUP(G99,'Company Power Prices'!$B$25:$C$259,2)</f>
        <v>59.030088880000001</v>
      </c>
      <c r="I99" s="250">
        <f>VLOOKUP(G99,'Super Peak Curve Simulation'!$B$4:$C$225,2)</f>
        <v>38.231030815017846</v>
      </c>
      <c r="J99" s="252">
        <f t="shared" si="8"/>
        <v>-20.799058064982155</v>
      </c>
      <c r="L99" s="248">
        <v>39569</v>
      </c>
      <c r="M99" s="250">
        <f>IF($L$1=1,VLOOKUP(L99,'Super Peak Curve Simulation'!$B$7:$N$225,12),VLOOKUP(L99,'PJM Curve Simulation'!$B$9:$J$246,9))</f>
        <v>34.825000000000003</v>
      </c>
      <c r="N99" s="250">
        <f t="shared" si="9"/>
        <v>44.906323762324412</v>
      </c>
      <c r="P99" s="250">
        <f>IF($L$1=1,VLOOKUP(L99,'Fuel Curve'!$B$7:$H$246,7),VLOOKUP(L99,'Revenues &amp; Expenses'!$K$9:$S$246,9))</f>
        <v>42.403590517241383</v>
      </c>
      <c r="Q99" s="250">
        <f>'Revenues &amp; Expenses'!$AM$5*1000*'Revenues &amp; Expenses'!O107</f>
        <v>2.5027332450830317</v>
      </c>
      <c r="S99" s="247">
        <f t="shared" si="10"/>
        <v>0</v>
      </c>
      <c r="T99" s="247">
        <f>'Revenues &amp; Expenses'!$S$3</f>
        <v>310.66000000000003</v>
      </c>
      <c r="U99" s="391">
        <f>T99*'Revenues &amp; Expenses'!F107*4</f>
        <v>26095.440000000002</v>
      </c>
      <c r="W99" s="391">
        <f t="shared" si="11"/>
        <v>0</v>
      </c>
    </row>
    <row r="100" spans="2:23">
      <c r="B100" s="248">
        <v>39600</v>
      </c>
      <c r="C100" s="251">
        <f>VLOOKUP(B100,'Company Gas Prices'!$B$25:$C$259,2)</f>
        <v>3.8093750000000002</v>
      </c>
      <c r="D100" s="250">
        <f>VLOOKUP(B100,'Fuel Curve'!$B$7:$F$268,5)</f>
        <v>4.4201724137931047</v>
      </c>
      <c r="E100" s="250">
        <f t="shared" si="7"/>
        <v>0.61079741379310448</v>
      </c>
      <c r="G100" s="248">
        <v>39600</v>
      </c>
      <c r="H100" s="250">
        <f>VLOOKUP(G100,'Company Power Prices'!$B$25:$C$259,2)</f>
        <v>109.5895077</v>
      </c>
      <c r="I100" s="250">
        <f>VLOOKUP(G100,'Super Peak Curve Simulation'!$B$4:$C$225,2)</f>
        <v>73.853236384104392</v>
      </c>
      <c r="J100" s="252">
        <f t="shared" si="8"/>
        <v>-35.736271315895607</v>
      </c>
      <c r="L100" s="248">
        <v>39600</v>
      </c>
      <c r="M100" s="250">
        <f>IF($L$1=1,VLOOKUP(L100,'Super Peak Curve Simulation'!$B$7:$N$225,12),VLOOKUP(L100,'PJM Curve Simulation'!$B$9:$J$246,9))</f>
        <v>59.849998474121094</v>
      </c>
      <c r="N100" s="250">
        <f t="shared" si="9"/>
        <v>44.849127440028198</v>
      </c>
      <c r="P100" s="250">
        <f>IF($L$1=1,VLOOKUP(L100,'Fuel Curve'!$B$7:$H$246,7),VLOOKUP(L100,'Revenues &amp; Expenses'!$K$9:$S$246,9))</f>
        <v>42.34083155172415</v>
      </c>
      <c r="Q100" s="250">
        <f>'Revenues &amp; Expenses'!$AM$5*1000*'Revenues &amp; Expenses'!O108</f>
        <v>2.5082958883040485</v>
      </c>
      <c r="S100" s="247">
        <f t="shared" si="10"/>
        <v>1</v>
      </c>
      <c r="T100" s="247">
        <f>'Revenues &amp; Expenses'!$S$3</f>
        <v>310.66000000000003</v>
      </c>
      <c r="U100" s="391">
        <f>T100*'Revenues &amp; Expenses'!F108*4</f>
        <v>27338.080000000002</v>
      </c>
      <c r="W100" s="391">
        <f t="shared" si="11"/>
        <v>410095.01239971432</v>
      </c>
    </row>
    <row r="101" spans="2:23">
      <c r="B101" s="248">
        <v>39630</v>
      </c>
      <c r="C101" s="251">
        <f>VLOOKUP(B101,'Company Gas Prices'!$B$25:$C$259,2)</f>
        <v>3.7718750000000001</v>
      </c>
      <c r="D101" s="250">
        <f>VLOOKUP(B101,'Fuel Curve'!$B$7:$F$268,5)</f>
        <v>4.477413793103449</v>
      </c>
      <c r="E101" s="250">
        <f t="shared" si="7"/>
        <v>0.70553879310344891</v>
      </c>
      <c r="G101" s="248">
        <v>39630</v>
      </c>
      <c r="H101" s="250">
        <f>VLOOKUP(G101,'Company Power Prices'!$B$25:$C$259,2)</f>
        <v>178.80340810000001</v>
      </c>
      <c r="I101" s="250">
        <f>VLOOKUP(G101,'Super Peak Curve Simulation'!$B$4:$C$225,2)</f>
        <v>134.52358346634657</v>
      </c>
      <c r="J101" s="252">
        <f t="shared" si="8"/>
        <v>-44.279824633653448</v>
      </c>
      <c r="L101" s="248">
        <v>39630</v>
      </c>
      <c r="M101" s="250">
        <f>IF($L$1=1,VLOOKUP(L101,'Super Peak Curve Simulation'!$B$7:$N$225,12),VLOOKUP(L101,'PJM Curve Simulation'!$B$9:$J$246,9))</f>
        <v>102.44999694824219</v>
      </c>
      <c r="N101" s="250">
        <f t="shared" si="9"/>
        <v>45.403017619345654</v>
      </c>
      <c r="P101" s="250">
        <f>IF($L$1=1,VLOOKUP(L101,'Fuel Curve'!$B$7:$H$246,7),VLOOKUP(L101,'Revenues &amp; Expenses'!$K$9:$S$246,9))</f>
        <v>42.889146724137937</v>
      </c>
      <c r="Q101" s="250">
        <f>'Revenues &amp; Expenses'!$AM$5*1000*'Revenues &amp; Expenses'!O109</f>
        <v>2.5138708952077167</v>
      </c>
      <c r="S101" s="247">
        <f t="shared" si="10"/>
        <v>1</v>
      </c>
      <c r="T101" s="247">
        <f>'Revenues &amp; Expenses'!$S$3</f>
        <v>310.66000000000003</v>
      </c>
      <c r="U101" s="391">
        <f>T101*'Revenues &amp; Expenses'!F109*4</f>
        <v>27338.080000000002</v>
      </c>
      <c r="W101" s="391">
        <f t="shared" si="11"/>
        <v>1559554.8846517198</v>
      </c>
    </row>
    <row r="102" spans="2:23">
      <c r="B102" s="248">
        <v>39661</v>
      </c>
      <c r="C102" s="251">
        <f>VLOOKUP(B102,'Company Gas Prices'!$B$25:$C$259,2)</f>
        <v>3.7718750000000001</v>
      </c>
      <c r="D102" s="250">
        <f>VLOOKUP(B102,'Fuel Curve'!$B$7:$F$268,5)</f>
        <v>4.5679310344827595</v>
      </c>
      <c r="E102" s="250">
        <f t="shared" si="7"/>
        <v>0.79605603448275941</v>
      </c>
      <c r="G102" s="248">
        <v>39661</v>
      </c>
      <c r="H102" s="250">
        <f>VLOOKUP(G102,'Company Power Prices'!$B$25:$C$259,2)</f>
        <v>178.80340810000001</v>
      </c>
      <c r="I102" s="250">
        <f>VLOOKUP(G102,'Super Peak Curve Simulation'!$B$4:$C$225,2)</f>
        <v>109.78554951151672</v>
      </c>
      <c r="J102" s="252">
        <f t="shared" si="8"/>
        <v>-69.017858588483293</v>
      </c>
      <c r="L102" s="248">
        <v>39661</v>
      </c>
      <c r="M102" s="250">
        <f>IF($L$1=1,VLOOKUP(L102,'Super Peak Curve Simulation'!$B$7:$N$225,12),VLOOKUP(L102,'PJM Curve Simulation'!$B$9:$J$246,9))</f>
        <v>89.449996948242188</v>
      </c>
      <c r="N102" s="250">
        <f t="shared" si="9"/>
        <v>46.27566967258425</v>
      </c>
      <c r="P102" s="250">
        <f>IF($L$1=1,VLOOKUP(L102,'Fuel Curve'!$B$7:$H$246,7),VLOOKUP(L102,'Revenues &amp; Expenses'!$K$9:$S$246,9))</f>
        <v>43.756211379310358</v>
      </c>
      <c r="Q102" s="250">
        <f>'Revenues &amp; Expenses'!$AM$5*1000*'Revenues &amp; Expenses'!O110</f>
        <v>2.5194582932738956</v>
      </c>
      <c r="S102" s="247">
        <f t="shared" si="10"/>
        <v>1</v>
      </c>
      <c r="T102" s="247">
        <f>'Revenues &amp; Expenses'!$S$3</f>
        <v>310.66000000000003</v>
      </c>
      <c r="U102" s="391">
        <f>T102*'Revenues &amp; Expenses'!F110*4</f>
        <v>27338.080000000002</v>
      </c>
      <c r="W102" s="391">
        <f t="shared" si="11"/>
        <v>1180303.2130081188</v>
      </c>
    </row>
    <row r="103" spans="2:23">
      <c r="B103" s="248">
        <v>39692</v>
      </c>
      <c r="C103" s="251">
        <f>VLOOKUP(B103,'Company Gas Prices'!$B$25:$C$259,2)</f>
        <v>3.8177083299999999</v>
      </c>
      <c r="D103" s="250">
        <f>VLOOKUP(B103,'Fuel Curve'!$B$7:$F$268,5)</f>
        <v>4.6627586206896563</v>
      </c>
      <c r="E103" s="250">
        <f t="shared" si="7"/>
        <v>0.84505029068965642</v>
      </c>
      <c r="G103" s="248">
        <v>39692</v>
      </c>
      <c r="H103" s="250">
        <f>VLOOKUP(G103,'Company Power Prices'!$B$25:$C$259,2)</f>
        <v>59.030088880000001</v>
      </c>
      <c r="I103" s="250">
        <f>VLOOKUP(G103,'Super Peak Curve Simulation'!$B$4:$C$225,2)</f>
        <v>40.918458128000815</v>
      </c>
      <c r="J103" s="252">
        <f t="shared" si="8"/>
        <v>-18.111630751999186</v>
      </c>
      <c r="L103" s="248">
        <v>39692</v>
      </c>
      <c r="M103" s="250">
        <f>IF($L$1=1,VLOOKUP(L103,'Super Peak Curve Simulation'!$B$7:$N$225,12),VLOOKUP(L103,'PJM Curve Simulation'!$B$9:$J$246,9))</f>
        <v>35.424998474121097</v>
      </c>
      <c r="N103" s="250">
        <f t="shared" si="9"/>
        <v>47.189622937629736</v>
      </c>
      <c r="P103" s="250">
        <f>IF($L$1=1,VLOOKUP(L103,'Fuel Curve'!$B$7:$H$246,7),VLOOKUP(L103,'Revenues &amp; Expenses'!$K$9:$S$246,9))</f>
        <v>44.664564827586219</v>
      </c>
      <c r="Q103" s="250">
        <f>'Revenues &amp; Expenses'!$AM$5*1000*'Revenues &amp; Expenses'!O111</f>
        <v>2.5250581100435205</v>
      </c>
      <c r="S103" s="247">
        <f t="shared" si="10"/>
        <v>0</v>
      </c>
      <c r="T103" s="247">
        <f>'Revenues &amp; Expenses'!$S$3</f>
        <v>310.66000000000003</v>
      </c>
      <c r="U103" s="391">
        <f>T103*'Revenues &amp; Expenses'!F111*4</f>
        <v>27338.080000000002</v>
      </c>
      <c r="W103" s="391">
        <f t="shared" si="11"/>
        <v>0</v>
      </c>
    </row>
    <row r="104" spans="2:23">
      <c r="B104" s="248">
        <v>39722</v>
      </c>
      <c r="C104" s="251">
        <f>VLOOKUP(B104,'Company Gas Prices'!$B$25:$C$259,2)</f>
        <v>3.7781250000000002</v>
      </c>
      <c r="D104" s="250">
        <f>VLOOKUP(B104,'Fuel Curve'!$B$7:$F$268,5)</f>
        <v>4.7553448275862067</v>
      </c>
      <c r="E104" s="250">
        <f t="shared" si="7"/>
        <v>0.97721982758620651</v>
      </c>
      <c r="G104" s="248">
        <v>39722</v>
      </c>
      <c r="H104" s="250">
        <f>VLOOKUP(G104,'Company Power Prices'!$B$25:$C$259,2)</f>
        <v>48.051463550000001</v>
      </c>
      <c r="I104" s="250">
        <f>VLOOKUP(G104,'Super Peak Curve Simulation'!$B$4:$C$225,2)</f>
        <v>34.155129823122024</v>
      </c>
      <c r="J104" s="252">
        <f t="shared" si="8"/>
        <v>-13.896333726877977</v>
      </c>
      <c r="L104" s="248">
        <v>39722</v>
      </c>
      <c r="M104" s="250">
        <f>IF($L$1=1,VLOOKUP(L104,'Super Peak Curve Simulation'!$B$7:$N$225,12),VLOOKUP(L104,'PJM Curve Simulation'!$B$9:$J$246,9))</f>
        <v>29.075000381469728</v>
      </c>
      <c r="N104" s="250">
        <f t="shared" si="9"/>
        <v>48.082118476567011</v>
      </c>
      <c r="P104" s="250">
        <f>IF($L$1=1,VLOOKUP(L104,'Fuel Curve'!$B$7:$H$246,7),VLOOKUP(L104,'Revenues &amp; Expenses'!$K$9:$S$246,9))</f>
        <v>45.551448103448273</v>
      </c>
      <c r="Q104" s="250">
        <f>'Revenues &amp; Expenses'!$AM$5*1000*'Revenues &amp; Expenses'!O112</f>
        <v>2.530670373118741</v>
      </c>
      <c r="S104" s="247">
        <f t="shared" si="10"/>
        <v>0</v>
      </c>
      <c r="T104" s="247">
        <f>'Revenues &amp; Expenses'!$S$3</f>
        <v>310.66000000000003</v>
      </c>
      <c r="U104" s="391">
        <f>T104*'Revenues &amp; Expenses'!F112*4</f>
        <v>26095.440000000002</v>
      </c>
      <c r="W104" s="391">
        <f t="shared" si="11"/>
        <v>0</v>
      </c>
    </row>
    <row r="105" spans="2:23">
      <c r="B105" s="248">
        <v>39753</v>
      </c>
      <c r="C105" s="251">
        <f>VLOOKUP(B105,'Company Gas Prices'!$B$25:$C$259,2)</f>
        <v>3.7781250000000002</v>
      </c>
      <c r="D105" s="250">
        <f>VLOOKUP(B105,'Fuel Curve'!$B$7:$F$268,5)</f>
        <v>4.8046551724137938</v>
      </c>
      <c r="E105" s="250">
        <f t="shared" si="7"/>
        <v>1.0265301724137936</v>
      </c>
      <c r="G105" s="248">
        <v>39753</v>
      </c>
      <c r="H105" s="250">
        <f>VLOOKUP(G105,'Company Power Prices'!$B$25:$C$259,2)</f>
        <v>50.286237190000001</v>
      </c>
      <c r="I105" s="250">
        <f>VLOOKUP(G105,'Super Peak Curve Simulation'!$B$4:$C$225,2)</f>
        <v>34.233240597267155</v>
      </c>
      <c r="J105" s="252">
        <f t="shared" si="8"/>
        <v>-16.052996592732846</v>
      </c>
      <c r="L105" s="248">
        <v>39753</v>
      </c>
      <c r="M105" s="250">
        <f>IF($L$1=1,VLOOKUP(L105,'Super Peak Curve Simulation'!$B$7:$N$225,12),VLOOKUP(L105,'PJM Curve Simulation'!$B$9:$J$246,9))</f>
        <v>28.747499084472658</v>
      </c>
      <c r="N105" s="250">
        <f t="shared" si="9"/>
        <v>48.560087006714781</v>
      </c>
      <c r="P105" s="250">
        <f>IF($L$1=1,VLOOKUP(L105,'Fuel Curve'!$B$7:$H$246,7),VLOOKUP(L105,'Revenues &amp; Expenses'!$K$9:$S$246,9))</f>
        <v>46.023791896551728</v>
      </c>
      <c r="Q105" s="250">
        <f>'Revenues &amp; Expenses'!$AM$5*1000*'Revenues &amp; Expenses'!O113</f>
        <v>2.5362951101630555</v>
      </c>
      <c r="S105" s="247">
        <f t="shared" si="10"/>
        <v>0</v>
      </c>
      <c r="T105" s="247">
        <f>'Revenues &amp; Expenses'!$S$3</f>
        <v>310.66000000000003</v>
      </c>
      <c r="U105" s="391">
        <f>T105*'Revenues &amp; Expenses'!F113*4</f>
        <v>27338.080000000002</v>
      </c>
      <c r="W105" s="391">
        <f t="shared" si="11"/>
        <v>0</v>
      </c>
    </row>
    <row r="106" spans="2:23">
      <c r="B106" s="248">
        <v>39783</v>
      </c>
      <c r="C106" s="251">
        <f>VLOOKUP(B106,'Company Gas Prices'!$B$25:$C$259,2)</f>
        <v>3.7781250000000002</v>
      </c>
      <c r="D106" s="250">
        <f>VLOOKUP(B106,'Fuel Curve'!$B$7:$F$268,5)</f>
        <v>4.8474137931034491</v>
      </c>
      <c r="E106" s="250">
        <f t="shared" si="7"/>
        <v>1.0692887931034489</v>
      </c>
      <c r="G106" s="248">
        <v>39783</v>
      </c>
      <c r="H106" s="250">
        <f>VLOOKUP(G106,'Company Power Prices'!$B$25:$C$259,2)</f>
        <v>50.286237190000001</v>
      </c>
      <c r="I106" s="250">
        <f>VLOOKUP(G106,'Super Peak Curve Simulation'!$B$4:$C$225,2)</f>
        <v>36.781898193941402</v>
      </c>
      <c r="J106" s="252">
        <f t="shared" si="8"/>
        <v>-13.5043389960586</v>
      </c>
      <c r="L106" s="248">
        <v>39783</v>
      </c>
      <c r="M106" s="250">
        <f>IF($L$1=1,VLOOKUP(L106,'Super Peak Curve Simulation'!$B$7:$N$225,12),VLOOKUP(L106,'PJM Curve Simulation'!$B$9:$J$246,9))</f>
        <v>30.499999618530275</v>
      </c>
      <c r="N106" s="250">
        <f t="shared" si="9"/>
        <v>48.975309073039384</v>
      </c>
      <c r="P106" s="250">
        <f>IF($L$1=1,VLOOKUP(L106,'Fuel Curve'!$B$7:$H$246,7),VLOOKUP(L106,'Revenues &amp; Expenses'!$K$9:$S$246,9))</f>
        <v>46.433376724137936</v>
      </c>
      <c r="Q106" s="250">
        <f>'Revenues &amp; Expenses'!$AM$5*1000*'Revenues &amp; Expenses'!O114</f>
        <v>2.5419323489014483</v>
      </c>
      <c r="S106" s="247">
        <f t="shared" si="10"/>
        <v>0</v>
      </c>
      <c r="T106" s="247">
        <f>'Revenues &amp; Expenses'!$S$3</f>
        <v>310.66000000000003</v>
      </c>
      <c r="U106" s="391">
        <f>T106*'Revenues &amp; Expenses'!F114*4</f>
        <v>28580.720000000001</v>
      </c>
      <c r="W106" s="391">
        <f t="shared" si="11"/>
        <v>0</v>
      </c>
    </row>
    <row r="107" spans="2:23">
      <c r="B107" s="248">
        <v>39814</v>
      </c>
      <c r="C107" s="251">
        <f>VLOOKUP(B107,'Company Gas Prices'!$B$25:$C$259,2)</f>
        <v>3.8354166699999999</v>
      </c>
      <c r="D107" s="250">
        <f>VLOOKUP(B107,'Fuel Curve'!$B$7:$F$268,5)</f>
        <v>4.7901724137931048</v>
      </c>
      <c r="E107" s="250">
        <f t="shared" si="7"/>
        <v>0.95475574379310491</v>
      </c>
      <c r="G107" s="248">
        <v>39814</v>
      </c>
      <c r="H107" s="250">
        <f>VLOOKUP(G107,'Company Power Prices'!$B$25:$C$259,2)</f>
        <v>47.800795440000002</v>
      </c>
      <c r="I107" s="250">
        <f>VLOOKUP(G107,'Super Peak Curve Simulation'!$B$4:$C$225,2)</f>
        <v>48.221011119424034</v>
      </c>
      <c r="J107" s="252">
        <f t="shared" si="8"/>
        <v>0.42021567942403237</v>
      </c>
      <c r="L107" s="248">
        <v>39814</v>
      </c>
      <c r="M107" s="250">
        <f>IF($L$1=1,VLOOKUP(L107,'Super Peak Curve Simulation'!$B$7:$N$225,12),VLOOKUP(L107,'PJM Curve Simulation'!$B$9:$J$246,9))</f>
        <v>39.324998474121088</v>
      </c>
      <c r="N107" s="250">
        <f t="shared" si="9"/>
        <v>48.432643668844683</v>
      </c>
      <c r="P107" s="250">
        <f>IF($L$1=1,VLOOKUP(L107,'Fuel Curve'!$B$7:$H$246,7),VLOOKUP(L107,'Revenues &amp; Expenses'!$K$9:$S$246,9))</f>
        <v>45.885061551724156</v>
      </c>
      <c r="Q107" s="250">
        <f>'Revenues &amp; Expenses'!$AM$5*1000*'Revenues &amp; Expenses'!O115</f>
        <v>2.5475821171205264</v>
      </c>
      <c r="S107" s="247">
        <f t="shared" si="10"/>
        <v>0</v>
      </c>
      <c r="T107" s="247">
        <f>'Revenues &amp; Expenses'!$S$3</f>
        <v>310.66000000000003</v>
      </c>
      <c r="U107" s="391">
        <f>T107*'Revenues &amp; Expenses'!F115*4</f>
        <v>28580.720000000001</v>
      </c>
      <c r="W107" s="391">
        <f t="shared" si="11"/>
        <v>0</v>
      </c>
    </row>
    <row r="108" spans="2:23">
      <c r="B108" s="248">
        <v>39845</v>
      </c>
      <c r="C108" s="251">
        <f>VLOOKUP(B108,'Company Gas Prices'!$B$25:$C$259,2)</f>
        <v>3.8354166699999999</v>
      </c>
      <c r="D108" s="250">
        <f>VLOOKUP(B108,'Fuel Curve'!$B$7:$F$268,5)</f>
        <v>4.6910344827586217</v>
      </c>
      <c r="E108" s="250">
        <f t="shared" si="7"/>
        <v>0.85561781275862181</v>
      </c>
      <c r="G108" s="248">
        <v>39845</v>
      </c>
      <c r="H108" s="250">
        <f>VLOOKUP(G108,'Company Power Prices'!$B$25:$C$259,2)</f>
        <v>41.759888549999999</v>
      </c>
      <c r="I108" s="250">
        <f>VLOOKUP(G108,'Super Peak Curve Simulation'!$B$4:$C$225,2)</f>
        <v>48.221011119424034</v>
      </c>
      <c r="J108" s="252">
        <f t="shared" si="8"/>
        <v>6.4611225694240346</v>
      </c>
      <c r="L108" s="248">
        <v>39845</v>
      </c>
      <c r="M108" s="250">
        <f>IF($L$1=1,VLOOKUP(L108,'Super Peak Curve Simulation'!$B$7:$N$225,12),VLOOKUP(L108,'PJM Curve Simulation'!$B$9:$J$246,9))</f>
        <v>39.324998474121088</v>
      </c>
      <c r="N108" s="250">
        <f t="shared" si="9"/>
        <v>47.488663753013491</v>
      </c>
      <c r="P108" s="250">
        <f>IF($L$1=1,VLOOKUP(L108,'Fuel Curve'!$B$7:$H$246,7),VLOOKUP(L108,'Revenues &amp; Expenses'!$K$9:$S$246,9))</f>
        <v>44.935419310344834</v>
      </c>
      <c r="Q108" s="250">
        <f>'Revenues &amp; Expenses'!$AM$5*1000*'Revenues &amp; Expenses'!O116</f>
        <v>2.5532444426686545</v>
      </c>
      <c r="S108" s="247">
        <f t="shared" si="10"/>
        <v>0</v>
      </c>
      <c r="T108" s="247">
        <f>'Revenues &amp; Expenses'!$S$3</f>
        <v>310.66000000000003</v>
      </c>
      <c r="U108" s="391">
        <f>T108*'Revenues &amp; Expenses'!F116*4</f>
        <v>24852.800000000003</v>
      </c>
      <c r="W108" s="391">
        <f t="shared" si="11"/>
        <v>0</v>
      </c>
    </row>
    <row r="109" spans="2:23">
      <c r="B109" s="248">
        <v>39873</v>
      </c>
      <c r="C109" s="251">
        <f>VLOOKUP(B109,'Company Gas Prices'!$B$25:$C$259,2)</f>
        <v>3.8354166699999999</v>
      </c>
      <c r="D109" s="250">
        <f>VLOOKUP(B109,'Fuel Curve'!$B$7:$F$268,5)</f>
        <v>4.5939655172413802</v>
      </c>
      <c r="E109" s="250">
        <f t="shared" si="7"/>
        <v>0.75854884724138039</v>
      </c>
      <c r="G109" s="248">
        <v>39873</v>
      </c>
      <c r="H109" s="250">
        <f>VLOOKUP(G109,'Company Power Prices'!$B$25:$C$259,2)</f>
        <v>41.759888549999999</v>
      </c>
      <c r="I109" s="250">
        <f>VLOOKUP(G109,'Super Peak Curve Simulation'!$B$4:$C$225,2)</f>
        <v>35.331337177906036</v>
      </c>
      <c r="J109" s="252">
        <f t="shared" si="8"/>
        <v>-6.4285513720939633</v>
      </c>
      <c r="L109" s="248">
        <v>39873</v>
      </c>
      <c r="M109" s="250">
        <f>IF($L$1=1,VLOOKUP(L109,'Super Peak Curve Simulation'!$B$7:$N$225,12),VLOOKUP(L109,'PJM Curve Simulation'!$B$9:$J$246,9))</f>
        <v>29.050000762939455</v>
      </c>
      <c r="N109" s="250">
        <f t="shared" si="9"/>
        <v>46.564515043111278</v>
      </c>
      <c r="P109" s="250">
        <f>IF($L$1=1,VLOOKUP(L109,'Fuel Curve'!$B$7:$H$246,7),VLOOKUP(L109,'Revenues &amp; Expenses'!$K$9:$S$246,9))</f>
        <v>44.005595689655181</v>
      </c>
      <c r="Q109" s="250">
        <f>'Revenues &amp; Expenses'!$AM$5*1000*'Revenues &amp; Expenses'!O117</f>
        <v>2.5589193534560954</v>
      </c>
      <c r="S109" s="247">
        <f t="shared" si="10"/>
        <v>0</v>
      </c>
      <c r="T109" s="247">
        <f>'Revenues &amp; Expenses'!$S$3</f>
        <v>310.66000000000003</v>
      </c>
      <c r="U109" s="391">
        <f>T109*'Revenues &amp; Expenses'!F117*4</f>
        <v>27338.080000000002</v>
      </c>
      <c r="W109" s="391">
        <f t="shared" si="11"/>
        <v>0</v>
      </c>
    </row>
    <row r="110" spans="2:23">
      <c r="B110" s="248">
        <v>39904</v>
      </c>
      <c r="C110" s="251">
        <f>VLOOKUP(B110,'Company Gas Prices'!$B$25:$C$259,2)</f>
        <v>3.98020833</v>
      </c>
      <c r="D110" s="250">
        <f>VLOOKUP(B110,'Fuel Curve'!$B$7:$F$268,5)</f>
        <v>4.4939655172413797</v>
      </c>
      <c r="E110" s="250">
        <f t="shared" si="7"/>
        <v>0.51375718724137975</v>
      </c>
      <c r="G110" s="248">
        <v>39904</v>
      </c>
      <c r="H110" s="250">
        <f>VLOOKUP(G110,'Company Power Prices'!$B$25:$C$259,2)</f>
        <v>46.225966669999998</v>
      </c>
      <c r="I110" s="250">
        <f>VLOOKUP(G110,'Super Peak Curve Simulation'!$B$4:$C$225,2)</f>
        <v>32.697993886139209</v>
      </c>
      <c r="J110" s="252">
        <f t="shared" si="8"/>
        <v>-13.52797278386079</v>
      </c>
      <c r="L110" s="248">
        <v>39904</v>
      </c>
      <c r="M110" s="250">
        <f>IF($L$1=1,VLOOKUP(L110,'Super Peak Curve Simulation'!$B$7:$N$225,12),VLOOKUP(L110,'PJM Curve Simulation'!$B$9:$J$246,9))</f>
        <v>28.825000762939453</v>
      </c>
      <c r="N110" s="250">
        <f t="shared" si="9"/>
        <v>45.612302567110326</v>
      </c>
      <c r="P110" s="250">
        <f>IF($L$1=1,VLOOKUP(L110,'Fuel Curve'!$B$7:$H$246,7),VLOOKUP(L110,'Revenues &amp; Expenses'!$K$9:$S$246,9))</f>
        <v>43.047695689655178</v>
      </c>
      <c r="Q110" s="250">
        <f>'Revenues &amp; Expenses'!$AM$5*1000*'Revenues &amp; Expenses'!O118</f>
        <v>2.5646068774551458</v>
      </c>
      <c r="S110" s="247">
        <f t="shared" si="10"/>
        <v>0</v>
      </c>
      <c r="T110" s="247">
        <f>'Revenues &amp; Expenses'!$S$3</f>
        <v>310.66000000000003</v>
      </c>
      <c r="U110" s="391">
        <f>T110*'Revenues &amp; Expenses'!F118*4</f>
        <v>26095.440000000002</v>
      </c>
      <c r="W110" s="391">
        <f t="shared" si="11"/>
        <v>0</v>
      </c>
    </row>
    <row r="111" spans="2:23">
      <c r="B111" s="248">
        <v>39934</v>
      </c>
      <c r="C111" s="251">
        <f>VLOOKUP(B111,'Company Gas Prices'!$B$25:$C$259,2)</f>
        <v>3.8177083299999999</v>
      </c>
      <c r="D111" s="250">
        <f>VLOOKUP(B111,'Fuel Curve'!$B$7:$F$268,5)</f>
        <v>4.4267241379310347</v>
      </c>
      <c r="E111" s="250">
        <f t="shared" si="7"/>
        <v>0.60901580793103482</v>
      </c>
      <c r="G111" s="248">
        <v>39934</v>
      </c>
      <c r="H111" s="250">
        <f>VLOOKUP(G111,'Company Power Prices'!$B$25:$C$259,2)</f>
        <v>58.185289750000003</v>
      </c>
      <c r="I111" s="250">
        <f>VLOOKUP(G111,'Super Peak Curve Simulation'!$B$4:$C$225,2)</f>
        <v>39.603286048866288</v>
      </c>
      <c r="J111" s="252">
        <f t="shared" si="8"/>
        <v>-18.582003701133715</v>
      </c>
      <c r="L111" s="248">
        <v>39934</v>
      </c>
      <c r="M111" s="250">
        <f>IF($L$1=1,VLOOKUP(L111,'Super Peak Curve Simulation'!$B$7:$N$225,12),VLOOKUP(L111,'PJM Curve Simulation'!$B$9:$J$246,9))</f>
        <v>36.075000000000003</v>
      </c>
      <c r="N111" s="250">
        <f t="shared" si="9"/>
        <v>44.973897559941655</v>
      </c>
      <c r="P111" s="250">
        <f>IF($L$1=1,VLOOKUP(L111,'Fuel Curve'!$B$7:$H$246,7),VLOOKUP(L111,'Revenues &amp; Expenses'!$K$9:$S$246,9))</f>
        <v>42.403590517241383</v>
      </c>
      <c r="Q111" s="250">
        <f>'Revenues &amp; Expenses'!$AM$5*1000*'Revenues &amp; Expenses'!O119</f>
        <v>2.5703070427002737</v>
      </c>
      <c r="S111" s="247">
        <f t="shared" si="10"/>
        <v>0</v>
      </c>
      <c r="T111" s="247">
        <f>'Revenues &amp; Expenses'!$S$3</f>
        <v>310.66000000000003</v>
      </c>
      <c r="U111" s="391">
        <f>T111*'Revenues &amp; Expenses'!F119*4</f>
        <v>28580.720000000001</v>
      </c>
      <c r="W111" s="391">
        <f t="shared" si="11"/>
        <v>0</v>
      </c>
    </row>
    <row r="112" spans="2:23">
      <c r="B112" s="248">
        <v>39965</v>
      </c>
      <c r="C112" s="251">
        <f>VLOOKUP(B112,'Company Gas Prices'!$B$25:$C$259,2)</f>
        <v>3.8093750000000002</v>
      </c>
      <c r="D112" s="250">
        <f>VLOOKUP(B112,'Fuel Curve'!$B$7:$F$268,5)</f>
        <v>4.4201724137931047</v>
      </c>
      <c r="E112" s="250">
        <f t="shared" si="7"/>
        <v>0.61079741379310448</v>
      </c>
      <c r="G112" s="248">
        <v>39965</v>
      </c>
      <c r="H112" s="250">
        <f>VLOOKUP(G112,'Company Power Prices'!$B$25:$C$259,2)</f>
        <v>107.21891189999999</v>
      </c>
      <c r="I112" s="250">
        <f>VLOOKUP(G112,'Super Peak Curve Simulation'!$B$4:$C$225,2)</f>
        <v>75.395701677901314</v>
      </c>
      <c r="J112" s="252">
        <f t="shared" si="8"/>
        <v>-31.82321022209868</v>
      </c>
      <c r="L112" s="248">
        <v>39965</v>
      </c>
      <c r="M112" s="250">
        <f>IF($L$1=1,VLOOKUP(L112,'Super Peak Curve Simulation'!$B$7:$N$225,12),VLOOKUP(L112,'PJM Curve Simulation'!$B$9:$J$246,9))</f>
        <v>61.099998474121094</v>
      </c>
      <c r="N112" s="250">
        <f t="shared" si="9"/>
        <v>44.916851429012411</v>
      </c>
      <c r="P112" s="250">
        <f>IF($L$1=1,VLOOKUP(L112,'Fuel Curve'!$B$7:$H$246,7),VLOOKUP(L112,'Revenues &amp; Expenses'!$K$9:$S$246,9))</f>
        <v>42.34083155172415</v>
      </c>
      <c r="Q112" s="250">
        <f>'Revenues &amp; Expenses'!$AM$5*1000*'Revenues &amp; Expenses'!O120</f>
        <v>2.5760198772882577</v>
      </c>
      <c r="S112" s="247">
        <f t="shared" si="10"/>
        <v>1</v>
      </c>
      <c r="T112" s="247">
        <f>'Revenues &amp; Expenses'!$S$3</f>
        <v>310.66000000000003</v>
      </c>
      <c r="U112" s="391">
        <f>T112*'Revenues &amp; Expenses'!F120*4</f>
        <v>26095.440000000002</v>
      </c>
      <c r="W112" s="391">
        <f t="shared" si="11"/>
        <v>422306.34272681095</v>
      </c>
    </row>
    <row r="113" spans="2:23">
      <c r="B113" s="248">
        <v>39995</v>
      </c>
      <c r="C113" s="251">
        <f>VLOOKUP(B113,'Company Gas Prices'!$B$25:$C$259,2)</f>
        <v>3.7718750000000001</v>
      </c>
      <c r="D113" s="250">
        <f>VLOOKUP(B113,'Fuel Curve'!$B$7:$F$268,5)</f>
        <v>4.477413793103449</v>
      </c>
      <c r="E113" s="250">
        <f t="shared" si="7"/>
        <v>0.70553879310344891</v>
      </c>
      <c r="G113" s="248">
        <v>39995</v>
      </c>
      <c r="H113" s="250">
        <f>VLOOKUP(G113,'Company Power Prices'!$B$25:$C$259,2)</f>
        <v>170.34071489999999</v>
      </c>
      <c r="I113" s="250">
        <f>VLOOKUP(G113,'Super Peak Curve Simulation'!$B$4:$C$225,2)</f>
        <v>137.47798143428594</v>
      </c>
      <c r="J113" s="252">
        <f t="shared" si="8"/>
        <v>-32.862733465714058</v>
      </c>
      <c r="L113" s="248">
        <v>39995</v>
      </c>
      <c r="M113" s="250">
        <f>IF($L$1=1,VLOOKUP(L113,'Super Peak Curve Simulation'!$B$7:$N$225,12),VLOOKUP(L113,'PJM Curve Simulation'!$B$9:$J$246,9))</f>
        <v>104.69999694824219</v>
      </c>
      <c r="N113" s="250">
        <f t="shared" si="9"/>
        <v>45.470892133516259</v>
      </c>
      <c r="P113" s="250">
        <f>IF($L$1=1,VLOOKUP(L113,'Fuel Curve'!$B$7:$H$246,7),VLOOKUP(L113,'Revenues &amp; Expenses'!$K$9:$S$246,9))</f>
        <v>42.889146724137937</v>
      </c>
      <c r="Q113" s="250">
        <f>'Revenues &amp; Expenses'!$AM$5*1000*'Revenues &amp; Expenses'!O121</f>
        <v>2.5817454093783248</v>
      </c>
      <c r="S113" s="247">
        <f t="shared" si="10"/>
        <v>1</v>
      </c>
      <c r="T113" s="247">
        <f>'Revenues &amp; Expenses'!$S$3</f>
        <v>310.66000000000003</v>
      </c>
      <c r="U113" s="391">
        <f>T113*'Revenues &amp; Expenses'!F121*4</f>
        <v>27338.080000000002</v>
      </c>
      <c r="W113" s="391">
        <f t="shared" si="11"/>
        <v>1619210.0057533628</v>
      </c>
    </row>
    <row r="114" spans="2:23">
      <c r="B114" s="248">
        <v>40026</v>
      </c>
      <c r="C114" s="251">
        <f>VLOOKUP(B114,'Company Gas Prices'!$B$25:$C$259,2)</f>
        <v>3.7718750000000001</v>
      </c>
      <c r="D114" s="250">
        <f>VLOOKUP(B114,'Fuel Curve'!$B$7:$F$268,5)</f>
        <v>4.5679310344827595</v>
      </c>
      <c r="E114" s="250">
        <f t="shared" si="7"/>
        <v>0.79605603448275941</v>
      </c>
      <c r="G114" s="248">
        <v>40026</v>
      </c>
      <c r="H114" s="250">
        <f>VLOOKUP(G114,'Company Power Prices'!$B$25:$C$259,2)</f>
        <v>170.34071489999999</v>
      </c>
      <c r="I114" s="250">
        <f>VLOOKUP(G114,'Super Peak Curve Simulation'!$B$4:$C$225,2)</f>
        <v>112.5470642664456</v>
      </c>
      <c r="J114" s="252">
        <f t="shared" si="8"/>
        <v>-57.793650633554392</v>
      </c>
      <c r="L114" s="248">
        <v>40026</v>
      </c>
      <c r="M114" s="250">
        <f>IF($L$1=1,VLOOKUP(L114,'Super Peak Curve Simulation'!$B$7:$N$225,12),VLOOKUP(L114,'PJM Curve Simulation'!$B$9:$J$246,9))</f>
        <v>91.699996948242188</v>
      </c>
      <c r="N114" s="250">
        <f t="shared" si="9"/>
        <v>46.343695046502646</v>
      </c>
      <c r="P114" s="250">
        <f>IF($L$1=1,VLOOKUP(L114,'Fuel Curve'!$B$7:$H$246,7),VLOOKUP(L114,'Revenues &amp; Expenses'!$K$9:$S$246,9))</f>
        <v>43.756211379310358</v>
      </c>
      <c r="Q114" s="250">
        <f>'Revenues &amp; Expenses'!$AM$5*1000*'Revenues &amp; Expenses'!O122</f>
        <v>2.5874836671922905</v>
      </c>
      <c r="S114" s="247">
        <f t="shared" si="10"/>
        <v>1</v>
      </c>
      <c r="T114" s="247">
        <f>'Revenues &amp; Expenses'!$S$3</f>
        <v>310.66000000000003</v>
      </c>
      <c r="U114" s="391">
        <f>T114*'Revenues &amp; Expenses'!F122*4</f>
        <v>28580.720000000001</v>
      </c>
      <c r="W114" s="391">
        <f t="shared" si="11"/>
        <v>1296315.7648890854</v>
      </c>
    </row>
    <row r="115" spans="2:23">
      <c r="B115" s="248">
        <v>40057</v>
      </c>
      <c r="C115" s="251">
        <f>VLOOKUP(B115,'Company Gas Prices'!$B$25:$C$259,2)</f>
        <v>3.8177083299999999</v>
      </c>
      <c r="D115" s="250">
        <f>VLOOKUP(B115,'Fuel Curve'!$B$7:$F$268,5)</f>
        <v>4.6627586206896563</v>
      </c>
      <c r="E115" s="250">
        <f t="shared" si="7"/>
        <v>0.84505029068965642</v>
      </c>
      <c r="G115" s="248">
        <v>40057</v>
      </c>
      <c r="H115" s="250">
        <f>VLOOKUP(G115,'Company Power Prices'!$B$25:$C$259,2)</f>
        <v>58.185289750000003</v>
      </c>
      <c r="I115" s="250">
        <f>VLOOKUP(G115,'Super Peak Curve Simulation'!$B$4:$C$225,2)</f>
        <v>41.495994611988145</v>
      </c>
      <c r="J115" s="252">
        <f t="shared" si="8"/>
        <v>-16.689295138011857</v>
      </c>
      <c r="L115" s="248">
        <v>40057</v>
      </c>
      <c r="M115" s="250">
        <f>IF($L$1=1,VLOOKUP(L115,'Super Peak Curve Simulation'!$B$7:$N$225,12),VLOOKUP(L115,'PJM Curve Simulation'!$B$9:$J$246,9))</f>
        <v>35.924998474121097</v>
      </c>
      <c r="N115" s="250">
        <f t="shared" si="9"/>
        <v>47.257799506600911</v>
      </c>
      <c r="P115" s="250">
        <f>IF($L$1=1,VLOOKUP(L115,'Fuel Curve'!$B$7:$H$246,7),VLOOKUP(L115,'Revenues &amp; Expenses'!$K$9:$S$246,9))</f>
        <v>44.664564827586219</v>
      </c>
      <c r="Q115" s="250">
        <f>'Revenues &amp; Expenses'!$AM$5*1000*'Revenues &amp; Expenses'!O123</f>
        <v>2.5932346790146954</v>
      </c>
      <c r="S115" s="247">
        <f t="shared" si="10"/>
        <v>0</v>
      </c>
      <c r="T115" s="247">
        <f>'Revenues &amp; Expenses'!$S$3</f>
        <v>310.66000000000003</v>
      </c>
      <c r="U115" s="391">
        <f>T115*'Revenues &amp; Expenses'!F123*4</f>
        <v>24852.800000000003</v>
      </c>
      <c r="W115" s="391">
        <f t="shared" si="11"/>
        <v>0</v>
      </c>
    </row>
    <row r="116" spans="2:23">
      <c r="B116" s="248">
        <v>40087</v>
      </c>
      <c r="C116" s="251">
        <f>VLOOKUP(B116,'Company Gas Prices'!$B$25:$C$259,2)</f>
        <v>3.7781250000000002</v>
      </c>
      <c r="D116" s="250">
        <f>VLOOKUP(B116,'Fuel Curve'!$B$7:$F$268,5)</f>
        <v>4.7553448275862067</v>
      </c>
      <c r="E116" s="250">
        <f t="shared" si="7"/>
        <v>0.97721982758620651</v>
      </c>
      <c r="G116" s="248">
        <v>40087</v>
      </c>
      <c r="H116" s="250">
        <f>VLOOKUP(G116,'Company Power Prices'!$B$25:$C$259,2)</f>
        <v>48.074641470000003</v>
      </c>
      <c r="I116" s="250">
        <f>VLOOKUP(G116,'Super Peak Curve Simulation'!$B$4:$C$225,2)</f>
        <v>34.742492323122029</v>
      </c>
      <c r="J116" s="252">
        <f t="shared" si="8"/>
        <v>-13.332149146877974</v>
      </c>
      <c r="L116" s="248">
        <v>40087</v>
      </c>
      <c r="M116" s="250">
        <f>IF($L$1=1,VLOOKUP(L116,'Super Peak Curve Simulation'!$B$7:$N$225,12),VLOOKUP(L116,'PJM Curve Simulation'!$B$9:$J$246,9))</f>
        <v>29.575000381469728</v>
      </c>
      <c r="N116" s="250">
        <f t="shared" si="9"/>
        <v>48.150446576641222</v>
      </c>
      <c r="P116" s="250">
        <f>IF($L$1=1,VLOOKUP(L116,'Fuel Curve'!$B$7:$H$246,7),VLOOKUP(L116,'Revenues &amp; Expenses'!$K$9:$S$246,9))</f>
        <v>45.551448103448273</v>
      </c>
      <c r="Q116" s="250">
        <f>'Revenues &amp; Expenses'!$AM$5*1000*'Revenues &amp; Expenses'!O124</f>
        <v>2.598998473192947</v>
      </c>
      <c r="S116" s="247">
        <f t="shared" si="10"/>
        <v>0</v>
      </c>
      <c r="T116" s="247">
        <f>'Revenues &amp; Expenses'!$S$3</f>
        <v>310.66000000000003</v>
      </c>
      <c r="U116" s="391">
        <f>T116*'Revenues &amp; Expenses'!F124*4</f>
        <v>28580.720000000001</v>
      </c>
      <c r="W116" s="391">
        <f t="shared" si="11"/>
        <v>0</v>
      </c>
    </row>
    <row r="117" spans="2:23">
      <c r="B117" s="248">
        <v>40118</v>
      </c>
      <c r="C117" s="251">
        <f>VLOOKUP(B117,'Company Gas Prices'!$B$25:$C$259,2)</f>
        <v>3.7781250000000002</v>
      </c>
      <c r="D117" s="250">
        <f>VLOOKUP(B117,'Fuel Curve'!$B$7:$F$268,5)</f>
        <v>4.8046551724137938</v>
      </c>
      <c r="E117" s="250">
        <f t="shared" si="7"/>
        <v>1.0265301724137936</v>
      </c>
      <c r="G117" s="248">
        <v>40118</v>
      </c>
      <c r="H117" s="250">
        <f>VLOOKUP(G117,'Company Power Prices'!$B$25:$C$259,2)</f>
        <v>50.299502140000001</v>
      </c>
      <c r="I117" s="250">
        <f>VLOOKUP(G117,'Super Peak Curve Simulation'!$B$4:$C$225,2)</f>
        <v>34.828653097267157</v>
      </c>
      <c r="J117" s="252">
        <f t="shared" si="8"/>
        <v>-15.470849042732844</v>
      </c>
      <c r="L117" s="248">
        <v>40118</v>
      </c>
      <c r="M117" s="250">
        <f>IF($L$1=1,VLOOKUP(L117,'Super Peak Curve Simulation'!$B$7:$N$225,12),VLOOKUP(L117,'PJM Curve Simulation'!$B$9:$J$246,9))</f>
        <v>29.247499084472658</v>
      </c>
      <c r="N117" s="250">
        <f t="shared" si="9"/>
        <v>48.628566974689186</v>
      </c>
      <c r="P117" s="250">
        <f>IF($L$1=1,VLOOKUP(L117,'Fuel Curve'!$B$7:$H$246,7),VLOOKUP(L117,'Revenues &amp; Expenses'!$K$9:$S$246,9))</f>
        <v>46.023791896551728</v>
      </c>
      <c r="Q117" s="250">
        <f>'Revenues &amp; Expenses'!$AM$5*1000*'Revenues &amp; Expenses'!O125</f>
        <v>2.6047750781374579</v>
      </c>
      <c r="S117" s="247">
        <f t="shared" si="10"/>
        <v>0</v>
      </c>
      <c r="T117" s="247">
        <f>'Revenues &amp; Expenses'!$S$3</f>
        <v>310.66000000000003</v>
      </c>
      <c r="U117" s="391">
        <f>T117*'Revenues &amp; Expenses'!F125*4</f>
        <v>27338.080000000002</v>
      </c>
      <c r="W117" s="391">
        <f t="shared" si="11"/>
        <v>0</v>
      </c>
    </row>
    <row r="118" spans="2:23">
      <c r="B118" s="248">
        <v>40148</v>
      </c>
      <c r="C118" s="251">
        <f>VLOOKUP(B118,'Company Gas Prices'!$B$25:$C$259,2)</f>
        <v>3.7781250000000002</v>
      </c>
      <c r="D118" s="250">
        <f>VLOOKUP(B118,'Fuel Curve'!$B$7:$F$268,5)</f>
        <v>4.8474137931034491</v>
      </c>
      <c r="E118" s="250">
        <f t="shared" si="7"/>
        <v>1.0692887931034489</v>
      </c>
      <c r="G118" s="248">
        <v>40148</v>
      </c>
      <c r="H118" s="250">
        <f>VLOOKUP(G118,'Company Power Prices'!$B$25:$C$259,2)</f>
        <v>50.299502140000001</v>
      </c>
      <c r="I118" s="250">
        <f>VLOOKUP(G118,'Super Peak Curve Simulation'!$B$4:$C$225,2)</f>
        <v>37.384880139088608</v>
      </c>
      <c r="J118" s="252">
        <f t="shared" si="8"/>
        <v>-12.914622000911393</v>
      </c>
      <c r="L118" s="248">
        <v>40148</v>
      </c>
      <c r="M118" s="250">
        <f>IF($L$1=1,VLOOKUP(L118,'Super Peak Curve Simulation'!$B$7:$N$225,12),VLOOKUP(L118,'PJM Curve Simulation'!$B$9:$J$246,9))</f>
        <v>30.999999618530275</v>
      </c>
      <c r="N118" s="250">
        <f t="shared" si="9"/>
        <v>49.043941246459724</v>
      </c>
      <c r="P118" s="250">
        <f>IF($L$1=1,VLOOKUP(L118,'Fuel Curve'!$B$7:$H$246,7),VLOOKUP(L118,'Revenues &amp; Expenses'!$K$9:$S$246,9))</f>
        <v>46.433376724137936</v>
      </c>
      <c r="Q118" s="250">
        <f>'Revenues &amp; Expenses'!$AM$5*1000*'Revenues &amp; Expenses'!O126</f>
        <v>2.6105645223217873</v>
      </c>
      <c r="S118" s="247">
        <f t="shared" si="10"/>
        <v>0</v>
      </c>
      <c r="T118" s="247">
        <f>'Revenues &amp; Expenses'!$S$3</f>
        <v>310.66000000000003</v>
      </c>
      <c r="U118" s="391">
        <f>T118*'Revenues &amp; Expenses'!F126*4</f>
        <v>26095.440000000002</v>
      </c>
      <c r="W118" s="391">
        <f t="shared" si="11"/>
        <v>0</v>
      </c>
    </row>
    <row r="119" spans="2:23">
      <c r="B119" s="248">
        <v>40179</v>
      </c>
      <c r="C119" s="251">
        <f>VLOOKUP(B119,'Company Gas Prices'!$B$25:$C$259,2)</f>
        <v>3.8354166699999999</v>
      </c>
      <c r="D119" s="250">
        <f>VLOOKUP(B119,'Fuel Curve'!$B$7:$F$268,5)</f>
        <v>4.7901724137931048</v>
      </c>
      <c r="E119" s="250">
        <f t="shared" si="7"/>
        <v>0.95475574379310491</v>
      </c>
      <c r="G119" s="248">
        <v>40179</v>
      </c>
      <c r="H119" s="250">
        <f>VLOOKUP(G119,'Company Power Prices'!$B$25:$C$259,2)</f>
        <v>47.727659449999997</v>
      </c>
      <c r="I119" s="250">
        <f>VLOOKUP(G119,'Super Peak Curve Simulation'!$B$4:$C$225,2)</f>
        <v>48.834119994064636</v>
      </c>
      <c r="J119" s="252">
        <f t="shared" si="8"/>
        <v>1.1064605440646389</v>
      </c>
      <c r="L119" s="248">
        <v>40179</v>
      </c>
      <c r="M119" s="250">
        <f>IF($L$1=1,VLOOKUP(L119,'Super Peak Curve Simulation'!$B$7:$N$225,12),VLOOKUP(L119,'PJM Curve Simulation'!$B$9:$J$246,9))</f>
        <v>39.824998474121088</v>
      </c>
      <c r="N119" s="250">
        <f t="shared" si="9"/>
        <v>48.501428386006936</v>
      </c>
      <c r="P119" s="250">
        <f>IF($L$1=1,VLOOKUP(L119,'Fuel Curve'!$B$7:$H$246,7),VLOOKUP(L119,'Revenues &amp; Expenses'!$K$9:$S$246,9))</f>
        <v>45.885061551724156</v>
      </c>
      <c r="Q119" s="250">
        <f>'Revenues &amp; Expenses'!$AM$5*1000*'Revenues &amp; Expenses'!O127</f>
        <v>2.6163668342827804</v>
      </c>
      <c r="S119" s="247">
        <f t="shared" si="10"/>
        <v>0</v>
      </c>
      <c r="T119" s="247">
        <f>'Revenues &amp; Expenses'!$S$3</f>
        <v>310.66000000000003</v>
      </c>
      <c r="U119" s="391">
        <f>T119*'Revenues &amp; Expenses'!F127*4</f>
        <v>28580.720000000001</v>
      </c>
      <c r="W119" s="391">
        <f t="shared" si="11"/>
        <v>0</v>
      </c>
    </row>
    <row r="120" spans="2:23">
      <c r="B120" s="248">
        <v>40210</v>
      </c>
      <c r="C120" s="251">
        <f>VLOOKUP(B120,'Company Gas Prices'!$B$25:$C$259,2)</f>
        <v>3.8354166699999999</v>
      </c>
      <c r="D120" s="250">
        <f>VLOOKUP(B120,'Fuel Curve'!$B$7:$F$268,5)</f>
        <v>4.6910344827586217</v>
      </c>
      <c r="E120" s="250">
        <f t="shared" si="7"/>
        <v>0.85561781275862181</v>
      </c>
      <c r="G120" s="248">
        <v>40210</v>
      </c>
      <c r="H120" s="250">
        <f>VLOOKUP(G120,'Company Power Prices'!$B$25:$C$259,2)</f>
        <v>41.834905370000001</v>
      </c>
      <c r="I120" s="250">
        <f>VLOOKUP(G120,'Super Peak Curve Simulation'!$B$4:$C$225,2)</f>
        <v>48.834119994064636</v>
      </c>
      <c r="J120" s="252">
        <f t="shared" si="8"/>
        <v>6.9992146240646349</v>
      </c>
      <c r="L120" s="248">
        <v>40210</v>
      </c>
      <c r="M120" s="250">
        <f>IF($L$1=1,VLOOKUP(L120,'Super Peak Curve Simulation'!$B$7:$N$225,12),VLOOKUP(L120,'PJM Curve Simulation'!$B$9:$J$246,9))</f>
        <v>39.824998474121088</v>
      </c>
      <c r="N120" s="250">
        <f t="shared" si="9"/>
        <v>47.557601352965541</v>
      </c>
      <c r="P120" s="250">
        <f>IF($L$1=1,VLOOKUP(L120,'Fuel Curve'!$B$7:$H$246,7),VLOOKUP(L120,'Revenues &amp; Expenses'!$K$9:$S$246,9))</f>
        <v>44.935419310344834</v>
      </c>
      <c r="Q120" s="250">
        <f>'Revenues &amp; Expenses'!$AM$5*1000*'Revenues &amp; Expenses'!O128</f>
        <v>2.6221820426207079</v>
      </c>
      <c r="S120" s="247">
        <f t="shared" si="10"/>
        <v>0</v>
      </c>
      <c r="T120" s="247">
        <f>'Revenues &amp; Expenses'!$S$3</f>
        <v>310.66000000000003</v>
      </c>
      <c r="U120" s="391">
        <f>T120*'Revenues &amp; Expenses'!F128*4</f>
        <v>24852.800000000003</v>
      </c>
      <c r="W120" s="391">
        <f t="shared" si="11"/>
        <v>0</v>
      </c>
    </row>
    <row r="121" spans="2:23">
      <c r="B121" s="248">
        <v>40238</v>
      </c>
      <c r="C121" s="251">
        <f>VLOOKUP(B121,'Company Gas Prices'!$B$25:$C$259,2)</f>
        <v>3.8354166699999999</v>
      </c>
      <c r="D121" s="250">
        <f>VLOOKUP(B121,'Fuel Curve'!$B$7:$F$268,5)</f>
        <v>4.5939655172413802</v>
      </c>
      <c r="E121" s="250">
        <f t="shared" si="7"/>
        <v>0.75854884724138039</v>
      </c>
      <c r="G121" s="248">
        <v>40238</v>
      </c>
      <c r="H121" s="250">
        <f>VLOOKUP(G121,'Company Power Prices'!$B$25:$C$259,2)</f>
        <v>41.834905370000001</v>
      </c>
      <c r="I121" s="250">
        <f>VLOOKUP(G121,'Super Peak Curve Simulation'!$B$4:$C$225,2)</f>
        <v>35.93944967790604</v>
      </c>
      <c r="J121" s="252">
        <f t="shared" si="8"/>
        <v>-5.8954556920939609</v>
      </c>
      <c r="L121" s="248">
        <v>40238</v>
      </c>
      <c r="M121" s="250">
        <f>IF($L$1=1,VLOOKUP(L121,'Super Peak Curve Simulation'!$B$7:$N$225,12),VLOOKUP(L121,'PJM Curve Simulation'!$B$9:$J$246,9))</f>
        <v>29.550000762939455</v>
      </c>
      <c r="N121" s="250">
        <f t="shared" si="9"/>
        <v>46.633605865654587</v>
      </c>
      <c r="P121" s="250">
        <f>IF($L$1=1,VLOOKUP(L121,'Fuel Curve'!$B$7:$H$246,7),VLOOKUP(L121,'Revenues &amp; Expenses'!$K$9:$S$246,9))</f>
        <v>44.005595689655181</v>
      </c>
      <c r="Q121" s="250">
        <f>'Revenues &amp; Expenses'!$AM$5*1000*'Revenues &amp; Expenses'!O129</f>
        <v>2.6280101759994099</v>
      </c>
      <c r="S121" s="247">
        <f t="shared" si="10"/>
        <v>0</v>
      </c>
      <c r="T121" s="247">
        <f>'Revenues &amp; Expenses'!$S$3</f>
        <v>310.66000000000003</v>
      </c>
      <c r="U121" s="391">
        <f>T121*'Revenues &amp; Expenses'!F129*4</f>
        <v>26095.440000000002</v>
      </c>
      <c r="W121" s="391">
        <f t="shared" si="11"/>
        <v>0</v>
      </c>
    </row>
    <row r="122" spans="2:23">
      <c r="B122" s="248">
        <v>40269</v>
      </c>
      <c r="C122" s="251">
        <f>VLOOKUP(B122,'Company Gas Prices'!$B$25:$C$259,2)</f>
        <v>3.98020833</v>
      </c>
      <c r="D122" s="250">
        <f>VLOOKUP(B122,'Fuel Curve'!$B$7:$F$268,5)</f>
        <v>4.4939655172413797</v>
      </c>
      <c r="E122" s="250">
        <f t="shared" si="7"/>
        <v>0.51375718724137975</v>
      </c>
      <c r="G122" s="248">
        <v>40269</v>
      </c>
      <c r="H122" s="250">
        <f>VLOOKUP(G122,'Company Power Prices'!$B$25:$C$259,2)</f>
        <v>46.245486280000001</v>
      </c>
      <c r="I122" s="250">
        <f>VLOOKUP(G122,'Super Peak Curve Simulation'!$B$4:$C$225,2)</f>
        <v>33.265175031337634</v>
      </c>
      <c r="J122" s="252">
        <f t="shared" si="8"/>
        <v>-12.980311248662368</v>
      </c>
      <c r="L122" s="248">
        <v>40269</v>
      </c>
      <c r="M122" s="250">
        <f>IF($L$1=1,VLOOKUP(L122,'Super Peak Curve Simulation'!$B$7:$N$225,12),VLOOKUP(L122,'PJM Curve Simulation'!$B$9:$J$246,9))</f>
        <v>29.325000762939453</v>
      </c>
      <c r="N122" s="250">
        <f t="shared" si="9"/>
        <v>45.681546952801611</v>
      </c>
      <c r="P122" s="250">
        <f>IF($L$1=1,VLOOKUP(L122,'Fuel Curve'!$B$7:$H$246,7),VLOOKUP(L122,'Revenues &amp; Expenses'!$K$9:$S$246,9))</f>
        <v>43.047695689655178</v>
      </c>
      <c r="Q122" s="250">
        <f>'Revenues &amp; Expenses'!$AM$5*1000*'Revenues &amp; Expenses'!O130</f>
        <v>2.6338512631464344</v>
      </c>
      <c r="S122" s="247">
        <f t="shared" si="10"/>
        <v>0</v>
      </c>
      <c r="T122" s="247">
        <f>'Revenues &amp; Expenses'!$S$3</f>
        <v>310.66000000000003</v>
      </c>
      <c r="U122" s="391">
        <f>T122*'Revenues &amp; Expenses'!F130*4</f>
        <v>27338.080000000002</v>
      </c>
      <c r="W122" s="391">
        <f t="shared" si="11"/>
        <v>0</v>
      </c>
    </row>
    <row r="123" spans="2:23">
      <c r="B123" s="248">
        <v>40299</v>
      </c>
      <c r="C123" s="251">
        <f>VLOOKUP(B123,'Company Gas Prices'!$B$25:$C$259,2)</f>
        <v>3.8177083299999999</v>
      </c>
      <c r="D123" s="250">
        <f>VLOOKUP(B123,'Fuel Curve'!$B$7:$F$268,5)</f>
        <v>4.4267241379310347</v>
      </c>
      <c r="E123" s="250">
        <f t="shared" si="7"/>
        <v>0.60901580793103482</v>
      </c>
      <c r="G123" s="248">
        <v>40299</v>
      </c>
      <c r="H123" s="250">
        <f>VLOOKUP(G123,'Company Power Prices'!$B$25:$C$259,2)</f>
        <v>58.186107210000003</v>
      </c>
      <c r="I123" s="250">
        <f>VLOOKUP(G123,'Super Peak Curve Simulation'!$B$4:$C$225,2)</f>
        <v>40.975541282714737</v>
      </c>
      <c r="J123" s="252">
        <f t="shared" si="8"/>
        <v>-17.210565927285266</v>
      </c>
      <c r="L123" s="248">
        <v>40299</v>
      </c>
      <c r="M123" s="250">
        <f>IF($L$1=1,VLOOKUP(L123,'Super Peak Curve Simulation'!$B$7:$N$225,12),VLOOKUP(L123,'PJM Curve Simulation'!$B$9:$J$246,9))</f>
        <v>37.325000000000003</v>
      </c>
      <c r="N123" s="250">
        <f t="shared" si="9"/>
        <v>45.043295850094566</v>
      </c>
      <c r="P123" s="250">
        <f>IF($L$1=1,VLOOKUP(L123,'Fuel Curve'!$B$7:$H$246,7),VLOOKUP(L123,'Revenues &amp; Expenses'!$K$9:$S$246,9))</f>
        <v>42.403590517241383</v>
      </c>
      <c r="Q123" s="250">
        <f>'Revenues &amp; Expenses'!$AM$5*1000*'Revenues &amp; Expenses'!O131</f>
        <v>2.6397053328531808</v>
      </c>
      <c r="S123" s="247">
        <f t="shared" si="10"/>
        <v>0</v>
      </c>
      <c r="T123" s="247">
        <f>'Revenues &amp; Expenses'!$S$3</f>
        <v>310.66000000000003</v>
      </c>
      <c r="U123" s="391">
        <f>T123*'Revenues &amp; Expenses'!F131*4</f>
        <v>28580.720000000001</v>
      </c>
      <c r="W123" s="391">
        <f t="shared" si="11"/>
        <v>0</v>
      </c>
    </row>
    <row r="124" spans="2:23">
      <c r="B124" s="248">
        <v>40330</v>
      </c>
      <c r="C124" s="251">
        <f>VLOOKUP(B124,'Company Gas Prices'!$B$25:$C$259,2)</f>
        <v>3.8093750000000002</v>
      </c>
      <c r="D124" s="250">
        <f>VLOOKUP(B124,'Fuel Curve'!$B$7:$F$268,5)</f>
        <v>4.4201724137931047</v>
      </c>
      <c r="E124" s="250">
        <f t="shared" si="7"/>
        <v>0.61079741379310448</v>
      </c>
      <c r="G124" s="248">
        <v>40330</v>
      </c>
      <c r="H124" s="250">
        <f>VLOOKUP(G124,'Company Power Prices'!$B$25:$C$259,2)</f>
        <v>107.1349637</v>
      </c>
      <c r="I124" s="250">
        <f>VLOOKUP(G124,'Super Peak Curve Simulation'!$B$4:$C$225,2)</f>
        <v>76.938166971698237</v>
      </c>
      <c r="J124" s="252">
        <f t="shared" si="8"/>
        <v>-30.196796728301763</v>
      </c>
      <c r="L124" s="248">
        <v>40330</v>
      </c>
      <c r="M124" s="250">
        <f>IF($L$1=1,VLOOKUP(L124,'Super Peak Curve Simulation'!$B$7:$N$225,12),VLOOKUP(L124,'PJM Curve Simulation'!$B$9:$J$246,9))</f>
        <v>62.349998474121094</v>
      </c>
      <c r="N124" s="250">
        <f t="shared" si="9"/>
        <v>44.986403965699189</v>
      </c>
      <c r="P124" s="250">
        <f>IF($L$1=1,VLOOKUP(L124,'Fuel Curve'!$B$7:$H$246,7),VLOOKUP(L124,'Revenues &amp; Expenses'!$K$9:$S$246,9))</f>
        <v>42.34083155172415</v>
      </c>
      <c r="Q124" s="250">
        <f>'Revenues &amp; Expenses'!$AM$5*1000*'Revenues &amp; Expenses'!O132</f>
        <v>2.6455724139750405</v>
      </c>
      <c r="S124" s="247">
        <f t="shared" si="10"/>
        <v>1</v>
      </c>
      <c r="T124" s="247">
        <f>'Revenues &amp; Expenses'!$S$3</f>
        <v>310.66000000000003</v>
      </c>
      <c r="U124" s="391">
        <f>T124*'Revenues &amp; Expenses'!F132*4</f>
        <v>24852.800000000003</v>
      </c>
      <c r="W124" s="391">
        <f t="shared" si="11"/>
        <v>431533.94159890799</v>
      </c>
    </row>
    <row r="125" spans="2:23">
      <c r="B125" s="248">
        <v>40360</v>
      </c>
      <c r="C125" s="251">
        <f>VLOOKUP(B125,'Company Gas Prices'!$B$25:$C$259,2)</f>
        <v>3.7718750000000001</v>
      </c>
      <c r="D125" s="250">
        <f>VLOOKUP(B125,'Fuel Curve'!$B$7:$F$268,5)</f>
        <v>4.477413793103449</v>
      </c>
      <c r="E125" s="250">
        <f t="shared" si="7"/>
        <v>0.70553879310344891</v>
      </c>
      <c r="G125" s="248">
        <v>40360</v>
      </c>
      <c r="H125" s="250">
        <f>VLOOKUP(G125,'Company Power Prices'!$B$25:$C$259,2)</f>
        <v>170.04549890000001</v>
      </c>
      <c r="I125" s="250">
        <f>VLOOKUP(G125,'Super Peak Curve Simulation'!$B$4:$C$225,2)</f>
        <v>140.43237940222531</v>
      </c>
      <c r="J125" s="252">
        <f t="shared" si="8"/>
        <v>-29.613119497774704</v>
      </c>
      <c r="L125" s="248">
        <v>40360</v>
      </c>
      <c r="M125" s="250">
        <f>IF($L$1=1,VLOOKUP(L125,'Super Peak Curve Simulation'!$B$7:$N$225,12),VLOOKUP(L125,'PJM Curve Simulation'!$B$9:$J$246,9))</f>
        <v>106.94999694824219</v>
      </c>
      <c r="N125" s="250">
        <f t="shared" si="9"/>
        <v>45.540599259569476</v>
      </c>
      <c r="P125" s="250">
        <f>IF($L$1=1,VLOOKUP(L125,'Fuel Curve'!$B$7:$H$246,7),VLOOKUP(L125,'Revenues &amp; Expenses'!$K$9:$S$246,9))</f>
        <v>42.889146724137937</v>
      </c>
      <c r="Q125" s="250">
        <f>'Revenues &amp; Expenses'!$AM$5*1000*'Revenues &amp; Expenses'!O133</f>
        <v>2.6514525354315395</v>
      </c>
      <c r="S125" s="247">
        <f t="shared" si="10"/>
        <v>1</v>
      </c>
      <c r="T125" s="247">
        <f>'Revenues &amp; Expenses'!$S$3</f>
        <v>310.66000000000003</v>
      </c>
      <c r="U125" s="391">
        <f>T125*'Revenues &amp; Expenses'!F133*4</f>
        <v>28580.720000000001</v>
      </c>
      <c r="W125" s="391">
        <f t="shared" si="11"/>
        <v>1755124.8007086019</v>
      </c>
    </row>
    <row r="126" spans="2:23">
      <c r="B126" s="248">
        <v>40391</v>
      </c>
      <c r="C126" s="251">
        <f>VLOOKUP(B126,'Company Gas Prices'!$B$25:$C$259,2)</f>
        <v>3.7718750000000001</v>
      </c>
      <c r="D126" s="250">
        <f>VLOOKUP(B126,'Fuel Curve'!$B$7:$F$268,5)</f>
        <v>4.5679310344827595</v>
      </c>
      <c r="E126" s="250">
        <f t="shared" si="7"/>
        <v>0.79605603448275941</v>
      </c>
      <c r="G126" s="248">
        <v>40391</v>
      </c>
      <c r="H126" s="250">
        <f>VLOOKUP(G126,'Company Power Prices'!$B$25:$C$259,2)</f>
        <v>170.04549890000001</v>
      </c>
      <c r="I126" s="250">
        <f>VLOOKUP(G126,'Super Peak Curve Simulation'!$B$4:$C$225,2)</f>
        <v>115.30857902137446</v>
      </c>
      <c r="J126" s="252">
        <f t="shared" si="8"/>
        <v>-54.736919878625557</v>
      </c>
      <c r="L126" s="248">
        <v>40391</v>
      </c>
      <c r="M126" s="250">
        <f>IF($L$1=1,VLOOKUP(L126,'Super Peak Curve Simulation'!$B$7:$N$225,12),VLOOKUP(L126,'PJM Curve Simulation'!$B$9:$J$246,9))</f>
        <v>93.949996948242188</v>
      </c>
      <c r="N126" s="250">
        <f t="shared" si="9"/>
        <v>46.413557105516837</v>
      </c>
      <c r="P126" s="250">
        <f>IF($L$1=1,VLOOKUP(L126,'Fuel Curve'!$B$7:$H$246,7),VLOOKUP(L126,'Revenues &amp; Expenses'!$K$9:$S$246,9))</f>
        <v>43.756211379310358</v>
      </c>
      <c r="Q126" s="250">
        <f>'Revenues &amp; Expenses'!$AM$5*1000*'Revenues &amp; Expenses'!O134</f>
        <v>2.6573457262064819</v>
      </c>
      <c r="S126" s="247">
        <f t="shared" si="10"/>
        <v>1</v>
      </c>
      <c r="T126" s="247">
        <f>'Revenues &amp; Expenses'!$S$3</f>
        <v>310.66000000000003</v>
      </c>
      <c r="U126" s="391">
        <f>T126*'Revenues &amp; Expenses'!F134*4</f>
        <v>27338.080000000002</v>
      </c>
      <c r="W126" s="391">
        <f t="shared" si="11"/>
        <v>1299554.9953356131</v>
      </c>
    </row>
    <row r="127" spans="2:23">
      <c r="B127" s="248">
        <v>40422</v>
      </c>
      <c r="C127" s="251">
        <f>VLOOKUP(B127,'Company Gas Prices'!$B$25:$C$259,2)</f>
        <v>3.8177083299999999</v>
      </c>
      <c r="D127" s="250">
        <f>VLOOKUP(B127,'Fuel Curve'!$B$7:$F$268,5)</f>
        <v>4.6627586206896563</v>
      </c>
      <c r="E127" s="250">
        <f t="shared" si="7"/>
        <v>0.84505029068965642</v>
      </c>
      <c r="G127" s="248">
        <v>40422</v>
      </c>
      <c r="H127" s="250">
        <f>VLOOKUP(G127,'Company Power Prices'!$B$25:$C$259,2)</f>
        <v>58.186107210000003</v>
      </c>
      <c r="I127" s="250">
        <f>VLOOKUP(G127,'Super Peak Curve Simulation'!$B$4:$C$225,2)</f>
        <v>42.073531095975476</v>
      </c>
      <c r="J127" s="252">
        <f t="shared" si="8"/>
        <v>-16.112576114024527</v>
      </c>
      <c r="L127" s="248">
        <v>40422</v>
      </c>
      <c r="M127" s="250">
        <f>IF($L$1=1,VLOOKUP(L127,'Super Peak Curve Simulation'!$B$7:$N$225,12),VLOOKUP(L127,'PJM Curve Simulation'!$B$9:$J$246,9))</f>
        <v>36.424998474121097</v>
      </c>
      <c r="N127" s="250">
        <f t="shared" si="9"/>
        <v>47.327816842934311</v>
      </c>
      <c r="P127" s="250">
        <f>IF($L$1=1,VLOOKUP(L127,'Fuel Curve'!$B$7:$H$246,7),VLOOKUP(L127,'Revenues &amp; Expenses'!$K$9:$S$246,9))</f>
        <v>44.664564827586219</v>
      </c>
      <c r="Q127" s="250">
        <f>'Revenues &amp; Expenses'!$AM$5*1000*'Revenues &amp; Expenses'!O135</f>
        <v>2.6632520153480916</v>
      </c>
      <c r="S127" s="247">
        <f t="shared" si="10"/>
        <v>0</v>
      </c>
      <c r="T127" s="247">
        <f>'Revenues &amp; Expenses'!$S$3</f>
        <v>310.66000000000003</v>
      </c>
      <c r="U127" s="391">
        <f>T127*'Revenues &amp; Expenses'!F135*4</f>
        <v>26095.440000000002</v>
      </c>
      <c r="W127" s="391">
        <f t="shared" si="11"/>
        <v>0</v>
      </c>
    </row>
    <row r="128" spans="2:23">
      <c r="B128" s="248">
        <v>40452</v>
      </c>
      <c r="C128" s="251">
        <f>VLOOKUP(B128,'Company Gas Prices'!$B$25:$C$259,2)</f>
        <v>3.7781250000000002</v>
      </c>
      <c r="D128" s="250">
        <f>VLOOKUP(B128,'Fuel Curve'!$B$7:$F$268,5)</f>
        <v>4.7553448275862067</v>
      </c>
      <c r="E128" s="250">
        <f t="shared" si="7"/>
        <v>0.97721982758620651</v>
      </c>
      <c r="G128" s="248">
        <v>40452</v>
      </c>
      <c r="H128" s="250">
        <f>VLOOKUP(G128,'Company Power Prices'!$B$25:$C$259,2)</f>
        <v>48.125682779999998</v>
      </c>
      <c r="I128" s="250">
        <f>VLOOKUP(G128,'Super Peak Curve Simulation'!$B$4:$C$225,2)</f>
        <v>35.329854823122027</v>
      </c>
      <c r="J128" s="252">
        <f t="shared" si="8"/>
        <v>-12.795827956877972</v>
      </c>
      <c r="L128" s="248">
        <v>40452</v>
      </c>
      <c r="M128" s="250">
        <f>IF($L$1=1,VLOOKUP(L128,'Super Peak Curve Simulation'!$B$7:$N$225,12),VLOOKUP(L128,'PJM Curve Simulation'!$B$9:$J$246,9))</f>
        <v>30.075000381469728</v>
      </c>
      <c r="N128" s="250">
        <f t="shared" si="9"/>
        <v>48.220619535417427</v>
      </c>
      <c r="P128" s="250">
        <f>IF($L$1=1,VLOOKUP(L128,'Fuel Curve'!$B$7:$H$246,7),VLOOKUP(L128,'Revenues &amp; Expenses'!$K$9:$S$246,9))</f>
        <v>45.551448103448273</v>
      </c>
      <c r="Q128" s="250">
        <f>'Revenues &amp; Expenses'!$AM$5*1000*'Revenues &amp; Expenses'!O136</f>
        <v>2.669171431969156</v>
      </c>
      <c r="S128" s="247">
        <f t="shared" si="10"/>
        <v>0</v>
      </c>
      <c r="T128" s="247">
        <f>'Revenues &amp; Expenses'!$S$3</f>
        <v>310.66000000000003</v>
      </c>
      <c r="U128" s="391">
        <f>T128*'Revenues &amp; Expenses'!F136*4</f>
        <v>28580.720000000001</v>
      </c>
      <c r="W128" s="391">
        <f t="shared" si="11"/>
        <v>0</v>
      </c>
    </row>
    <row r="129" spans="2:23">
      <c r="B129" s="248">
        <v>40483</v>
      </c>
      <c r="C129" s="251">
        <f>VLOOKUP(B129,'Company Gas Prices'!$B$25:$C$259,2)</f>
        <v>3.7781250000000002</v>
      </c>
      <c r="D129" s="250">
        <f>VLOOKUP(B129,'Fuel Curve'!$B$7:$F$268,5)</f>
        <v>4.8046551724137938</v>
      </c>
      <c r="E129" s="250">
        <f t="shared" si="7"/>
        <v>1.0265301724137936</v>
      </c>
      <c r="G129" s="248">
        <v>40483</v>
      </c>
      <c r="H129" s="250">
        <f>VLOOKUP(G129,'Company Power Prices'!$B$25:$C$259,2)</f>
        <v>50.292528799999999</v>
      </c>
      <c r="I129" s="250">
        <f>VLOOKUP(G129,'Super Peak Curve Simulation'!$B$4:$C$225,2)</f>
        <v>35.424065597267152</v>
      </c>
      <c r="J129" s="252">
        <f t="shared" si="8"/>
        <v>-14.868463202732848</v>
      </c>
      <c r="L129" s="248">
        <v>40483</v>
      </c>
      <c r="M129" s="250">
        <f>IF($L$1=1,VLOOKUP(L129,'Super Peak Curve Simulation'!$B$7:$N$225,12),VLOOKUP(L129,'PJM Curve Simulation'!$B$9:$J$246,9))</f>
        <v>29.747499084472658</v>
      </c>
      <c r="N129" s="250">
        <f t="shared" si="9"/>
        <v>48.698895901798899</v>
      </c>
      <c r="P129" s="250">
        <f>IF($L$1=1,VLOOKUP(L129,'Fuel Curve'!$B$7:$H$246,7),VLOOKUP(L129,'Revenues &amp; Expenses'!$K$9:$S$246,9))</f>
        <v>46.023791896551728</v>
      </c>
      <c r="Q129" s="250">
        <f>'Revenues &amp; Expenses'!$AM$5*1000*'Revenues &amp; Expenses'!O137</f>
        <v>2.6751040052471691</v>
      </c>
      <c r="S129" s="247">
        <f t="shared" si="10"/>
        <v>0</v>
      </c>
      <c r="T129" s="247">
        <f>'Revenues &amp; Expenses'!$S$3</f>
        <v>310.66000000000003</v>
      </c>
      <c r="U129" s="391">
        <f>T129*'Revenues &amp; Expenses'!F137*4</f>
        <v>26095.440000000002</v>
      </c>
      <c r="W129" s="391">
        <f t="shared" si="11"/>
        <v>0</v>
      </c>
    </row>
    <row r="130" spans="2:23">
      <c r="B130" s="248">
        <v>40513</v>
      </c>
      <c r="C130" s="251">
        <f>VLOOKUP(B130,'Company Gas Prices'!$B$25:$C$259,2)</f>
        <v>3.7781250000000002</v>
      </c>
      <c r="D130" s="250">
        <f>VLOOKUP(B130,'Fuel Curve'!$B$7:$F$268,5)</f>
        <v>4.8474137931034491</v>
      </c>
      <c r="E130" s="250">
        <f t="shared" si="7"/>
        <v>1.0692887931034489</v>
      </c>
      <c r="G130" s="248">
        <v>40513</v>
      </c>
      <c r="H130" s="250">
        <f>VLOOKUP(G130,'Company Power Prices'!$B$25:$C$259,2)</f>
        <v>50.292528799999999</v>
      </c>
      <c r="I130" s="250">
        <f>VLOOKUP(G130,'Super Peak Curve Simulation'!$B$4:$C$225,2)</f>
        <v>37.987862084235829</v>
      </c>
      <c r="J130" s="252">
        <f t="shared" si="8"/>
        <v>-12.304666715764171</v>
      </c>
      <c r="L130" s="248">
        <v>40513</v>
      </c>
      <c r="M130" s="250">
        <f>IF($L$1=1,VLOOKUP(L130,'Super Peak Curve Simulation'!$B$7:$N$225,12),VLOOKUP(L130,'PJM Curve Simulation'!$B$9:$J$246,9))</f>
        <v>31.499999618530275</v>
      </c>
      <c r="N130" s="250">
        <f t="shared" si="9"/>
        <v>49.114426488562415</v>
      </c>
      <c r="P130" s="250">
        <f>IF($L$1=1,VLOOKUP(L130,'Fuel Curve'!$B$7:$H$246,7),VLOOKUP(L130,'Revenues &amp; Expenses'!$K$9:$S$246,9))</f>
        <v>46.433376724137936</v>
      </c>
      <c r="Q130" s="250">
        <f>'Revenues &amp; Expenses'!$AM$5*1000*'Revenues &amp; Expenses'!O138</f>
        <v>2.6810497644244755</v>
      </c>
      <c r="S130" s="247">
        <f t="shared" si="10"/>
        <v>0</v>
      </c>
      <c r="T130" s="247">
        <f>'Revenues &amp; Expenses'!$S$3</f>
        <v>310.66000000000003</v>
      </c>
      <c r="U130" s="391">
        <f>T130*'Revenues &amp; Expenses'!F138*4</f>
        <v>27338.080000000002</v>
      </c>
      <c r="W130" s="391">
        <f t="shared" si="11"/>
        <v>0</v>
      </c>
    </row>
    <row r="131" spans="2:23">
      <c r="B131" s="248">
        <v>40544</v>
      </c>
      <c r="C131" s="251">
        <f>VLOOKUP(B131,'Company Gas Prices'!$B$25:$C$259,2)</f>
        <v>3.8354166699999999</v>
      </c>
      <c r="D131" s="250">
        <f>VLOOKUP(B131,'Fuel Curve'!$B$7:$F$268,5)</f>
        <v>4.7901724137931048</v>
      </c>
      <c r="E131" s="250">
        <f t="shared" si="7"/>
        <v>0.95475574379310491</v>
      </c>
      <c r="G131" s="248">
        <v>40544</v>
      </c>
      <c r="H131" s="250">
        <f>VLOOKUP(G131,'Company Power Prices'!$B$25:$C$259,2)</f>
        <v>47.627052849999998</v>
      </c>
      <c r="I131" s="250">
        <f>VLOOKUP(G131,'Super Peak Curve Simulation'!$B$4:$C$225,2)</f>
        <v>49.140674431384944</v>
      </c>
      <c r="J131" s="252">
        <f t="shared" si="8"/>
        <v>1.5136215813849461</v>
      </c>
      <c r="L131" s="248">
        <v>40544</v>
      </c>
      <c r="M131" s="250">
        <f>IF($L$1=1,VLOOKUP(L131,'Super Peak Curve Simulation'!$B$7:$N$225,12),VLOOKUP(L131,'PJM Curve Simulation'!$B$9:$J$246,9))</f>
        <v>40.074998474121088</v>
      </c>
      <c r="N131" s="250">
        <f t="shared" si="9"/>
        <v>48.572070290532572</v>
      </c>
      <c r="P131" s="250">
        <f>IF($L$1=1,VLOOKUP(L131,'Fuel Curve'!$B$7:$H$246,7),VLOOKUP(L131,'Revenues &amp; Expenses'!$K$9:$S$246,9))</f>
        <v>45.885061551724156</v>
      </c>
      <c r="Q131" s="250">
        <f>'Revenues &amp; Expenses'!$AM$5*1000*'Revenues &amp; Expenses'!O139</f>
        <v>2.687008738808415</v>
      </c>
      <c r="S131" s="247">
        <f t="shared" si="10"/>
        <v>0</v>
      </c>
      <c r="T131" s="247">
        <f>'Revenues &amp; Expenses'!$S$3</f>
        <v>310.66000000000003</v>
      </c>
      <c r="U131" s="391">
        <f>T131*'Revenues &amp; Expenses'!F139*4</f>
        <v>28580.720000000001</v>
      </c>
      <c r="W131" s="391">
        <f t="shared" si="11"/>
        <v>0</v>
      </c>
    </row>
    <row r="132" spans="2:23">
      <c r="B132" s="248">
        <v>40575</v>
      </c>
      <c r="C132" s="251">
        <f>VLOOKUP(B132,'Company Gas Prices'!$B$25:$C$259,2)</f>
        <v>3.8354166699999999</v>
      </c>
      <c r="D132" s="250">
        <f>VLOOKUP(B132,'Fuel Curve'!$B$7:$F$268,5)</f>
        <v>4.6910344827586217</v>
      </c>
      <c r="E132" s="250">
        <f t="shared" si="7"/>
        <v>0.85561781275862181</v>
      </c>
      <c r="G132" s="248">
        <v>40575</v>
      </c>
      <c r="H132" s="250">
        <f>VLOOKUP(G132,'Company Power Prices'!$B$25:$C$259,2)</f>
        <v>41.87551191</v>
      </c>
      <c r="I132" s="250">
        <f>VLOOKUP(G132,'Super Peak Curve Simulation'!$B$4:$C$225,2)</f>
        <v>49.140674431384944</v>
      </c>
      <c r="J132" s="252">
        <f t="shared" si="8"/>
        <v>7.2651625213849442</v>
      </c>
      <c r="L132" s="248">
        <v>40575</v>
      </c>
      <c r="M132" s="250">
        <f>IF($L$1=1,VLOOKUP(L132,'Super Peak Curve Simulation'!$B$7:$N$225,12),VLOOKUP(L132,'PJM Curve Simulation'!$B$9:$J$246,9))</f>
        <v>40.074998474121088</v>
      </c>
      <c r="N132" s="250">
        <f t="shared" si="9"/>
        <v>47.628400268116302</v>
      </c>
      <c r="P132" s="250">
        <f>IF($L$1=1,VLOOKUP(L132,'Fuel Curve'!$B$7:$H$246,7),VLOOKUP(L132,'Revenues &amp; Expenses'!$K$9:$S$246,9))</f>
        <v>44.935419310344834</v>
      </c>
      <c r="Q132" s="250">
        <f>'Revenues &amp; Expenses'!$AM$5*1000*'Revenues &amp; Expenses'!O140</f>
        <v>2.6929809577714665</v>
      </c>
      <c r="S132" s="247">
        <f t="shared" si="10"/>
        <v>0</v>
      </c>
      <c r="T132" s="247">
        <f>'Revenues &amp; Expenses'!$S$3</f>
        <v>310.66000000000003</v>
      </c>
      <c r="U132" s="391">
        <f>T132*'Revenues &amp; Expenses'!F140*4</f>
        <v>24852.800000000003</v>
      </c>
      <c r="W132" s="391">
        <f t="shared" si="11"/>
        <v>0</v>
      </c>
    </row>
    <row r="133" spans="2:23">
      <c r="B133" s="248">
        <v>40603</v>
      </c>
      <c r="C133" s="251">
        <f>VLOOKUP(B133,'Company Gas Prices'!$B$25:$C$259,2)</f>
        <v>3.8354166699999999</v>
      </c>
      <c r="D133" s="250">
        <f>VLOOKUP(B133,'Fuel Curve'!$B$7:$F$268,5)</f>
        <v>4.5939655172413802</v>
      </c>
      <c r="E133" s="250">
        <f t="shared" ref="E133:E196" si="12">D133-C133</f>
        <v>0.75854884724138039</v>
      </c>
      <c r="G133" s="248">
        <v>40603</v>
      </c>
      <c r="H133" s="250">
        <f>VLOOKUP(G133,'Company Power Prices'!$B$25:$C$259,2)</f>
        <v>41.87551191</v>
      </c>
      <c r="I133" s="250">
        <f>VLOOKUP(G133,'Super Peak Curve Simulation'!$B$4:$C$225,2)</f>
        <v>36.243505927906035</v>
      </c>
      <c r="J133" s="252">
        <f t="shared" ref="J133:J196" si="13">I133-H133</f>
        <v>-5.6320059820939647</v>
      </c>
      <c r="L133" s="248">
        <v>40603</v>
      </c>
      <c r="M133" s="250">
        <f>IF($L$1=1,VLOOKUP(L133,'Super Peak Curve Simulation'!$B$7:$N$225,12),VLOOKUP(L133,'PJM Curve Simulation'!$B$9:$J$246,9))</f>
        <v>29.800000762939455</v>
      </c>
      <c r="N133" s="250">
        <f t="shared" ref="N133:N196" si="14">P133+Q133</f>
        <v>46.704562140406573</v>
      </c>
      <c r="P133" s="250">
        <f>IF($L$1=1,VLOOKUP(L133,'Fuel Curve'!$B$7:$H$246,7),VLOOKUP(L133,'Revenues &amp; Expenses'!$K$9:$S$246,9))</f>
        <v>44.005595689655181</v>
      </c>
      <c r="Q133" s="250">
        <f>'Revenues &amp; Expenses'!$AM$5*1000*'Revenues &amp; Expenses'!O141</f>
        <v>2.6989664507513935</v>
      </c>
      <c r="S133" s="247">
        <f t="shared" ref="S133:S196" si="15">IF(M133&gt;N133,1,0)</f>
        <v>0</v>
      </c>
      <c r="T133" s="247">
        <f>'Revenues &amp; Expenses'!$S$3</f>
        <v>310.66000000000003</v>
      </c>
      <c r="U133" s="391">
        <f>T133*'Revenues &amp; Expenses'!F141*4</f>
        <v>26095.440000000002</v>
      </c>
      <c r="W133" s="391">
        <f t="shared" ref="W133:W196" si="16">IF(S133&gt;0,(M133-N133)*U133,0)</f>
        <v>0</v>
      </c>
    </row>
    <row r="134" spans="2:23">
      <c r="B134" s="248">
        <v>40634</v>
      </c>
      <c r="C134" s="251">
        <f>VLOOKUP(B134,'Company Gas Prices'!$B$25:$C$259,2)</f>
        <v>3.98020833</v>
      </c>
      <c r="D134" s="250">
        <f>VLOOKUP(B134,'Fuel Curve'!$B$7:$F$268,5)</f>
        <v>4.4939655172413797</v>
      </c>
      <c r="E134" s="250">
        <f t="shared" si="12"/>
        <v>0.51375718724137975</v>
      </c>
      <c r="G134" s="248">
        <v>40634</v>
      </c>
      <c r="H134" s="250">
        <f>VLOOKUP(G134,'Company Power Prices'!$B$25:$C$259,2)</f>
        <v>46.286573279999999</v>
      </c>
      <c r="I134" s="250">
        <f>VLOOKUP(G134,'Super Peak Curve Simulation'!$B$4:$C$225,2)</f>
        <v>33.54876560393685</v>
      </c>
      <c r="J134" s="252">
        <f t="shared" si="13"/>
        <v>-12.737807676063149</v>
      </c>
      <c r="L134" s="248">
        <v>40634</v>
      </c>
      <c r="M134" s="250">
        <f>IF($L$1=1,VLOOKUP(L134,'Super Peak Curve Simulation'!$B$7:$N$225,12),VLOOKUP(L134,'PJM Curve Simulation'!$B$9:$J$246,9))</f>
        <v>29.575000762939453</v>
      </c>
      <c r="N134" s="250">
        <f t="shared" si="14"/>
        <v>45.752660936906565</v>
      </c>
      <c r="P134" s="250">
        <f>IF($L$1=1,VLOOKUP(L134,'Fuel Curve'!$B$7:$H$246,7),VLOOKUP(L134,'Revenues &amp; Expenses'!$K$9:$S$246,9))</f>
        <v>43.047695689655178</v>
      </c>
      <c r="Q134" s="250">
        <f>'Revenues &amp; Expenses'!$AM$5*1000*'Revenues &amp; Expenses'!O142</f>
        <v>2.7049652472513879</v>
      </c>
      <c r="S134" s="247">
        <f t="shared" si="15"/>
        <v>0</v>
      </c>
      <c r="T134" s="247">
        <f>'Revenues &amp; Expenses'!$S$3</f>
        <v>310.66000000000003</v>
      </c>
      <c r="U134" s="391">
        <f>T134*'Revenues &amp; Expenses'!F142*4</f>
        <v>27338.080000000002</v>
      </c>
      <c r="W134" s="391">
        <f t="shared" si="16"/>
        <v>0</v>
      </c>
    </row>
    <row r="135" spans="2:23">
      <c r="B135" s="248">
        <v>40664</v>
      </c>
      <c r="C135" s="251">
        <f>VLOOKUP(B135,'Company Gas Prices'!$B$25:$C$259,2)</f>
        <v>3.8177083299999999</v>
      </c>
      <c r="D135" s="250">
        <f>VLOOKUP(B135,'Fuel Curve'!$B$7:$F$268,5)</f>
        <v>4.4267241379310347</v>
      </c>
      <c r="E135" s="250">
        <f t="shared" si="12"/>
        <v>0.60901580793103482</v>
      </c>
      <c r="G135" s="248">
        <v>40664</v>
      </c>
      <c r="H135" s="250">
        <f>VLOOKUP(G135,'Company Power Prices'!$B$25:$C$259,2)</f>
        <v>57.018796610000003</v>
      </c>
      <c r="I135" s="250">
        <f>VLOOKUP(G135,'Super Peak Curve Simulation'!$B$4:$C$225,2)</f>
        <v>41.249992329484428</v>
      </c>
      <c r="J135" s="252">
        <f t="shared" si="13"/>
        <v>-15.768804280515575</v>
      </c>
      <c r="L135" s="248">
        <v>40664</v>
      </c>
      <c r="M135" s="250">
        <f>IF($L$1=1,VLOOKUP(L135,'Super Peak Curve Simulation'!$B$7:$N$225,12),VLOOKUP(L135,'PJM Curve Simulation'!$B$9:$J$246,9))</f>
        <v>37.575000000000003</v>
      </c>
      <c r="N135" s="250">
        <f t="shared" si="14"/>
        <v>45.114567894081603</v>
      </c>
      <c r="P135" s="250">
        <f>IF($L$1=1,VLOOKUP(L135,'Fuel Curve'!$B$7:$H$246,7),VLOOKUP(L135,'Revenues &amp; Expenses'!$K$9:$S$246,9))</f>
        <v>42.403590517241383</v>
      </c>
      <c r="Q135" s="250">
        <f>'Revenues &amp; Expenses'!$AM$5*1000*'Revenues &amp; Expenses'!O143</f>
        <v>2.7109773768402161</v>
      </c>
      <c r="S135" s="247">
        <f t="shared" si="15"/>
        <v>0</v>
      </c>
      <c r="T135" s="247">
        <f>'Revenues &amp; Expenses'!$S$3</f>
        <v>310.66000000000003</v>
      </c>
      <c r="U135" s="391">
        <f>T135*'Revenues &amp; Expenses'!F143*4</f>
        <v>27338.080000000002</v>
      </c>
      <c r="W135" s="391">
        <f t="shared" si="16"/>
        <v>0</v>
      </c>
    </row>
    <row r="136" spans="2:23">
      <c r="B136" s="248">
        <v>40695</v>
      </c>
      <c r="C136" s="251">
        <f>VLOOKUP(B136,'Company Gas Prices'!$B$25:$C$259,2)</f>
        <v>3.8093750000000002</v>
      </c>
      <c r="D136" s="250">
        <f>VLOOKUP(B136,'Fuel Curve'!$B$7:$F$268,5)</f>
        <v>4.4201724137931047</v>
      </c>
      <c r="E136" s="250">
        <f t="shared" si="12"/>
        <v>0.61079741379310448</v>
      </c>
      <c r="G136" s="248">
        <v>40695</v>
      </c>
      <c r="H136" s="250">
        <f>VLOOKUP(G136,'Company Power Prices'!$B$25:$C$259,2)</f>
        <v>104.3683817</v>
      </c>
      <c r="I136" s="250">
        <f>VLOOKUP(G136,'Super Peak Curve Simulation'!$B$4:$C$225,2)</f>
        <v>77.863646147976382</v>
      </c>
      <c r="J136" s="252">
        <f t="shared" si="13"/>
        <v>-26.504735552023618</v>
      </c>
      <c r="L136" s="248">
        <v>40695</v>
      </c>
      <c r="M136" s="250">
        <f>IF($L$1=1,VLOOKUP(L136,'Super Peak Curve Simulation'!$B$7:$N$225,12),VLOOKUP(L136,'PJM Curve Simulation'!$B$9:$J$246,9))</f>
        <v>63.099998474121094</v>
      </c>
      <c r="N136" s="250">
        <f t="shared" si="14"/>
        <v>45.057834420876517</v>
      </c>
      <c r="P136" s="250">
        <f>IF($L$1=1,VLOOKUP(L136,'Fuel Curve'!$B$7:$H$246,7),VLOOKUP(L136,'Revenues &amp; Expenses'!$K$9:$S$246,9))</f>
        <v>42.34083155172415</v>
      </c>
      <c r="Q136" s="250">
        <f>'Revenues &amp; Expenses'!$AM$5*1000*'Revenues &amp; Expenses'!O144</f>
        <v>2.717002869152366</v>
      </c>
      <c r="S136" s="247">
        <f t="shared" si="15"/>
        <v>1</v>
      </c>
      <c r="T136" s="247">
        <f>'Revenues &amp; Expenses'!$S$3</f>
        <v>310.66000000000003</v>
      </c>
      <c r="U136" s="391">
        <f>T136*'Revenues &amp; Expenses'!F144*4</f>
        <v>26095.440000000002</v>
      </c>
      <c r="W136" s="391">
        <f t="shared" si="16"/>
        <v>470818.20952160069</v>
      </c>
    </row>
    <row r="137" spans="2:23">
      <c r="B137" s="248">
        <v>40725</v>
      </c>
      <c r="C137" s="251">
        <f>VLOOKUP(B137,'Company Gas Prices'!$B$25:$C$259,2)</f>
        <v>3.7718750000000001</v>
      </c>
      <c r="D137" s="250">
        <f>VLOOKUP(B137,'Fuel Curve'!$B$7:$F$268,5)</f>
        <v>4.477413793103449</v>
      </c>
      <c r="E137" s="250">
        <f t="shared" si="12"/>
        <v>0.70553879310344891</v>
      </c>
      <c r="G137" s="248">
        <v>40725</v>
      </c>
      <c r="H137" s="250">
        <f>VLOOKUP(G137,'Company Power Prices'!$B$25:$C$259,2)</f>
        <v>163.52485100000001</v>
      </c>
      <c r="I137" s="250">
        <f>VLOOKUP(G137,'Super Peak Curve Simulation'!$B$4:$C$225,2)</f>
        <v>143.38677737016465</v>
      </c>
      <c r="J137" s="252">
        <f t="shared" si="13"/>
        <v>-20.138073629835361</v>
      </c>
      <c r="L137" s="248">
        <v>40725</v>
      </c>
      <c r="M137" s="250">
        <f>IF($L$1=1,VLOOKUP(L137,'Super Peak Curve Simulation'!$B$7:$N$225,12),VLOOKUP(L137,'PJM Curve Simulation'!$B$9:$J$246,9))</f>
        <v>109.19999694824219</v>
      </c>
      <c r="N137" s="250">
        <f t="shared" si="14"/>
        <v>45.612188478026127</v>
      </c>
      <c r="P137" s="250">
        <f>IF($L$1=1,VLOOKUP(L137,'Fuel Curve'!$B$7:$H$246,7),VLOOKUP(L137,'Revenues &amp; Expenses'!$K$9:$S$246,9))</f>
        <v>42.889146724137937</v>
      </c>
      <c r="Q137" s="250">
        <f>'Revenues &amp; Expenses'!$AM$5*1000*'Revenues &amp; Expenses'!O145</f>
        <v>2.7230417538881908</v>
      </c>
      <c r="S137" s="247">
        <f t="shared" si="15"/>
        <v>1</v>
      </c>
      <c r="T137" s="247">
        <f>'Revenues &amp; Expenses'!$S$3</f>
        <v>310.66000000000003</v>
      </c>
      <c r="U137" s="391">
        <f>T137*'Revenues &amp; Expenses'!F145*4</f>
        <v>28580.720000000001</v>
      </c>
      <c r="W137" s="391">
        <f t="shared" si="16"/>
        <v>1817385.3493008737</v>
      </c>
    </row>
    <row r="138" spans="2:23">
      <c r="B138" s="248">
        <v>40756</v>
      </c>
      <c r="C138" s="251">
        <f>VLOOKUP(B138,'Company Gas Prices'!$B$25:$C$259,2)</f>
        <v>3.7718750000000001</v>
      </c>
      <c r="D138" s="250">
        <f>VLOOKUP(B138,'Fuel Curve'!$B$7:$F$268,5)</f>
        <v>4.5679310344827595</v>
      </c>
      <c r="E138" s="250">
        <f t="shared" si="12"/>
        <v>0.79605603448275941</v>
      </c>
      <c r="G138" s="248">
        <v>40756</v>
      </c>
      <c r="H138" s="250">
        <f>VLOOKUP(G138,'Company Power Prices'!$B$25:$C$259,2)</f>
        <v>163.52485100000001</v>
      </c>
      <c r="I138" s="250">
        <f>VLOOKUP(G138,'Super Peak Curve Simulation'!$B$4:$C$225,2)</f>
        <v>118.07009377630331</v>
      </c>
      <c r="J138" s="252">
        <f t="shared" si="13"/>
        <v>-45.454757223696703</v>
      </c>
      <c r="L138" s="248">
        <v>40756</v>
      </c>
      <c r="M138" s="250">
        <f>IF($L$1=1,VLOOKUP(L138,'Super Peak Curve Simulation'!$B$7:$N$225,12),VLOOKUP(L138,'PJM Curve Simulation'!$B$9:$J$246,9))</f>
        <v>96.199996948242188</v>
      </c>
      <c r="N138" s="250">
        <f t="shared" si="14"/>
        <v>46.485305440124414</v>
      </c>
      <c r="P138" s="250">
        <f>IF($L$1=1,VLOOKUP(L138,'Fuel Curve'!$B$7:$H$246,7),VLOOKUP(L138,'Revenues &amp; Expenses'!$K$9:$S$246,9))</f>
        <v>43.756211379310358</v>
      </c>
      <c r="Q138" s="250">
        <f>'Revenues &amp; Expenses'!$AM$5*1000*'Revenues &amp; Expenses'!O146</f>
        <v>2.7290940608140568</v>
      </c>
      <c r="S138" s="247">
        <f t="shared" si="15"/>
        <v>1</v>
      </c>
      <c r="T138" s="247">
        <f>'Revenues &amp; Expenses'!$S$3</f>
        <v>310.66000000000003</v>
      </c>
      <c r="U138" s="391">
        <f>T138*'Revenues &amp; Expenses'!F146*4</f>
        <v>26095.440000000002</v>
      </c>
      <c r="W138" s="391">
        <f t="shared" si="16"/>
        <v>1297326.7493685971</v>
      </c>
    </row>
    <row r="139" spans="2:23">
      <c r="B139" s="248">
        <v>40787</v>
      </c>
      <c r="C139" s="251">
        <f>VLOOKUP(B139,'Company Gas Prices'!$B$25:$C$259,2)</f>
        <v>3.8177083299999999</v>
      </c>
      <c r="D139" s="250">
        <f>VLOOKUP(B139,'Fuel Curve'!$B$7:$F$268,5)</f>
        <v>4.6627586206896563</v>
      </c>
      <c r="E139" s="250">
        <f t="shared" si="12"/>
        <v>0.84505029068965642</v>
      </c>
      <c r="G139" s="248">
        <v>40787</v>
      </c>
      <c r="H139" s="250">
        <f>VLOOKUP(G139,'Company Power Prices'!$B$25:$C$259,2)</f>
        <v>57.018796610000003</v>
      </c>
      <c r="I139" s="250">
        <f>VLOOKUP(G139,'Super Peak Curve Simulation'!$B$4:$C$225,2)</f>
        <v>42.651067579962799</v>
      </c>
      <c r="J139" s="252">
        <f t="shared" si="13"/>
        <v>-14.367729030037204</v>
      </c>
      <c r="L139" s="248">
        <v>40787</v>
      </c>
      <c r="M139" s="250">
        <f>IF($L$1=1,VLOOKUP(L139,'Super Peak Curve Simulation'!$B$7:$N$225,12),VLOOKUP(L139,'PJM Curve Simulation'!$B$9:$J$246,9))</f>
        <v>36.924998474121097</v>
      </c>
      <c r="N139" s="250">
        <f t="shared" si="14"/>
        <v>47.399724647348705</v>
      </c>
      <c r="P139" s="250">
        <f>IF($L$1=1,VLOOKUP(L139,'Fuel Curve'!$B$7:$H$246,7),VLOOKUP(L139,'Revenues &amp; Expenses'!$K$9:$S$246,9))</f>
        <v>44.664564827586219</v>
      </c>
      <c r="Q139" s="250">
        <f>'Revenues &amp; Expenses'!$AM$5*1000*'Revenues &amp; Expenses'!O147</f>
        <v>2.7351598197624902</v>
      </c>
      <c r="S139" s="247">
        <f t="shared" si="15"/>
        <v>0</v>
      </c>
      <c r="T139" s="247">
        <f>'Revenues &amp; Expenses'!$S$3</f>
        <v>310.66000000000003</v>
      </c>
      <c r="U139" s="391">
        <f>T139*'Revenues &amp; Expenses'!F147*4</f>
        <v>27338.080000000002</v>
      </c>
      <c r="W139" s="391">
        <f t="shared" si="16"/>
        <v>0</v>
      </c>
    </row>
    <row r="140" spans="2:23">
      <c r="B140" s="248">
        <v>40817</v>
      </c>
      <c r="C140" s="251">
        <f>VLOOKUP(B140,'Company Gas Prices'!$B$25:$C$259,2)</f>
        <v>3.7781250000000002</v>
      </c>
      <c r="D140" s="250">
        <f>VLOOKUP(B140,'Fuel Curve'!$B$7:$F$268,5)</f>
        <v>4.7553448275862067</v>
      </c>
      <c r="E140" s="250">
        <f t="shared" si="12"/>
        <v>0.97721982758620651</v>
      </c>
      <c r="G140" s="248">
        <v>40817</v>
      </c>
      <c r="H140" s="250">
        <f>VLOOKUP(G140,'Company Power Prices'!$B$25:$C$259,2)</f>
        <v>48.206387999999997</v>
      </c>
      <c r="I140" s="250">
        <f>VLOOKUP(G140,'Super Peak Curve Simulation'!$B$4:$C$225,2)</f>
        <v>35.623536073122025</v>
      </c>
      <c r="J140" s="252">
        <f t="shared" si="13"/>
        <v>-12.582851926877971</v>
      </c>
      <c r="L140" s="248">
        <v>40817</v>
      </c>
      <c r="M140" s="250">
        <f>IF($L$1=1,VLOOKUP(L140,'Super Peak Curve Simulation'!$B$7:$N$225,12),VLOOKUP(L140,'PJM Curve Simulation'!$B$9:$J$246,9))</f>
        <v>30.325000381469728</v>
      </c>
      <c r="N140" s="250">
        <f t="shared" si="14"/>
        <v>48.292687164080597</v>
      </c>
      <c r="P140" s="250">
        <f>IF($L$1=1,VLOOKUP(L140,'Fuel Curve'!$B$7:$H$246,7),VLOOKUP(L140,'Revenues &amp; Expenses'!$K$9:$S$246,9))</f>
        <v>45.551448103448273</v>
      </c>
      <c r="Q140" s="250">
        <f>'Revenues &amp; Expenses'!$AM$5*1000*'Revenues &amp; Expenses'!O148</f>
        <v>2.7412390606323229</v>
      </c>
      <c r="S140" s="247">
        <f t="shared" si="15"/>
        <v>0</v>
      </c>
      <c r="T140" s="247">
        <f>'Revenues &amp; Expenses'!$S$3</f>
        <v>310.66000000000003</v>
      </c>
      <c r="U140" s="391">
        <f>T140*'Revenues &amp; Expenses'!F148*4</f>
        <v>28580.720000000001</v>
      </c>
      <c r="W140" s="391">
        <f t="shared" si="16"/>
        <v>0</v>
      </c>
    </row>
    <row r="141" spans="2:23">
      <c r="B141" s="248">
        <v>40848</v>
      </c>
      <c r="C141" s="251">
        <f>VLOOKUP(B141,'Company Gas Prices'!$B$25:$C$259,2)</f>
        <v>3.7781250000000002</v>
      </c>
      <c r="D141" s="250">
        <f>VLOOKUP(B141,'Fuel Curve'!$B$7:$F$268,5)</f>
        <v>4.8046551724137938</v>
      </c>
      <c r="E141" s="250">
        <f t="shared" si="12"/>
        <v>1.0265301724137936</v>
      </c>
      <c r="G141" s="248">
        <v>40848</v>
      </c>
      <c r="H141" s="250">
        <f>VLOOKUP(G141,'Company Power Prices'!$B$25:$C$259,2)</f>
        <v>50.32686254</v>
      </c>
      <c r="I141" s="250">
        <f>VLOOKUP(G141,'Super Peak Curve Simulation'!$B$4:$C$225,2)</f>
        <v>35.721771847267156</v>
      </c>
      <c r="J141" s="252">
        <f t="shared" si="13"/>
        <v>-14.605090692732844</v>
      </c>
      <c r="L141" s="248">
        <v>40848</v>
      </c>
      <c r="M141" s="250">
        <f>IF($L$1=1,VLOOKUP(L141,'Super Peak Curve Simulation'!$B$7:$N$225,12),VLOOKUP(L141,'PJM Curve Simulation'!$B$9:$J$246,9))</f>
        <v>29.997499084472658</v>
      </c>
      <c r="N141" s="250">
        <f t="shared" si="14"/>
        <v>48.771123709940568</v>
      </c>
      <c r="P141" s="250">
        <f>IF($L$1=1,VLOOKUP(L141,'Fuel Curve'!$B$7:$H$246,7),VLOOKUP(L141,'Revenues &amp; Expenses'!$K$9:$S$246,9))</f>
        <v>46.023791896551728</v>
      </c>
      <c r="Q141" s="250">
        <f>'Revenues &amp; Expenses'!$AM$5*1000*'Revenues &amp; Expenses'!O149</f>
        <v>2.7473318133888425</v>
      </c>
      <c r="S141" s="247">
        <f t="shared" si="15"/>
        <v>0</v>
      </c>
      <c r="T141" s="247">
        <f>'Revenues &amp; Expenses'!$S$3</f>
        <v>310.66000000000003</v>
      </c>
      <c r="U141" s="391">
        <f>T141*'Revenues &amp; Expenses'!F149*4</f>
        <v>24852.800000000003</v>
      </c>
      <c r="W141" s="391">
        <f t="shared" si="16"/>
        <v>0</v>
      </c>
    </row>
    <row r="142" spans="2:23">
      <c r="B142" s="248">
        <v>40878</v>
      </c>
      <c r="C142" s="251">
        <f>VLOOKUP(B142,'Company Gas Prices'!$B$25:$C$259,2)</f>
        <v>3.7781250000000002</v>
      </c>
      <c r="D142" s="250">
        <f>VLOOKUP(B142,'Fuel Curve'!$B$7:$F$268,5)</f>
        <v>4.8474137931034491</v>
      </c>
      <c r="E142" s="250">
        <f t="shared" si="12"/>
        <v>1.0692887931034489</v>
      </c>
      <c r="G142" s="248">
        <v>40878</v>
      </c>
      <c r="H142" s="250">
        <f>VLOOKUP(G142,'Company Power Prices'!$B$25:$C$259,2)</f>
        <v>50.32686254</v>
      </c>
      <c r="I142" s="250">
        <f>VLOOKUP(G142,'Super Peak Curve Simulation'!$B$4:$C$225,2)</f>
        <v>38.289353056809432</v>
      </c>
      <c r="J142" s="252">
        <f t="shared" si="13"/>
        <v>-12.037509483190568</v>
      </c>
      <c r="L142" s="248">
        <v>40878</v>
      </c>
      <c r="M142" s="250">
        <f>IF($L$1=1,VLOOKUP(L142,'Super Peak Curve Simulation'!$B$7:$N$225,12),VLOOKUP(L142,'PJM Curve Simulation'!$B$9:$J$246,9))</f>
        <v>31.749999618530275</v>
      </c>
      <c r="N142" s="250">
        <f t="shared" si="14"/>
        <v>49.186814832201875</v>
      </c>
      <c r="P142" s="250">
        <f>IF($L$1=1,VLOOKUP(L142,'Fuel Curve'!$B$7:$H$246,7),VLOOKUP(L142,'Revenues &amp; Expenses'!$K$9:$S$246,9))</f>
        <v>46.433376724137936</v>
      </c>
      <c r="Q142" s="250">
        <f>'Revenues &amp; Expenses'!$AM$5*1000*'Revenues &amp; Expenses'!O150</f>
        <v>2.7534381080639361</v>
      </c>
      <c r="S142" s="247">
        <f t="shared" si="15"/>
        <v>0</v>
      </c>
      <c r="T142" s="247">
        <f>'Revenues &amp; Expenses'!$S$3</f>
        <v>310.66000000000003</v>
      </c>
      <c r="U142" s="391">
        <f>T142*'Revenues &amp; Expenses'!F150*4</f>
        <v>28580.720000000001</v>
      </c>
      <c r="W142" s="391">
        <f t="shared" si="16"/>
        <v>0</v>
      </c>
    </row>
    <row r="143" spans="2:23">
      <c r="B143" s="248">
        <v>40909</v>
      </c>
      <c r="C143" s="251">
        <f>VLOOKUP(B143,'Company Gas Prices'!$B$25:$C$259,2)</f>
        <v>3.8354166699999999</v>
      </c>
      <c r="D143" s="250">
        <f>VLOOKUP(B143,'Fuel Curve'!$B$7:$F$268,5)</f>
        <v>4.7901724137931048</v>
      </c>
      <c r="E143" s="250">
        <f t="shared" si="12"/>
        <v>0.95475574379310491</v>
      </c>
      <c r="G143" s="248">
        <v>40909</v>
      </c>
      <c r="H143" s="250">
        <f>VLOOKUP(G143,'Company Power Prices'!$B$25:$C$259,2)</f>
        <v>47.543011270000001</v>
      </c>
      <c r="I143" s="250">
        <f>VLOOKUP(G143,'Super Peak Curve Simulation'!$B$4:$C$225,2)</f>
        <v>49.447228868705253</v>
      </c>
      <c r="J143" s="252">
        <f t="shared" si="13"/>
        <v>1.9042175987052516</v>
      </c>
      <c r="L143" s="248">
        <v>40909</v>
      </c>
      <c r="M143" s="250">
        <f>IF($L$1=1,VLOOKUP(L143,'Super Peak Curve Simulation'!$B$7:$N$225,12),VLOOKUP(L143,'PJM Curve Simulation'!$B$9:$J$246,9))</f>
        <v>40.324998474121088</v>
      </c>
      <c r="N143" s="250">
        <f t="shared" si="14"/>
        <v>48.644619526480398</v>
      </c>
      <c r="P143" s="250">
        <f>IF($L$1=1,VLOOKUP(L143,'Fuel Curve'!$B$7:$H$246,7),VLOOKUP(L143,'Revenues &amp; Expenses'!$K$9:$S$246,9))</f>
        <v>45.885061551724156</v>
      </c>
      <c r="Q143" s="250">
        <f>'Revenues &amp; Expenses'!$AM$5*1000*'Revenues &amp; Expenses'!O151</f>
        <v>2.759557974756242</v>
      </c>
      <c r="S143" s="247">
        <f t="shared" si="15"/>
        <v>0</v>
      </c>
      <c r="T143" s="247">
        <f>'Revenues &amp; Expenses'!$S$3</f>
        <v>310.66000000000003</v>
      </c>
      <c r="U143" s="391">
        <f>T143*'Revenues &amp; Expenses'!F151*4</f>
        <v>27338.080000000002</v>
      </c>
      <c r="W143" s="391">
        <f t="shared" si="16"/>
        <v>0</v>
      </c>
    </row>
    <row r="144" spans="2:23">
      <c r="B144" s="248">
        <v>40940</v>
      </c>
      <c r="C144" s="251">
        <f>VLOOKUP(B144,'Company Gas Prices'!$B$25:$C$259,2)</f>
        <v>3.8354166699999999</v>
      </c>
      <c r="D144" s="250">
        <f>VLOOKUP(B144,'Fuel Curve'!$B$7:$F$268,5)</f>
        <v>4.6910344827586217</v>
      </c>
      <c r="E144" s="250">
        <f t="shared" si="12"/>
        <v>0.85561781275862181</v>
      </c>
      <c r="G144" s="248">
        <v>40940</v>
      </c>
      <c r="H144" s="250">
        <f>VLOOKUP(G144,'Company Power Prices'!$B$25:$C$259,2)</f>
        <v>41.835226169999999</v>
      </c>
      <c r="I144" s="250">
        <f>VLOOKUP(G144,'Super Peak Curve Simulation'!$B$4:$C$225,2)</f>
        <v>49.447228868705253</v>
      </c>
      <c r="J144" s="252">
        <f t="shared" si="13"/>
        <v>7.612002698705254</v>
      </c>
      <c r="L144" s="248">
        <v>40940</v>
      </c>
      <c r="M144" s="250">
        <f>IF($L$1=1,VLOOKUP(L144,'Super Peak Curve Simulation'!$B$7:$N$225,12),VLOOKUP(L144,'PJM Curve Simulation'!$B$9:$J$246,9))</f>
        <v>40.324998474121088</v>
      </c>
      <c r="N144" s="250">
        <f t="shared" si="14"/>
        <v>47.701110753976131</v>
      </c>
      <c r="P144" s="250">
        <f>IF($L$1=1,VLOOKUP(L144,'Fuel Curve'!$B$7:$H$246,7),VLOOKUP(L144,'Revenues &amp; Expenses'!$K$9:$S$246,9))</f>
        <v>44.935419310344834</v>
      </c>
      <c r="Q144" s="250">
        <f>'Revenues &amp; Expenses'!$AM$5*1000*'Revenues &amp; Expenses'!O152</f>
        <v>2.765691443631296</v>
      </c>
      <c r="S144" s="247">
        <f t="shared" si="15"/>
        <v>0</v>
      </c>
      <c r="T144" s="247">
        <f>'Revenues &amp; Expenses'!$S$3</f>
        <v>310.66000000000003</v>
      </c>
      <c r="U144" s="391">
        <f>T144*'Revenues &amp; Expenses'!F152*4</f>
        <v>24852.800000000003</v>
      </c>
      <c r="W144" s="391">
        <f t="shared" si="16"/>
        <v>0</v>
      </c>
    </row>
    <row r="145" spans="2:23">
      <c r="B145" s="248">
        <v>40969</v>
      </c>
      <c r="C145" s="251">
        <f>VLOOKUP(B145,'Company Gas Prices'!$B$25:$C$259,2)</f>
        <v>3.8354166699999999</v>
      </c>
      <c r="D145" s="250">
        <f>VLOOKUP(B145,'Fuel Curve'!$B$7:$F$268,5)</f>
        <v>4.5939655172413802</v>
      </c>
      <c r="E145" s="250">
        <f t="shared" si="12"/>
        <v>0.75854884724138039</v>
      </c>
      <c r="G145" s="248">
        <v>40969</v>
      </c>
      <c r="H145" s="250">
        <f>VLOOKUP(G145,'Company Power Prices'!$B$25:$C$259,2)</f>
        <v>41.835226169999999</v>
      </c>
      <c r="I145" s="250">
        <f>VLOOKUP(G145,'Super Peak Curve Simulation'!$B$4:$C$225,2)</f>
        <v>36.547562177906038</v>
      </c>
      <c r="J145" s="252">
        <f t="shared" si="13"/>
        <v>-5.287663992093961</v>
      </c>
      <c r="L145" s="248">
        <v>40969</v>
      </c>
      <c r="M145" s="250">
        <f>IF($L$1=1,VLOOKUP(L145,'Super Peak Curve Simulation'!$B$7:$N$225,12),VLOOKUP(L145,'PJM Curve Simulation'!$B$9:$J$246,9))</f>
        <v>30.050000762939455</v>
      </c>
      <c r="N145" s="250">
        <f t="shared" si="14"/>
        <v>46.777434234576859</v>
      </c>
      <c r="P145" s="250">
        <f>IF($L$1=1,VLOOKUP(L145,'Fuel Curve'!$B$7:$H$246,7),VLOOKUP(L145,'Revenues &amp; Expenses'!$K$9:$S$246,9))</f>
        <v>44.005595689655181</v>
      </c>
      <c r="Q145" s="250">
        <f>'Revenues &amp; Expenses'!$AM$5*1000*'Revenues &amp; Expenses'!O153</f>
        <v>2.7718385449216809</v>
      </c>
      <c r="S145" s="247">
        <f t="shared" si="15"/>
        <v>0</v>
      </c>
      <c r="T145" s="247">
        <f>'Revenues &amp; Expenses'!$S$3</f>
        <v>310.66000000000003</v>
      </c>
      <c r="U145" s="391">
        <f>T145*'Revenues &amp; Expenses'!F153*4</f>
        <v>28580.720000000001</v>
      </c>
      <c r="W145" s="391">
        <f t="shared" si="16"/>
        <v>0</v>
      </c>
    </row>
    <row r="146" spans="2:23">
      <c r="B146" s="248">
        <v>41000</v>
      </c>
      <c r="C146" s="251">
        <f>VLOOKUP(B146,'Company Gas Prices'!$B$25:$C$259,2)</f>
        <v>3.98020833</v>
      </c>
      <c r="D146" s="250">
        <f>VLOOKUP(B146,'Fuel Curve'!$B$7:$F$268,5)</f>
        <v>4.4939655172413797</v>
      </c>
      <c r="E146" s="250">
        <f t="shared" si="12"/>
        <v>0.51375718724137975</v>
      </c>
      <c r="G146" s="248">
        <v>41000</v>
      </c>
      <c r="H146" s="250">
        <f>VLOOKUP(G146,'Company Power Prices'!$B$25:$C$259,2)</f>
        <v>46.314709980000003</v>
      </c>
      <c r="I146" s="250">
        <f>VLOOKUP(G146,'Super Peak Curve Simulation'!$B$4:$C$225,2)</f>
        <v>33.832356176536067</v>
      </c>
      <c r="J146" s="252">
        <f t="shared" si="13"/>
        <v>-12.482353803463937</v>
      </c>
      <c r="L146" s="248">
        <v>41000</v>
      </c>
      <c r="M146" s="250">
        <f>IF($L$1=1,VLOOKUP(L146,'Super Peak Curve Simulation'!$B$7:$N$225,12),VLOOKUP(L146,'PJM Curve Simulation'!$B$9:$J$246,9))</f>
        <v>29.825000762939453</v>
      </c>
      <c r="N146" s="250">
        <f t="shared" si="14"/>
        <v>45.825694998582357</v>
      </c>
      <c r="P146" s="250">
        <f>IF($L$1=1,VLOOKUP(L146,'Fuel Curve'!$B$7:$H$246,7),VLOOKUP(L146,'Revenues &amp; Expenses'!$K$9:$S$246,9))</f>
        <v>43.047695689655178</v>
      </c>
      <c r="Q146" s="250">
        <f>'Revenues &amp; Expenses'!$AM$5*1000*'Revenues &amp; Expenses'!O154</f>
        <v>2.7779993089271753</v>
      </c>
      <c r="S146" s="247">
        <f t="shared" si="15"/>
        <v>0</v>
      </c>
      <c r="T146" s="247">
        <f>'Revenues &amp; Expenses'!$S$3</f>
        <v>310.66000000000003</v>
      </c>
      <c r="U146" s="391">
        <f>T146*'Revenues &amp; Expenses'!F154*4</f>
        <v>27338.080000000002</v>
      </c>
      <c r="W146" s="391">
        <f t="shared" si="16"/>
        <v>0</v>
      </c>
    </row>
    <row r="147" spans="2:23">
      <c r="B147" s="248">
        <v>41030</v>
      </c>
      <c r="C147" s="251">
        <f>VLOOKUP(B147,'Company Gas Prices'!$B$25:$C$259,2)</f>
        <v>3.8177083299999999</v>
      </c>
      <c r="D147" s="250">
        <f>VLOOKUP(B147,'Fuel Curve'!$B$7:$F$268,5)</f>
        <v>4.4267241379310347</v>
      </c>
      <c r="E147" s="250">
        <f t="shared" si="12"/>
        <v>0.60901580793103482</v>
      </c>
      <c r="G147" s="248">
        <v>41030</v>
      </c>
      <c r="H147" s="250">
        <f>VLOOKUP(G147,'Company Power Prices'!$B$25:$C$259,2)</f>
        <v>56.019390420000001</v>
      </c>
      <c r="I147" s="250">
        <f>VLOOKUP(G147,'Super Peak Curve Simulation'!$B$4:$C$225,2)</f>
        <v>41.524443376254119</v>
      </c>
      <c r="J147" s="252">
        <f t="shared" si="13"/>
        <v>-14.494947043745881</v>
      </c>
      <c r="L147" s="248">
        <v>41030</v>
      </c>
      <c r="M147" s="250">
        <f>IF($L$1=1,VLOOKUP(L147,'Super Peak Curve Simulation'!$B$7:$N$225,12),VLOOKUP(L147,'PJM Curve Simulation'!$B$9:$J$246,9))</f>
        <v>37.825000000000003</v>
      </c>
      <c r="N147" s="250">
        <f t="shared" si="14"/>
        <v>45.187764283256286</v>
      </c>
      <c r="P147" s="250">
        <f>IF($L$1=1,VLOOKUP(L147,'Fuel Curve'!$B$7:$H$246,7),VLOOKUP(L147,'Revenues &amp; Expenses'!$K$9:$S$246,9))</f>
        <v>42.403590517241383</v>
      </c>
      <c r="Q147" s="250">
        <f>'Revenues &amp; Expenses'!$AM$5*1000*'Revenues &amp; Expenses'!O155</f>
        <v>2.7841737660149017</v>
      </c>
      <c r="S147" s="247">
        <f t="shared" si="15"/>
        <v>0</v>
      </c>
      <c r="T147" s="247">
        <f>'Revenues &amp; Expenses'!$S$3</f>
        <v>310.66000000000003</v>
      </c>
      <c r="U147" s="391">
        <f>T147*'Revenues &amp; Expenses'!F155*4</f>
        <v>26095.440000000002</v>
      </c>
      <c r="W147" s="391">
        <f t="shared" si="16"/>
        <v>0</v>
      </c>
    </row>
    <row r="148" spans="2:23">
      <c r="B148" s="248">
        <v>41061</v>
      </c>
      <c r="C148" s="251">
        <f>VLOOKUP(B148,'Company Gas Prices'!$B$25:$C$259,2)</f>
        <v>3.8093750000000002</v>
      </c>
      <c r="D148" s="250">
        <f>VLOOKUP(B148,'Fuel Curve'!$B$7:$F$268,5)</f>
        <v>4.4201724137931047</v>
      </c>
      <c r="E148" s="250">
        <f t="shared" si="12"/>
        <v>0.61079741379310448</v>
      </c>
      <c r="G148" s="248">
        <v>41061</v>
      </c>
      <c r="H148" s="250">
        <f>VLOOKUP(G148,'Company Power Prices'!$B$25:$C$259,2)</f>
        <v>101.02728279999999</v>
      </c>
      <c r="I148" s="250">
        <f>VLOOKUP(G148,'Super Peak Curve Simulation'!$B$4:$C$225,2)</f>
        <v>78.789125324254542</v>
      </c>
      <c r="J148" s="252">
        <f t="shared" si="13"/>
        <v>-22.238157475745453</v>
      </c>
      <c r="L148" s="248">
        <v>41061</v>
      </c>
      <c r="M148" s="250">
        <f>IF($L$1=1,VLOOKUP(L148,'Super Peak Curve Simulation'!$B$7:$N$225,12),VLOOKUP(L148,'PJM Curve Simulation'!$B$9:$J$246,9))</f>
        <v>63.849998474121094</v>
      </c>
      <c r="N148" s="250">
        <f t="shared" si="14"/>
        <v>45.131193498343627</v>
      </c>
      <c r="P148" s="250">
        <f>IF($L$1=1,VLOOKUP(L148,'Fuel Curve'!$B$7:$H$246,7),VLOOKUP(L148,'Revenues &amp; Expenses'!$K$9:$S$246,9))</f>
        <v>42.34083155172415</v>
      </c>
      <c r="Q148" s="250">
        <f>'Revenues &amp; Expenses'!$AM$5*1000*'Revenues &amp; Expenses'!O156</f>
        <v>2.79036194661948</v>
      </c>
      <c r="S148" s="247">
        <f t="shared" si="15"/>
        <v>1</v>
      </c>
      <c r="T148" s="247">
        <f>'Revenues &amp; Expenses'!$S$3</f>
        <v>310.66000000000003</v>
      </c>
      <c r="U148" s="391">
        <f>T148*'Revenues &amp; Expenses'!F156*4</f>
        <v>27338.080000000002</v>
      </c>
      <c r="W148" s="391">
        <f t="shared" si="16"/>
        <v>511736.18793220248</v>
      </c>
    </row>
    <row r="149" spans="2:23">
      <c r="B149" s="248">
        <v>41091</v>
      </c>
      <c r="C149" s="251">
        <f>VLOOKUP(B149,'Company Gas Prices'!$B$25:$C$259,2)</f>
        <v>3.7718750000000001</v>
      </c>
      <c r="D149" s="250">
        <f>VLOOKUP(B149,'Fuel Curve'!$B$7:$F$268,5)</f>
        <v>4.477413793103449</v>
      </c>
      <c r="E149" s="250">
        <f t="shared" si="12"/>
        <v>0.70553879310344891</v>
      </c>
      <c r="G149" s="248">
        <v>41091</v>
      </c>
      <c r="H149" s="250">
        <f>VLOOKUP(G149,'Company Power Prices'!$B$25:$C$259,2)</f>
        <v>155.51577209999999</v>
      </c>
      <c r="I149" s="250">
        <f>VLOOKUP(G149,'Super Peak Curve Simulation'!$B$4:$C$225,2)</f>
        <v>146.34117533810399</v>
      </c>
      <c r="J149" s="252">
        <f t="shared" si="13"/>
        <v>-9.174596761895998</v>
      </c>
      <c r="L149" s="248">
        <v>41091</v>
      </c>
      <c r="M149" s="250">
        <f>IF($L$1=1,VLOOKUP(L149,'Super Peak Curve Simulation'!$B$7:$N$225,12),VLOOKUP(L149,'PJM Curve Simulation'!$B$9:$J$246,9))</f>
        <v>111.44999694824219</v>
      </c>
      <c r="N149" s="250">
        <f t="shared" si="14"/>
        <v>45.685710605381111</v>
      </c>
      <c r="P149" s="250">
        <f>IF($L$1=1,VLOOKUP(L149,'Fuel Curve'!$B$7:$H$246,7),VLOOKUP(L149,'Revenues &amp; Expenses'!$K$9:$S$246,9))</f>
        <v>42.889146724137937</v>
      </c>
      <c r="Q149" s="250">
        <f>'Revenues &amp; Expenses'!$AM$5*1000*'Revenues &amp; Expenses'!O157</f>
        <v>2.7965638812431717</v>
      </c>
      <c r="S149" s="247">
        <f t="shared" si="15"/>
        <v>1</v>
      </c>
      <c r="T149" s="247">
        <f>'Revenues &amp; Expenses'!$S$3</f>
        <v>310.66000000000003</v>
      </c>
      <c r="U149" s="391">
        <f>T149*'Revenues &amp; Expenses'!F157*4</f>
        <v>27338.080000000002</v>
      </c>
      <c r="W149" s="391">
        <f t="shared" si="16"/>
        <v>1797869.3211840438</v>
      </c>
    </row>
    <row r="150" spans="2:23">
      <c r="B150" s="248">
        <v>41122</v>
      </c>
      <c r="C150" s="251">
        <f>VLOOKUP(B150,'Company Gas Prices'!$B$25:$C$259,2)</f>
        <v>3.7718750000000001</v>
      </c>
      <c r="D150" s="250">
        <f>VLOOKUP(B150,'Fuel Curve'!$B$7:$F$268,5)</f>
        <v>4.5679310344827595</v>
      </c>
      <c r="E150" s="250">
        <f t="shared" si="12"/>
        <v>0.79605603448275941</v>
      </c>
      <c r="G150" s="248">
        <v>41122</v>
      </c>
      <c r="H150" s="250">
        <f>VLOOKUP(G150,'Company Power Prices'!$B$25:$C$259,2)</f>
        <v>155.51577209999999</v>
      </c>
      <c r="I150" s="250">
        <f>VLOOKUP(G150,'Super Peak Curve Simulation'!$B$4:$C$225,2)</f>
        <v>120.83160853123218</v>
      </c>
      <c r="J150" s="252">
        <f t="shared" si="13"/>
        <v>-34.684163568767815</v>
      </c>
      <c r="L150" s="248">
        <v>41122</v>
      </c>
      <c r="M150" s="250">
        <f>IF($L$1=1,VLOOKUP(L150,'Super Peak Curve Simulation'!$B$7:$N$225,12),VLOOKUP(L150,'PJM Curve Simulation'!$B$9:$J$246,9))</f>
        <v>98.449996948242188</v>
      </c>
      <c r="N150" s="250">
        <f t="shared" si="14"/>
        <v>46.558990979766392</v>
      </c>
      <c r="P150" s="250">
        <f>IF($L$1=1,VLOOKUP(L150,'Fuel Curve'!$B$7:$H$246,7),VLOOKUP(L150,'Revenues &amp; Expenses'!$K$9:$S$246,9))</f>
        <v>43.756211379310358</v>
      </c>
      <c r="Q150" s="250">
        <f>'Revenues &amp; Expenses'!$AM$5*1000*'Revenues &amp; Expenses'!O158</f>
        <v>2.8027796004560361</v>
      </c>
      <c r="S150" s="247">
        <f t="shared" si="15"/>
        <v>1</v>
      </c>
      <c r="T150" s="247">
        <f>'Revenues &amp; Expenses'!$S$3</f>
        <v>310.66000000000003</v>
      </c>
      <c r="U150" s="391">
        <f>T150*'Revenues &amp; Expenses'!F158*4</f>
        <v>27338.080000000002</v>
      </c>
      <c r="W150" s="391">
        <f t="shared" si="16"/>
        <v>1418600.4724466689</v>
      </c>
    </row>
    <row r="151" spans="2:23">
      <c r="B151" s="248">
        <v>41153</v>
      </c>
      <c r="C151" s="251">
        <f>VLOOKUP(B151,'Company Gas Prices'!$B$25:$C$259,2)</f>
        <v>3.8177083299999999</v>
      </c>
      <c r="D151" s="250">
        <f>VLOOKUP(B151,'Fuel Curve'!$B$7:$F$268,5)</f>
        <v>4.6627586206896563</v>
      </c>
      <c r="E151" s="250">
        <f t="shared" si="12"/>
        <v>0.84505029068965642</v>
      </c>
      <c r="G151" s="248">
        <v>41153</v>
      </c>
      <c r="H151" s="250">
        <f>VLOOKUP(G151,'Company Power Prices'!$B$25:$C$259,2)</f>
        <v>56.019390420000001</v>
      </c>
      <c r="I151" s="250">
        <f>VLOOKUP(G151,'Super Peak Curve Simulation'!$B$4:$C$225,2)</f>
        <v>43.228604063950129</v>
      </c>
      <c r="J151" s="252">
        <f t="shared" si="13"/>
        <v>-12.790786356049871</v>
      </c>
      <c r="L151" s="248">
        <v>41153</v>
      </c>
      <c r="M151" s="250">
        <f>IF($L$1=1,VLOOKUP(L151,'Super Peak Curve Simulation'!$B$7:$N$225,12),VLOOKUP(L151,'PJM Curve Simulation'!$B$9:$J$246,9))</f>
        <v>37.424998474121097</v>
      </c>
      <c r="N151" s="250">
        <f t="shared" si="14"/>
        <v>47.473573962482298</v>
      </c>
      <c r="P151" s="250">
        <f>IF($L$1=1,VLOOKUP(L151,'Fuel Curve'!$B$7:$H$246,7),VLOOKUP(L151,'Revenues &amp; Expenses'!$K$9:$S$246,9))</f>
        <v>44.664564827586219</v>
      </c>
      <c r="Q151" s="250">
        <f>'Revenues &amp; Expenses'!$AM$5*1000*'Revenues &amp; Expenses'!O159</f>
        <v>2.8090091348960771</v>
      </c>
      <c r="S151" s="247">
        <f t="shared" si="15"/>
        <v>0</v>
      </c>
      <c r="T151" s="247">
        <f>'Revenues &amp; Expenses'!$S$3</f>
        <v>310.66000000000003</v>
      </c>
      <c r="U151" s="391">
        <f>T151*'Revenues &amp; Expenses'!F159*4</f>
        <v>27338.080000000002</v>
      </c>
      <c r="W151" s="391">
        <f t="shared" si="16"/>
        <v>0</v>
      </c>
    </row>
    <row r="152" spans="2:23">
      <c r="B152" s="248">
        <v>41183</v>
      </c>
      <c r="C152" s="251">
        <f>VLOOKUP(B152,'Company Gas Prices'!$B$25:$C$259,2)</f>
        <v>3.7781250000000002</v>
      </c>
      <c r="D152" s="250">
        <f>VLOOKUP(B152,'Fuel Curve'!$B$7:$F$268,5)</f>
        <v>4.7553448275862067</v>
      </c>
      <c r="E152" s="250">
        <f t="shared" si="12"/>
        <v>0.97721982758620651</v>
      </c>
      <c r="G152" s="248">
        <v>41183</v>
      </c>
      <c r="H152" s="250">
        <f>VLOOKUP(G152,'Company Power Prices'!$B$25:$C$259,2)</f>
        <v>48.172355099999997</v>
      </c>
      <c r="I152" s="250">
        <f>VLOOKUP(G152,'Super Peak Curve Simulation'!$B$4:$C$225,2)</f>
        <v>35.917217323122024</v>
      </c>
      <c r="J152" s="252">
        <f t="shared" si="13"/>
        <v>-12.255137776877973</v>
      </c>
      <c r="L152" s="248">
        <v>41183</v>
      </c>
      <c r="M152" s="250">
        <f>IF($L$1=1,VLOOKUP(L152,'Super Peak Curve Simulation'!$B$7:$N$225,12),VLOOKUP(L152,'PJM Curve Simulation'!$B$9:$J$246,9))</f>
        <v>30.575000381469728</v>
      </c>
      <c r="N152" s="250">
        <f t="shared" si="14"/>
        <v>48.366700618717665</v>
      </c>
      <c r="P152" s="250">
        <f>IF($L$1=1,VLOOKUP(L152,'Fuel Curve'!$B$7:$H$246,7),VLOOKUP(L152,'Revenues &amp; Expenses'!$K$9:$S$246,9))</f>
        <v>45.551448103448273</v>
      </c>
      <c r="Q152" s="250">
        <f>'Revenues &amp; Expenses'!$AM$5*1000*'Revenues &amp; Expenses'!O160</f>
        <v>2.8152525152693957</v>
      </c>
      <c r="S152" s="247">
        <f t="shared" si="15"/>
        <v>0</v>
      </c>
      <c r="T152" s="247">
        <f>'Revenues &amp; Expenses'!$S$3</f>
        <v>310.66000000000003</v>
      </c>
      <c r="U152" s="391">
        <f>T152*'Revenues &amp; Expenses'!F160*4</f>
        <v>26095.440000000002</v>
      </c>
      <c r="W152" s="391">
        <f t="shared" si="16"/>
        <v>0</v>
      </c>
    </row>
    <row r="153" spans="2:23">
      <c r="B153" s="248">
        <v>41214</v>
      </c>
      <c r="C153" s="251">
        <f>VLOOKUP(B153,'Company Gas Prices'!$B$25:$C$259,2)</f>
        <v>3.7781250000000002</v>
      </c>
      <c r="D153" s="250">
        <f>VLOOKUP(B153,'Fuel Curve'!$B$7:$F$268,5)</f>
        <v>4.8046551724137938</v>
      </c>
      <c r="E153" s="250">
        <f t="shared" si="12"/>
        <v>1.0265301724137936</v>
      </c>
      <c r="G153" s="248">
        <v>41214</v>
      </c>
      <c r="H153" s="250">
        <f>VLOOKUP(G153,'Company Power Prices'!$B$25:$C$259,2)</f>
        <v>50.320336650000002</v>
      </c>
      <c r="I153" s="250">
        <f>VLOOKUP(G153,'Super Peak Curve Simulation'!$B$4:$C$225,2)</f>
        <v>36.019478097267154</v>
      </c>
      <c r="J153" s="252">
        <f t="shared" si="13"/>
        <v>-14.300858552732848</v>
      </c>
      <c r="L153" s="248">
        <v>41214</v>
      </c>
      <c r="M153" s="250">
        <f>IF($L$1=1,VLOOKUP(L153,'Super Peak Curve Simulation'!$B$7:$N$225,12),VLOOKUP(L153,'PJM Curve Simulation'!$B$9:$J$246,9))</f>
        <v>30.247499084472658</v>
      </c>
      <c r="N153" s="250">
        <f t="shared" si="14"/>
        <v>48.845301668902067</v>
      </c>
      <c r="P153" s="250">
        <f>IF($L$1=1,VLOOKUP(L153,'Fuel Curve'!$B$7:$H$246,7),VLOOKUP(L153,'Revenues &amp; Expenses'!$K$9:$S$246,9))</f>
        <v>46.023791896551728</v>
      </c>
      <c r="Q153" s="250">
        <f>'Revenues &amp; Expenses'!$AM$5*1000*'Revenues &amp; Expenses'!O161</f>
        <v>2.8215097723503408</v>
      </c>
      <c r="S153" s="247">
        <f t="shared" si="15"/>
        <v>0</v>
      </c>
      <c r="T153" s="247">
        <f>'Revenues &amp; Expenses'!$S$3</f>
        <v>310.66000000000003</v>
      </c>
      <c r="U153" s="391">
        <f>T153*'Revenues &amp; Expenses'!F161*4</f>
        <v>27338.080000000002</v>
      </c>
      <c r="W153" s="391">
        <f t="shared" si="16"/>
        <v>0</v>
      </c>
    </row>
    <row r="154" spans="2:23">
      <c r="B154" s="248">
        <v>41244</v>
      </c>
      <c r="C154" s="251">
        <f>VLOOKUP(B154,'Company Gas Prices'!$B$25:$C$259,2)</f>
        <v>3.7781250000000002</v>
      </c>
      <c r="D154" s="250">
        <f>VLOOKUP(B154,'Fuel Curve'!$B$7:$F$268,5)</f>
        <v>4.8474137931034491</v>
      </c>
      <c r="E154" s="250">
        <f t="shared" si="12"/>
        <v>1.0692887931034489</v>
      </c>
      <c r="G154" s="248">
        <v>41244</v>
      </c>
      <c r="H154" s="250">
        <f>VLOOKUP(G154,'Company Power Prices'!$B$25:$C$259,2)</f>
        <v>50.320336650000002</v>
      </c>
      <c r="I154" s="250">
        <f>VLOOKUP(G154,'Super Peak Curve Simulation'!$B$4:$C$225,2)</f>
        <v>38.590844029383035</v>
      </c>
      <c r="J154" s="252">
        <f t="shared" si="13"/>
        <v>-11.729492620616966</v>
      </c>
      <c r="L154" s="248">
        <v>41244</v>
      </c>
      <c r="M154" s="250">
        <f>IF($L$1=1,VLOOKUP(L154,'Super Peak Curve Simulation'!$B$7:$N$225,12),VLOOKUP(L154,'PJM Curve Simulation'!$B$9:$J$246,9))</f>
        <v>31.999999618530275</v>
      </c>
      <c r="N154" s="250">
        <f t="shared" si="14"/>
        <v>49.261157661119597</v>
      </c>
      <c r="P154" s="250">
        <f>IF($L$1=1,VLOOKUP(L154,'Fuel Curve'!$B$7:$H$246,7),VLOOKUP(L154,'Revenues &amp; Expenses'!$K$9:$S$246,9))</f>
        <v>46.433376724137936</v>
      </c>
      <c r="Q154" s="250">
        <f>'Revenues &amp; Expenses'!$AM$5*1000*'Revenues &amp; Expenses'!O162</f>
        <v>2.8277809369816618</v>
      </c>
      <c r="S154" s="247">
        <f t="shared" si="15"/>
        <v>0</v>
      </c>
      <c r="T154" s="247">
        <f>'Revenues &amp; Expenses'!$S$3</f>
        <v>310.66000000000003</v>
      </c>
      <c r="U154" s="391">
        <f>T154*'Revenues &amp; Expenses'!F162*4</f>
        <v>28580.720000000001</v>
      </c>
      <c r="W154" s="391">
        <f t="shared" si="16"/>
        <v>0</v>
      </c>
    </row>
    <row r="155" spans="2:23">
      <c r="B155" s="248">
        <v>41275</v>
      </c>
      <c r="C155" s="251">
        <f>VLOOKUP(B155,'Company Gas Prices'!$B$25:$C$259,2)</f>
        <v>3.8354166699999999</v>
      </c>
      <c r="D155" s="250">
        <f>VLOOKUP(B155,'Fuel Curve'!$B$7:$F$268,5)</f>
        <v>4.7901724137931048</v>
      </c>
      <c r="E155" s="250">
        <f t="shared" si="12"/>
        <v>0.95475574379310491</v>
      </c>
      <c r="G155" s="248">
        <v>41275</v>
      </c>
      <c r="H155" s="250">
        <f>VLOOKUP(G155,'Company Power Prices'!$B$25:$C$259,2)</f>
        <v>47.51406309</v>
      </c>
      <c r="I155" s="250">
        <f>VLOOKUP(G155,'Super Peak Curve Simulation'!$B$4:$C$225,2)</f>
        <v>49.753783306025554</v>
      </c>
      <c r="J155" s="252">
        <f t="shared" si="13"/>
        <v>2.2397202160255532</v>
      </c>
      <c r="L155" s="248">
        <v>41275</v>
      </c>
      <c r="M155" s="250">
        <f>IF($L$1=1,VLOOKUP(L155,'Super Peak Curve Simulation'!$B$7:$N$225,12),VLOOKUP(L155,'PJM Curve Simulation'!$B$9:$J$246,9))</f>
        <v>40.574998474121088</v>
      </c>
      <c r="N155" s="250">
        <f t="shared" si="14"/>
        <v>48.719127591798816</v>
      </c>
      <c r="P155" s="250">
        <f>IF($L$1=1,VLOOKUP(L155,'Fuel Curve'!$B$7:$H$246,7),VLOOKUP(L155,'Revenues &amp; Expenses'!$K$9:$S$246,9))</f>
        <v>45.885061551724156</v>
      </c>
      <c r="Q155" s="250">
        <f>'Revenues &amp; Expenses'!$AM$5*1000*'Revenues &amp; Expenses'!O163</f>
        <v>2.8340660400746605</v>
      </c>
      <c r="S155" s="247">
        <f t="shared" si="15"/>
        <v>0</v>
      </c>
      <c r="T155" s="247">
        <f>'Revenues &amp; Expenses'!$S$3</f>
        <v>310.66000000000003</v>
      </c>
      <c r="U155" s="391">
        <f>T155*'Revenues &amp; Expenses'!F163*4</f>
        <v>28580.720000000001</v>
      </c>
      <c r="W155" s="391">
        <f t="shared" si="16"/>
        <v>0</v>
      </c>
    </row>
    <row r="156" spans="2:23">
      <c r="B156" s="248">
        <v>41306</v>
      </c>
      <c r="C156" s="251">
        <f>VLOOKUP(B156,'Company Gas Prices'!$B$25:$C$259,2)</f>
        <v>3.8354166699999999</v>
      </c>
      <c r="D156" s="250">
        <f>VLOOKUP(B156,'Fuel Curve'!$B$7:$F$268,5)</f>
        <v>4.6910344827586217</v>
      </c>
      <c r="E156" s="250">
        <f t="shared" si="12"/>
        <v>0.85561781275862181</v>
      </c>
      <c r="G156" s="248">
        <v>41306</v>
      </c>
      <c r="H156" s="250">
        <f>VLOOKUP(G156,'Company Power Prices'!$B$25:$C$259,2)</f>
        <v>41.857962829999998</v>
      </c>
      <c r="I156" s="250">
        <f>VLOOKUP(G156,'Super Peak Curve Simulation'!$B$4:$C$225,2)</f>
        <v>49.753783306025554</v>
      </c>
      <c r="J156" s="252">
        <f t="shared" si="13"/>
        <v>7.8958204760255555</v>
      </c>
      <c r="L156" s="248">
        <v>41306</v>
      </c>
      <c r="M156" s="250">
        <f>IF($L$1=1,VLOOKUP(L156,'Super Peak Curve Simulation'!$B$7:$N$225,12),VLOOKUP(L156,'PJM Curve Simulation'!$B$9:$J$246,9))</f>
        <v>40.574998474121088</v>
      </c>
      <c r="N156" s="250">
        <f t="shared" si="14"/>
        <v>47.775784422954175</v>
      </c>
      <c r="P156" s="250">
        <f>IF($L$1=1,VLOOKUP(L156,'Fuel Curve'!$B$7:$H$246,7),VLOOKUP(L156,'Revenues &amp; Expenses'!$K$9:$S$246,9))</f>
        <v>44.935419310344834</v>
      </c>
      <c r="Q156" s="250">
        <f>'Revenues &amp; Expenses'!$AM$5*1000*'Revenues &amp; Expenses'!O164</f>
        <v>2.8403651126093408</v>
      </c>
      <c r="S156" s="247">
        <f t="shared" si="15"/>
        <v>0</v>
      </c>
      <c r="T156" s="247">
        <f>'Revenues &amp; Expenses'!$S$3</f>
        <v>310.66000000000003</v>
      </c>
      <c r="U156" s="391">
        <f>T156*'Revenues &amp; Expenses'!F164*4</f>
        <v>24852.800000000003</v>
      </c>
      <c r="W156" s="391">
        <f t="shared" si="16"/>
        <v>0</v>
      </c>
    </row>
    <row r="157" spans="2:23">
      <c r="B157" s="248">
        <v>41334</v>
      </c>
      <c r="C157" s="251">
        <f>VLOOKUP(B157,'Company Gas Prices'!$B$25:$C$259,2)</f>
        <v>3.8354166699999999</v>
      </c>
      <c r="D157" s="250">
        <f>VLOOKUP(B157,'Fuel Curve'!$B$7:$F$268,5)</f>
        <v>4.5939655172413802</v>
      </c>
      <c r="E157" s="250">
        <f t="shared" si="12"/>
        <v>0.75854884724138039</v>
      </c>
      <c r="G157" s="248">
        <v>41334</v>
      </c>
      <c r="H157" s="250">
        <f>VLOOKUP(G157,'Company Power Prices'!$B$25:$C$259,2)</f>
        <v>41.857962829999998</v>
      </c>
      <c r="I157" s="250">
        <f>VLOOKUP(G157,'Super Peak Curve Simulation'!$B$4:$C$225,2)</f>
        <v>36.85161842790604</v>
      </c>
      <c r="J157" s="252">
        <f t="shared" si="13"/>
        <v>-5.0063444020939585</v>
      </c>
      <c r="L157" s="248">
        <v>41334</v>
      </c>
      <c r="M157" s="250">
        <f>IF($L$1=1,VLOOKUP(L157,'Super Peak Curve Simulation'!$B$7:$N$225,12),VLOOKUP(L157,'PJM Curve Simulation'!$B$9:$J$246,9))</f>
        <v>30.300000762939455</v>
      </c>
      <c r="N157" s="250">
        <f t="shared" si="14"/>
        <v>46.852273875289747</v>
      </c>
      <c r="P157" s="250">
        <f>IF($L$1=1,VLOOKUP(L157,'Fuel Curve'!$B$7:$H$246,7),VLOOKUP(L157,'Revenues &amp; Expenses'!$K$9:$S$246,9))</f>
        <v>44.005595689655181</v>
      </c>
      <c r="Q157" s="250">
        <f>'Revenues &amp; Expenses'!$AM$5*1000*'Revenues &amp; Expenses'!O165</f>
        <v>2.8466781856345662</v>
      </c>
      <c r="S157" s="247">
        <f t="shared" si="15"/>
        <v>0</v>
      </c>
      <c r="T157" s="247">
        <f>'Revenues &amp; Expenses'!$S$3</f>
        <v>310.66000000000003</v>
      </c>
      <c r="U157" s="391">
        <f>T157*'Revenues &amp; Expenses'!F165*4</f>
        <v>27338.080000000002</v>
      </c>
      <c r="W157" s="391">
        <f t="shared" si="16"/>
        <v>0</v>
      </c>
    </row>
    <row r="158" spans="2:23">
      <c r="B158" s="248">
        <v>41365</v>
      </c>
      <c r="C158" s="251">
        <f>VLOOKUP(B158,'Company Gas Prices'!$B$25:$C$259,2)</f>
        <v>3.98020833</v>
      </c>
      <c r="D158" s="250">
        <f>VLOOKUP(B158,'Fuel Curve'!$B$7:$F$268,5)</f>
        <v>4.4939655172413797</v>
      </c>
      <c r="E158" s="250">
        <f t="shared" si="12"/>
        <v>0.51375718724137975</v>
      </c>
      <c r="G158" s="248">
        <v>41365</v>
      </c>
      <c r="H158" s="250">
        <f>VLOOKUP(G158,'Company Power Prices'!$B$25:$C$259,2)</f>
        <v>46.347454259999999</v>
      </c>
      <c r="I158" s="250">
        <f>VLOOKUP(G158,'Super Peak Curve Simulation'!$B$4:$C$225,2)</f>
        <v>34.115946749135276</v>
      </c>
      <c r="J158" s="252">
        <f t="shared" si="13"/>
        <v>-12.231507510864724</v>
      </c>
      <c r="L158" s="248">
        <v>41365</v>
      </c>
      <c r="M158" s="250">
        <f>IF($L$1=1,VLOOKUP(L158,'Super Peak Curve Simulation'!$B$7:$N$225,12),VLOOKUP(L158,'PJM Curve Simulation'!$B$9:$J$246,9))</f>
        <v>30.075000762939453</v>
      </c>
      <c r="N158" s="250">
        <f t="shared" si="14"/>
        <v>45.900700979923386</v>
      </c>
      <c r="P158" s="250">
        <f>IF($L$1=1,VLOOKUP(L158,'Fuel Curve'!$B$7:$H$246,7),VLOOKUP(L158,'Revenues &amp; Expenses'!$K$9:$S$246,9))</f>
        <v>43.047695689655178</v>
      </c>
      <c r="Q158" s="250">
        <f>'Revenues &amp; Expenses'!$AM$5*1000*'Revenues &amp; Expenses'!O166</f>
        <v>2.8530052902682086</v>
      </c>
      <c r="S158" s="247">
        <f t="shared" si="15"/>
        <v>0</v>
      </c>
      <c r="T158" s="247">
        <f>'Revenues &amp; Expenses'!$S$3</f>
        <v>310.66000000000003</v>
      </c>
      <c r="U158" s="391">
        <f>T158*'Revenues &amp; Expenses'!F166*4</f>
        <v>26095.440000000002</v>
      </c>
      <c r="W158" s="391">
        <f t="shared" si="16"/>
        <v>0</v>
      </c>
    </row>
    <row r="159" spans="2:23">
      <c r="B159" s="248">
        <v>41395</v>
      </c>
      <c r="C159" s="251">
        <f>VLOOKUP(B159,'Company Gas Prices'!$B$25:$C$259,2)</f>
        <v>3.8177083299999999</v>
      </c>
      <c r="D159" s="250">
        <f>VLOOKUP(B159,'Fuel Curve'!$B$7:$F$268,5)</f>
        <v>4.4267241379310347</v>
      </c>
      <c r="E159" s="250">
        <f t="shared" si="12"/>
        <v>0.60901580793103482</v>
      </c>
      <c r="G159" s="248">
        <v>41395</v>
      </c>
      <c r="H159" s="250">
        <f>VLOOKUP(G159,'Company Power Prices'!$B$25:$C$259,2)</f>
        <v>54.785273279999998</v>
      </c>
      <c r="I159" s="250">
        <f>VLOOKUP(G159,'Super Peak Curve Simulation'!$B$4:$C$225,2)</f>
        <v>41.79889442302381</v>
      </c>
      <c r="J159" s="252">
        <f t="shared" si="13"/>
        <v>-12.986378856976188</v>
      </c>
      <c r="L159" s="248">
        <v>41395</v>
      </c>
      <c r="M159" s="250">
        <f>IF($L$1=1,VLOOKUP(L159,'Super Peak Curve Simulation'!$B$7:$N$225,12),VLOOKUP(L159,'PJM Curve Simulation'!$B$9:$J$246,9))</f>
        <v>38.075000000000003</v>
      </c>
      <c r="N159" s="250">
        <f t="shared" si="14"/>
        <v>45.26293697493869</v>
      </c>
      <c r="P159" s="250">
        <f>IF($L$1=1,VLOOKUP(L159,'Fuel Curve'!$B$7:$H$246,7),VLOOKUP(L159,'Revenues &amp; Expenses'!$K$9:$S$246,9))</f>
        <v>42.403590517241383</v>
      </c>
      <c r="Q159" s="250">
        <f>'Revenues &amp; Expenses'!$AM$5*1000*'Revenues &amp; Expenses'!O167</f>
        <v>2.859346457697304</v>
      </c>
      <c r="S159" s="247">
        <f t="shared" si="15"/>
        <v>0</v>
      </c>
      <c r="T159" s="247">
        <f>'Revenues &amp; Expenses'!$S$3</f>
        <v>310.66000000000003</v>
      </c>
      <c r="U159" s="391">
        <f>T159*'Revenues &amp; Expenses'!F167*4</f>
        <v>28580.720000000001</v>
      </c>
      <c r="W159" s="391">
        <f t="shared" si="16"/>
        <v>0</v>
      </c>
    </row>
    <row r="160" spans="2:23">
      <c r="B160" s="248">
        <v>41426</v>
      </c>
      <c r="C160" s="251">
        <f>VLOOKUP(B160,'Company Gas Prices'!$B$25:$C$259,2)</f>
        <v>3.8093750000000002</v>
      </c>
      <c r="D160" s="250">
        <f>VLOOKUP(B160,'Fuel Curve'!$B$7:$F$268,5)</f>
        <v>4.4201724137931047</v>
      </c>
      <c r="E160" s="250">
        <f t="shared" si="12"/>
        <v>0.61079741379310448</v>
      </c>
      <c r="G160" s="248">
        <v>41426</v>
      </c>
      <c r="H160" s="250">
        <f>VLOOKUP(G160,'Company Power Prices'!$B$25:$C$259,2)</f>
        <v>97.5558604</v>
      </c>
      <c r="I160" s="250">
        <f>VLOOKUP(G160,'Super Peak Curve Simulation'!$B$4:$C$225,2)</f>
        <v>79.714604500532701</v>
      </c>
      <c r="J160" s="252">
        <f t="shared" si="13"/>
        <v>-17.841255899467299</v>
      </c>
      <c r="L160" s="248">
        <v>41426</v>
      </c>
      <c r="M160" s="250">
        <f>IF($L$1=1,VLOOKUP(L160,'Super Peak Curve Simulation'!$B$7:$N$225,12),VLOOKUP(L160,'PJM Curve Simulation'!$B$9:$J$246,9))</f>
        <v>64.599998474121094</v>
      </c>
      <c r="N160" s="250">
        <f t="shared" si="14"/>
        <v>45.206533270902355</v>
      </c>
      <c r="P160" s="250">
        <f>IF($L$1=1,VLOOKUP(L160,'Fuel Curve'!$B$7:$H$246,7),VLOOKUP(L160,'Revenues &amp; Expenses'!$K$9:$S$246,9))</f>
        <v>42.34083155172415</v>
      </c>
      <c r="Q160" s="250">
        <f>'Revenues &amp; Expenses'!$AM$5*1000*'Revenues &amp; Expenses'!O168</f>
        <v>2.8657017191782055</v>
      </c>
      <c r="S160" s="247">
        <f t="shared" si="15"/>
        <v>1</v>
      </c>
      <c r="T160" s="247">
        <f>'Revenues &amp; Expenses'!$S$3</f>
        <v>310.66000000000003</v>
      </c>
      <c r="U160" s="391">
        <f>T160*'Revenues &amp; Expenses'!F168*4</f>
        <v>26095.440000000002</v>
      </c>
      <c r="W160" s="391">
        <f t="shared" si="16"/>
        <v>506081.00760268245</v>
      </c>
    </row>
    <row r="161" spans="2:23">
      <c r="B161" s="248">
        <v>41456</v>
      </c>
      <c r="C161" s="251">
        <f>VLOOKUP(B161,'Company Gas Prices'!$B$25:$C$259,2)</f>
        <v>3.7718750000000001</v>
      </c>
      <c r="D161" s="250">
        <f>VLOOKUP(B161,'Fuel Curve'!$B$7:$F$268,5)</f>
        <v>4.477413793103449</v>
      </c>
      <c r="E161" s="250">
        <f t="shared" si="12"/>
        <v>0.70553879310344891</v>
      </c>
      <c r="G161" s="248">
        <v>41456</v>
      </c>
      <c r="H161" s="250">
        <f>VLOOKUP(G161,'Company Power Prices'!$B$25:$C$259,2)</f>
        <v>145.99592559999999</v>
      </c>
      <c r="I161" s="250">
        <f>VLOOKUP(G161,'Super Peak Curve Simulation'!$B$4:$C$225,2)</f>
        <v>149.29557330604337</v>
      </c>
      <c r="J161" s="252">
        <f t="shared" si="13"/>
        <v>3.2996477060433733</v>
      </c>
      <c r="L161" s="248">
        <v>41456</v>
      </c>
      <c r="M161" s="250">
        <f>IF($L$1=1,VLOOKUP(L161,'Super Peak Curve Simulation'!$B$7:$N$225,12),VLOOKUP(L161,'PJM Curve Simulation'!$B$9:$J$246,9))</f>
        <v>113.69999694824219</v>
      </c>
      <c r="N161" s="250">
        <f t="shared" si="14"/>
        <v>45.761217830174672</v>
      </c>
      <c r="P161" s="250">
        <f>IF($L$1=1,VLOOKUP(L161,'Fuel Curve'!$B$7:$H$246,7),VLOOKUP(L161,'Revenues &amp; Expenses'!$K$9:$S$246,9))</f>
        <v>42.889146724137937</v>
      </c>
      <c r="Q161" s="250">
        <f>'Revenues &amp; Expenses'!$AM$5*1000*'Revenues &amp; Expenses'!O169</f>
        <v>2.8720711060367372</v>
      </c>
      <c r="S161" s="247">
        <f t="shared" si="15"/>
        <v>1</v>
      </c>
      <c r="T161" s="247">
        <f>'Revenues &amp; Expenses'!$S$3</f>
        <v>310.66000000000003</v>
      </c>
      <c r="U161" s="391">
        <f>T161*'Revenues &amp; Expenses'!F169*4</f>
        <v>27338.080000000002</v>
      </c>
      <c r="W161" s="391">
        <f t="shared" si="16"/>
        <v>1857315.7786320592</v>
      </c>
    </row>
    <row r="162" spans="2:23">
      <c r="B162" s="248">
        <v>41487</v>
      </c>
      <c r="C162" s="251">
        <f>VLOOKUP(B162,'Company Gas Prices'!$B$25:$C$259,2)</f>
        <v>3.7718750000000001</v>
      </c>
      <c r="D162" s="250">
        <f>VLOOKUP(B162,'Fuel Curve'!$B$7:$F$268,5)</f>
        <v>4.5679310344827595</v>
      </c>
      <c r="E162" s="250">
        <f t="shared" si="12"/>
        <v>0.79605603448275941</v>
      </c>
      <c r="G162" s="248">
        <v>41487</v>
      </c>
      <c r="H162" s="250">
        <f>VLOOKUP(G162,'Company Power Prices'!$B$25:$C$259,2)</f>
        <v>145.99592559999999</v>
      </c>
      <c r="I162" s="250">
        <f>VLOOKUP(G162,'Super Peak Curve Simulation'!$B$4:$C$225,2)</f>
        <v>123.59312328616105</v>
      </c>
      <c r="J162" s="252">
        <f t="shared" si="13"/>
        <v>-22.402802313838947</v>
      </c>
      <c r="L162" s="248">
        <v>41487</v>
      </c>
      <c r="M162" s="250">
        <f>IF($L$1=1,VLOOKUP(L162,'Super Peak Curve Simulation'!$B$7:$N$225,12),VLOOKUP(L162,'PJM Curve Simulation'!$B$9:$J$246,9))</f>
        <v>100.69999694824219</v>
      </c>
      <c r="N162" s="250">
        <f t="shared" si="14"/>
        <v>46.634666028978707</v>
      </c>
      <c r="P162" s="250">
        <f>IF($L$1=1,VLOOKUP(L162,'Fuel Curve'!$B$7:$H$246,7),VLOOKUP(L162,'Revenues &amp; Expenses'!$K$9:$S$246,9))</f>
        <v>43.756211379310358</v>
      </c>
      <c r="Q162" s="250">
        <f>'Revenues &amp; Expenses'!$AM$5*1000*'Revenues &amp; Expenses'!O170</f>
        <v>2.878454649668349</v>
      </c>
      <c r="S162" s="247">
        <f t="shared" si="15"/>
        <v>1</v>
      </c>
      <c r="T162" s="247">
        <f>'Revenues &amp; Expenses'!$S$3</f>
        <v>310.66000000000003</v>
      </c>
      <c r="U162" s="391">
        <f>T162*'Revenues &amp; Expenses'!F170*4</f>
        <v>28580.720000000001</v>
      </c>
      <c r="W162" s="391">
        <f t="shared" si="16"/>
        <v>1545226.0847108122</v>
      </c>
    </row>
    <row r="163" spans="2:23">
      <c r="B163" s="248">
        <v>41518</v>
      </c>
      <c r="C163" s="251">
        <f>VLOOKUP(B163,'Company Gas Prices'!$B$25:$C$259,2)</f>
        <v>3.8177083299999999</v>
      </c>
      <c r="D163" s="250">
        <f>VLOOKUP(B163,'Fuel Curve'!$B$7:$F$268,5)</f>
        <v>4.6627586206896563</v>
      </c>
      <c r="E163" s="250">
        <f t="shared" si="12"/>
        <v>0.84505029068965642</v>
      </c>
      <c r="G163" s="248">
        <v>41518</v>
      </c>
      <c r="H163" s="250">
        <f>VLOOKUP(G163,'Company Power Prices'!$B$25:$C$259,2)</f>
        <v>54.785273279999998</v>
      </c>
      <c r="I163" s="250">
        <f>VLOOKUP(G163,'Super Peak Curve Simulation'!$B$4:$C$225,2)</f>
        <v>43.80614054793746</v>
      </c>
      <c r="J163" s="252">
        <f t="shared" si="13"/>
        <v>-10.979132732062538</v>
      </c>
      <c r="L163" s="248">
        <v>41518</v>
      </c>
      <c r="M163" s="250">
        <f>IF($L$1=1,VLOOKUP(L163,'Super Peak Curve Simulation'!$B$7:$N$225,12),VLOOKUP(L163,'PJM Curve Simulation'!$B$9:$J$246,9))</f>
        <v>37.924998474121097</v>
      </c>
      <c r="N163" s="250">
        <f t="shared" si="14"/>
        <v>47.549417209124492</v>
      </c>
      <c r="P163" s="250">
        <f>IF($L$1=1,VLOOKUP(L163,'Fuel Curve'!$B$7:$H$246,7),VLOOKUP(L163,'Revenues &amp; Expenses'!$K$9:$S$246,9))</f>
        <v>44.664564827586219</v>
      </c>
      <c r="Q163" s="250">
        <f>'Revenues &amp; Expenses'!$AM$5*1000*'Revenues &amp; Expenses'!O171</f>
        <v>2.8848523815382707</v>
      </c>
      <c r="S163" s="247">
        <f t="shared" si="15"/>
        <v>0</v>
      </c>
      <c r="T163" s="247">
        <f>'Revenues &amp; Expenses'!$S$3</f>
        <v>310.66000000000003</v>
      </c>
      <c r="U163" s="391">
        <f>T163*'Revenues &amp; Expenses'!F171*4</f>
        <v>24852.800000000003</v>
      </c>
      <c r="W163" s="391">
        <f t="shared" si="16"/>
        <v>0</v>
      </c>
    </row>
    <row r="164" spans="2:23">
      <c r="B164" s="248">
        <v>41548</v>
      </c>
      <c r="C164" s="251">
        <f>VLOOKUP(B164,'Company Gas Prices'!$B$25:$C$259,2)</f>
        <v>3.7781250000000002</v>
      </c>
      <c r="D164" s="250">
        <f>VLOOKUP(B164,'Fuel Curve'!$B$7:$F$268,5)</f>
        <v>4.7553448275862067</v>
      </c>
      <c r="E164" s="250">
        <f t="shared" si="12"/>
        <v>0.97721982758620651</v>
      </c>
      <c r="G164" s="248">
        <v>41548</v>
      </c>
      <c r="H164" s="250">
        <f>VLOOKUP(G164,'Company Power Prices'!$B$25:$C$259,2)</f>
        <v>48.179096860000001</v>
      </c>
      <c r="I164" s="250">
        <f>VLOOKUP(G164,'Super Peak Curve Simulation'!$B$4:$C$225,2)</f>
        <v>36.210898573122023</v>
      </c>
      <c r="J164" s="252">
        <f t="shared" si="13"/>
        <v>-11.968198286877978</v>
      </c>
      <c r="L164" s="248">
        <v>41548</v>
      </c>
      <c r="M164" s="250">
        <f>IF($L$1=1,VLOOKUP(L164,'Super Peak Curve Simulation'!$B$7:$N$225,12),VLOOKUP(L164,'PJM Curve Simulation'!$B$9:$J$246,9))</f>
        <v>30.825000381469728</v>
      </c>
      <c r="N164" s="250">
        <f t="shared" si="14"/>
        <v>48.44271243662994</v>
      </c>
      <c r="P164" s="250">
        <f>IF($L$1=1,VLOOKUP(L164,'Fuel Curve'!$B$7:$H$246,7),VLOOKUP(L164,'Revenues &amp; Expenses'!$K$9:$S$246,9))</f>
        <v>45.551448103448273</v>
      </c>
      <c r="Q164" s="250">
        <f>'Revenues &amp; Expenses'!$AM$5*1000*'Revenues &amp; Expenses'!O172</f>
        <v>2.891264333181669</v>
      </c>
      <c r="S164" s="247">
        <f t="shared" si="15"/>
        <v>0</v>
      </c>
      <c r="T164" s="247">
        <f>'Revenues &amp; Expenses'!$S$3</f>
        <v>310.66000000000003</v>
      </c>
      <c r="U164" s="391">
        <f>T164*'Revenues &amp; Expenses'!F172*4</f>
        <v>28580.720000000001</v>
      </c>
      <c r="W164" s="391">
        <f t="shared" si="16"/>
        <v>0</v>
      </c>
    </row>
    <row r="165" spans="2:23">
      <c r="B165" s="248">
        <v>41579</v>
      </c>
      <c r="C165" s="251">
        <f>VLOOKUP(B165,'Company Gas Prices'!$B$25:$C$259,2)</f>
        <v>3.7781250000000002</v>
      </c>
      <c r="D165" s="250">
        <f>VLOOKUP(B165,'Fuel Curve'!$B$7:$F$268,5)</f>
        <v>4.8046551724137938</v>
      </c>
      <c r="E165" s="250">
        <f t="shared" si="12"/>
        <v>1.0265301724137936</v>
      </c>
      <c r="G165" s="248">
        <v>41579</v>
      </c>
      <c r="H165" s="250">
        <f>VLOOKUP(G165,'Company Power Prices'!$B$25:$C$259,2)</f>
        <v>50.344943149999999</v>
      </c>
      <c r="I165" s="250">
        <f>VLOOKUP(G165,'Super Peak Curve Simulation'!$B$4:$C$225,2)</f>
        <v>36.317184347267158</v>
      </c>
      <c r="J165" s="252">
        <f t="shared" si="13"/>
        <v>-14.027758802732841</v>
      </c>
      <c r="L165" s="248">
        <v>41579</v>
      </c>
      <c r="M165" s="250">
        <f>IF($L$1=1,VLOOKUP(L165,'Super Peak Curve Simulation'!$B$7:$N$225,12),VLOOKUP(L165,'PJM Curve Simulation'!$B$9:$J$246,9))</f>
        <v>30.497499084472658</v>
      </c>
      <c r="N165" s="250">
        <f t="shared" si="14"/>
        <v>48.921482432755525</v>
      </c>
      <c r="P165" s="250">
        <f>IF($L$1=1,VLOOKUP(L165,'Fuel Curve'!$B$7:$H$246,7),VLOOKUP(L165,'Revenues &amp; Expenses'!$K$9:$S$246,9))</f>
        <v>46.023791896551728</v>
      </c>
      <c r="Q165" s="250">
        <f>'Revenues &amp; Expenses'!$AM$5*1000*'Revenues &amp; Expenses'!O173</f>
        <v>2.8976905362037999</v>
      </c>
      <c r="S165" s="247">
        <f t="shared" si="15"/>
        <v>0</v>
      </c>
      <c r="T165" s="247">
        <f>'Revenues &amp; Expenses'!$S$3</f>
        <v>310.66000000000003</v>
      </c>
      <c r="U165" s="391">
        <f>T165*'Revenues &amp; Expenses'!F173*4</f>
        <v>27338.080000000002</v>
      </c>
      <c r="W165" s="391">
        <f t="shared" si="16"/>
        <v>0</v>
      </c>
    </row>
    <row r="166" spans="2:23">
      <c r="B166" s="248">
        <v>41609</v>
      </c>
      <c r="C166" s="251">
        <f>VLOOKUP(B166,'Company Gas Prices'!$B$25:$C$259,2)</f>
        <v>3.7781250000000002</v>
      </c>
      <c r="D166" s="250">
        <f>VLOOKUP(B166,'Fuel Curve'!$B$7:$F$268,5)</f>
        <v>4.8474137931034491</v>
      </c>
      <c r="E166" s="250">
        <f t="shared" si="12"/>
        <v>1.0692887931034489</v>
      </c>
      <c r="G166" s="248">
        <v>41609</v>
      </c>
      <c r="H166" s="250">
        <f>VLOOKUP(G166,'Company Power Prices'!$B$25:$C$259,2)</f>
        <v>50.344943149999999</v>
      </c>
      <c r="I166" s="250">
        <f>VLOOKUP(G166,'Super Peak Curve Simulation'!$B$4:$C$225,2)</f>
        <v>38.892335001956646</v>
      </c>
      <c r="J166" s="252">
        <f t="shared" si="13"/>
        <v>-11.452608148043353</v>
      </c>
      <c r="L166" s="248">
        <v>41609</v>
      </c>
      <c r="M166" s="250">
        <f>IF($L$1=1,VLOOKUP(L166,'Super Peak Curve Simulation'!$B$7:$N$225,12),VLOOKUP(L166,'PJM Curve Simulation'!$B$9:$J$246,9))</f>
        <v>32.249999618530275</v>
      </c>
      <c r="N166" s="250">
        <f t="shared" si="14"/>
        <v>49.337507746418105</v>
      </c>
      <c r="P166" s="250">
        <f>IF($L$1=1,VLOOKUP(L166,'Fuel Curve'!$B$7:$H$246,7),VLOOKUP(L166,'Revenues &amp; Expenses'!$K$9:$S$246,9))</f>
        <v>46.433376724137936</v>
      </c>
      <c r="Q166" s="250">
        <f>'Revenues &amp; Expenses'!$AM$5*1000*'Revenues &amp; Expenses'!O174</f>
        <v>2.9041310222801666</v>
      </c>
      <c r="S166" s="247">
        <f t="shared" si="15"/>
        <v>0</v>
      </c>
      <c r="T166" s="247">
        <f>'Revenues &amp; Expenses'!$S$3</f>
        <v>310.66000000000003</v>
      </c>
      <c r="U166" s="391">
        <f>T166*'Revenues &amp; Expenses'!F174*4</f>
        <v>26095.440000000002</v>
      </c>
      <c r="W166" s="391">
        <f t="shared" si="16"/>
        <v>0</v>
      </c>
    </row>
    <row r="167" spans="2:23">
      <c r="B167" s="248">
        <v>41640</v>
      </c>
      <c r="C167" s="251">
        <f>VLOOKUP(B167,'Company Gas Prices'!$B$25:$C$259,2)</f>
        <v>3.8354166699999999</v>
      </c>
      <c r="D167" s="250">
        <f>VLOOKUP(B167,'Fuel Curve'!$B$7:$F$268,5)</f>
        <v>4.7901724137931048</v>
      </c>
      <c r="E167" s="250">
        <f t="shared" si="12"/>
        <v>0.95475574379310491</v>
      </c>
      <c r="G167" s="248">
        <v>41640</v>
      </c>
      <c r="H167" s="250">
        <f>VLOOKUP(G167,'Company Power Prices'!$B$25:$C$259,2)</f>
        <v>47.472470049999998</v>
      </c>
      <c r="I167" s="250">
        <f>VLOOKUP(G167,'Super Peak Curve Simulation'!$B$4:$C$225,2)</f>
        <v>50.060337743345862</v>
      </c>
      <c r="J167" s="252">
        <f t="shared" si="13"/>
        <v>2.5878676933458635</v>
      </c>
      <c r="L167" s="248">
        <v>41640</v>
      </c>
      <c r="M167" s="250">
        <f>IF($L$1=1,VLOOKUP(L167,'Super Peak Curve Simulation'!$B$7:$N$225,12),VLOOKUP(L167,'PJM Curve Simulation'!$B$9:$J$246,9))</f>
        <v>40.824998474121088</v>
      </c>
      <c r="N167" s="250">
        <f t="shared" si="14"/>
        <v>48.795647374880829</v>
      </c>
      <c r="P167" s="250">
        <f>IF($L$1=1,VLOOKUP(L167,'Fuel Curve'!$B$7:$H$246,7),VLOOKUP(L167,'Revenues &amp; Expenses'!$K$9:$S$246,9))</f>
        <v>45.885061551724156</v>
      </c>
      <c r="Q167" s="250">
        <f>'Revenues &amp; Expenses'!$AM$5*1000*'Revenues &amp; Expenses'!O175</f>
        <v>2.9105858231566759</v>
      </c>
      <c r="S167" s="247">
        <f t="shared" si="15"/>
        <v>0</v>
      </c>
      <c r="T167" s="247">
        <f>'Revenues &amp; Expenses'!$S$3</f>
        <v>310.66000000000003</v>
      </c>
      <c r="U167" s="391">
        <f>T167*'Revenues &amp; Expenses'!F175*4</f>
        <v>28580.720000000001</v>
      </c>
      <c r="W167" s="391">
        <f t="shared" si="16"/>
        <v>0</v>
      </c>
    </row>
    <row r="168" spans="2:23">
      <c r="B168" s="248">
        <v>41671</v>
      </c>
      <c r="C168" s="251">
        <f>VLOOKUP(B168,'Company Gas Prices'!$B$25:$C$259,2)</f>
        <v>3.8354166699999999</v>
      </c>
      <c r="D168" s="250">
        <f>VLOOKUP(B168,'Fuel Curve'!$B$7:$F$268,5)</f>
        <v>4.6910344827586217</v>
      </c>
      <c r="E168" s="250">
        <f t="shared" si="12"/>
        <v>0.85561781275862181</v>
      </c>
      <c r="G168" s="248">
        <v>41671</v>
      </c>
      <c r="H168" s="250">
        <f>VLOOKUP(G168,'Company Power Prices'!$B$25:$C$259,2)</f>
        <v>41.819254440000002</v>
      </c>
      <c r="I168" s="250">
        <f>VLOOKUP(G168,'Super Peak Curve Simulation'!$B$4:$C$225,2)</f>
        <v>50.060337743345862</v>
      </c>
      <c r="J168" s="252">
        <f t="shared" si="13"/>
        <v>8.2410833033458601</v>
      </c>
      <c r="L168" s="248">
        <v>41671</v>
      </c>
      <c r="M168" s="250">
        <f>IF($L$1=1,VLOOKUP(L168,'Super Peak Curve Simulation'!$B$7:$N$225,12),VLOOKUP(L168,'PJM Curve Simulation'!$B$9:$J$246,9))</f>
        <v>40.824998474121088</v>
      </c>
      <c r="N168" s="250">
        <f t="shared" si="14"/>
        <v>47.852474280994628</v>
      </c>
      <c r="P168" s="250">
        <f>IF($L$1=1,VLOOKUP(L168,'Fuel Curve'!$B$7:$H$246,7),VLOOKUP(L168,'Revenues &amp; Expenses'!$K$9:$S$246,9))</f>
        <v>44.935419310344834</v>
      </c>
      <c r="Q168" s="250">
        <f>'Revenues &amp; Expenses'!$AM$5*1000*'Revenues &amp; Expenses'!O176</f>
        <v>2.9170549706497928</v>
      </c>
      <c r="S168" s="247">
        <f t="shared" si="15"/>
        <v>0</v>
      </c>
      <c r="T168" s="247">
        <f>'Revenues &amp; Expenses'!$S$3</f>
        <v>310.66000000000003</v>
      </c>
      <c r="U168" s="391">
        <f>T168*'Revenues &amp; Expenses'!F176*4</f>
        <v>24852.800000000003</v>
      </c>
      <c r="W168" s="391">
        <f t="shared" si="16"/>
        <v>0</v>
      </c>
    </row>
    <row r="169" spans="2:23">
      <c r="B169" s="248">
        <v>41699</v>
      </c>
      <c r="C169" s="251">
        <f>VLOOKUP(B169,'Company Gas Prices'!$B$25:$C$259,2)</f>
        <v>3.8354166699999999</v>
      </c>
      <c r="D169" s="250">
        <f>VLOOKUP(B169,'Fuel Curve'!$B$7:$F$268,5)</f>
        <v>4.5939655172413802</v>
      </c>
      <c r="E169" s="250">
        <f t="shared" si="12"/>
        <v>0.75854884724138039</v>
      </c>
      <c r="G169" s="248">
        <v>41699</v>
      </c>
      <c r="H169" s="250">
        <f>VLOOKUP(G169,'Company Power Prices'!$B$25:$C$259,2)</f>
        <v>41.819254440000002</v>
      </c>
      <c r="I169" s="250">
        <f>VLOOKUP(G169,'Super Peak Curve Simulation'!$B$4:$C$225,2)</f>
        <v>37.155674677906035</v>
      </c>
      <c r="J169" s="252">
        <f t="shared" si="13"/>
        <v>-4.663579762093967</v>
      </c>
      <c r="L169" s="248">
        <v>41699</v>
      </c>
      <c r="M169" s="250">
        <f>IF($L$1=1,VLOOKUP(L169,'Super Peak Curve Simulation'!$B$7:$N$225,12),VLOOKUP(L169,'PJM Curve Simulation'!$B$9:$J$246,9))</f>
        <v>30.550000762939455</v>
      </c>
      <c r="N169" s="250">
        <f t="shared" si="14"/>
        <v>46.92913418630188</v>
      </c>
      <c r="P169" s="250">
        <f>IF($L$1=1,VLOOKUP(L169,'Fuel Curve'!$B$7:$H$246,7),VLOOKUP(L169,'Revenues &amp; Expenses'!$K$9:$S$246,9))</f>
        <v>44.005595689655181</v>
      </c>
      <c r="Q169" s="250">
        <f>'Revenues &amp; Expenses'!$AM$5*1000*'Revenues &amp; Expenses'!O177</f>
        <v>2.9235384966466991</v>
      </c>
      <c r="S169" s="247">
        <f t="shared" si="15"/>
        <v>0</v>
      </c>
      <c r="T169" s="247">
        <f>'Revenues &amp; Expenses'!$S$3</f>
        <v>310.66000000000003</v>
      </c>
      <c r="U169" s="391">
        <f>T169*'Revenues &amp; Expenses'!F177*4</f>
        <v>26095.440000000002</v>
      </c>
      <c r="W169" s="391">
        <f t="shared" si="16"/>
        <v>0</v>
      </c>
    </row>
    <row r="170" spans="2:23">
      <c r="B170" s="248">
        <v>41730</v>
      </c>
      <c r="C170" s="251">
        <f>VLOOKUP(B170,'Company Gas Prices'!$B$25:$C$259,2)</f>
        <v>3.98020833</v>
      </c>
      <c r="D170" s="250">
        <f>VLOOKUP(B170,'Fuel Curve'!$B$7:$F$268,5)</f>
        <v>4.4939655172413797</v>
      </c>
      <c r="E170" s="250">
        <f t="shared" si="12"/>
        <v>0.51375718724137975</v>
      </c>
      <c r="G170" s="248">
        <v>41730</v>
      </c>
      <c r="H170" s="250">
        <f>VLOOKUP(G170,'Company Power Prices'!$B$25:$C$259,2)</f>
        <v>46.364830099999999</v>
      </c>
      <c r="I170" s="250">
        <f>VLOOKUP(G170,'Super Peak Curve Simulation'!$B$4:$C$225,2)</f>
        <v>34.399537321734492</v>
      </c>
      <c r="J170" s="252">
        <f t="shared" si="13"/>
        <v>-11.965292778265507</v>
      </c>
      <c r="L170" s="248">
        <v>41730</v>
      </c>
      <c r="M170" s="250">
        <f>IF($L$1=1,VLOOKUP(L170,'Super Peak Curve Simulation'!$B$7:$N$225,12),VLOOKUP(L170,'PJM Curve Simulation'!$B$9:$J$246,9))</f>
        <v>30.325000762939453</v>
      </c>
      <c r="N170" s="250">
        <f t="shared" si="14"/>
        <v>45.977732122760628</v>
      </c>
      <c r="P170" s="250">
        <f>IF($L$1=1,VLOOKUP(L170,'Fuel Curve'!$B$7:$H$246,7),VLOOKUP(L170,'Revenues &amp; Expenses'!$K$9:$S$246,9))</f>
        <v>43.047695689655178</v>
      </c>
      <c r="Q170" s="250">
        <f>'Revenues &amp; Expenses'!$AM$5*1000*'Revenues &amp; Expenses'!O178</f>
        <v>2.93003643310545</v>
      </c>
      <c r="S170" s="247">
        <f t="shared" si="15"/>
        <v>0</v>
      </c>
      <c r="T170" s="247">
        <f>'Revenues &amp; Expenses'!$S$3</f>
        <v>310.66000000000003</v>
      </c>
      <c r="U170" s="391">
        <f>T170*'Revenues &amp; Expenses'!F178*4</f>
        <v>27338.080000000002</v>
      </c>
      <c r="W170" s="391">
        <f t="shared" si="16"/>
        <v>0</v>
      </c>
    </row>
    <row r="171" spans="2:23">
      <c r="B171" s="248">
        <v>41760</v>
      </c>
      <c r="C171" s="251">
        <f>VLOOKUP(B171,'Company Gas Prices'!$B$25:$C$259,2)</f>
        <v>3.8177083299999999</v>
      </c>
      <c r="D171" s="250">
        <f>VLOOKUP(B171,'Fuel Curve'!$B$7:$F$268,5)</f>
        <v>4.4267241379310347</v>
      </c>
      <c r="E171" s="250">
        <f t="shared" si="12"/>
        <v>0.60901580793103482</v>
      </c>
      <c r="G171" s="248">
        <v>41760</v>
      </c>
      <c r="H171" s="250">
        <f>VLOOKUP(G171,'Company Power Prices'!$B$25:$C$259,2)</f>
        <v>56.348211910000003</v>
      </c>
      <c r="I171" s="250">
        <f>VLOOKUP(G171,'Super Peak Curve Simulation'!$B$4:$C$225,2)</f>
        <v>42.073345469793502</v>
      </c>
      <c r="J171" s="252">
        <f t="shared" si="13"/>
        <v>-14.274866440206502</v>
      </c>
      <c r="L171" s="248">
        <v>41760</v>
      </c>
      <c r="M171" s="250">
        <f>IF($L$1=1,VLOOKUP(L171,'Super Peak Curve Simulation'!$B$7:$N$225,12),VLOOKUP(L171,'PJM Curve Simulation'!$B$9:$J$246,9))</f>
        <v>38.325000000000003</v>
      </c>
      <c r="N171" s="250">
        <f t="shared" si="14"/>
        <v>45.340139329296512</v>
      </c>
      <c r="P171" s="250">
        <f>IF($L$1=1,VLOOKUP(L171,'Fuel Curve'!$B$7:$H$246,7),VLOOKUP(L171,'Revenues &amp; Expenses'!$K$9:$S$246,9))</f>
        <v>42.403590517241383</v>
      </c>
      <c r="Q171" s="250">
        <f>'Revenues &amp; Expenses'!$AM$5*1000*'Revenues &amp; Expenses'!O179</f>
        <v>2.9365488120551309</v>
      </c>
      <c r="S171" s="247">
        <f t="shared" si="15"/>
        <v>0</v>
      </c>
      <c r="T171" s="247">
        <f>'Revenues &amp; Expenses'!$S$3</f>
        <v>310.66000000000003</v>
      </c>
      <c r="U171" s="391">
        <f>T171*'Revenues &amp; Expenses'!F179*4</f>
        <v>28580.720000000001</v>
      </c>
      <c r="W171" s="391">
        <f t="shared" si="16"/>
        <v>0</v>
      </c>
    </row>
    <row r="172" spans="2:23">
      <c r="B172" s="248">
        <v>41791</v>
      </c>
      <c r="C172" s="251">
        <f>VLOOKUP(B172,'Company Gas Prices'!$B$25:$C$259,2)</f>
        <v>3.8093750000000002</v>
      </c>
      <c r="D172" s="250">
        <f>VLOOKUP(B172,'Fuel Curve'!$B$7:$F$268,5)</f>
        <v>4.4201724137931047</v>
      </c>
      <c r="E172" s="250">
        <f t="shared" si="12"/>
        <v>0.61079741379310448</v>
      </c>
      <c r="G172" s="248">
        <v>41791</v>
      </c>
      <c r="H172" s="250">
        <f>VLOOKUP(G172,'Company Power Prices'!$B$25:$C$259,2)</f>
        <v>102.08996550000001</v>
      </c>
      <c r="I172" s="250">
        <f>VLOOKUP(G172,'Super Peak Curve Simulation'!$B$4:$C$225,2)</f>
        <v>80.64008367681086</v>
      </c>
      <c r="J172" s="252">
        <f t="shared" si="13"/>
        <v>-21.449881823189145</v>
      </c>
      <c r="L172" s="248">
        <v>41791</v>
      </c>
      <c r="M172" s="250">
        <f>IF($L$1=1,VLOOKUP(L172,'Super Peak Curve Simulation'!$B$7:$N$225,12),VLOOKUP(L172,'PJM Curve Simulation'!$B$9:$J$246,9))</f>
        <v>65.349998474121094</v>
      </c>
      <c r="N172" s="250">
        <f t="shared" si="14"/>
        <v>45.28390721732017</v>
      </c>
      <c r="P172" s="250">
        <f>IF($L$1=1,VLOOKUP(L172,'Fuel Curve'!$B$7:$H$246,7),VLOOKUP(L172,'Revenues &amp; Expenses'!$K$9:$S$246,9))</f>
        <v>42.34083155172415</v>
      </c>
      <c r="Q172" s="250">
        <f>'Revenues &amp; Expenses'!$AM$5*1000*'Revenues &amp; Expenses'!O180</f>
        <v>2.9430756655960169</v>
      </c>
      <c r="S172" s="247">
        <f t="shared" si="15"/>
        <v>1</v>
      </c>
      <c r="T172" s="247">
        <f>'Revenues &amp; Expenses'!$S$3</f>
        <v>310.66000000000003</v>
      </c>
      <c r="U172" s="391">
        <f>T172*'Revenues &amp; Expenses'!F180*4</f>
        <v>24852.800000000003</v>
      </c>
      <c r="W172" s="391">
        <f t="shared" si="16"/>
        <v>498698.55278702208</v>
      </c>
    </row>
    <row r="173" spans="2:23">
      <c r="B173" s="248">
        <v>41821</v>
      </c>
      <c r="C173" s="251">
        <f>VLOOKUP(B173,'Company Gas Prices'!$B$25:$C$259,2)</f>
        <v>3.7718750000000001</v>
      </c>
      <c r="D173" s="250">
        <f>VLOOKUP(B173,'Fuel Curve'!$B$7:$F$268,5)</f>
        <v>4.477413793103449</v>
      </c>
      <c r="E173" s="250">
        <f t="shared" si="12"/>
        <v>0.70553879310344891</v>
      </c>
      <c r="G173" s="248">
        <v>41821</v>
      </c>
      <c r="H173" s="250">
        <f>VLOOKUP(G173,'Company Power Prices'!$B$25:$C$259,2)</f>
        <v>158.10978119999999</v>
      </c>
      <c r="I173" s="250">
        <f>VLOOKUP(G173,'Super Peak Curve Simulation'!$B$4:$C$225,2)</f>
        <v>152.24997127398271</v>
      </c>
      <c r="J173" s="252">
        <f t="shared" si="13"/>
        <v>-5.8598099260172773</v>
      </c>
      <c r="L173" s="248">
        <v>41821</v>
      </c>
      <c r="M173" s="250">
        <f>IF($L$1=1,VLOOKUP(L173,'Super Peak Curve Simulation'!$B$7:$N$225,12),VLOOKUP(L173,'PJM Curve Simulation'!$B$9:$J$246,9))</f>
        <v>115.94999694824219</v>
      </c>
      <c r="N173" s="250">
        <f t="shared" si="14"/>
        <v>45.838763750037664</v>
      </c>
      <c r="P173" s="250">
        <f>IF($L$1=1,VLOOKUP(L173,'Fuel Curve'!$B$7:$H$246,7),VLOOKUP(L173,'Revenues &amp; Expenses'!$K$9:$S$246,9))</f>
        <v>42.889146724137937</v>
      </c>
      <c r="Q173" s="250">
        <f>'Revenues &amp; Expenses'!$AM$5*1000*'Revenues &amp; Expenses'!O181</f>
        <v>2.949617025899729</v>
      </c>
      <c r="S173" s="247">
        <f t="shared" si="15"/>
        <v>1</v>
      </c>
      <c r="T173" s="247">
        <f>'Revenues &amp; Expenses'!$S$3</f>
        <v>310.66000000000003</v>
      </c>
      <c r="U173" s="391">
        <f>T173*'Revenues &amp; Expenses'!F181*4</f>
        <v>28580.720000000001</v>
      </c>
      <c r="W173" s="391">
        <f t="shared" si="16"/>
        <v>2003829.5248925884</v>
      </c>
    </row>
    <row r="174" spans="2:23">
      <c r="B174" s="248">
        <v>41852</v>
      </c>
      <c r="C174" s="251">
        <f>VLOOKUP(B174,'Company Gas Prices'!$B$25:$C$259,2)</f>
        <v>3.7718750000000001</v>
      </c>
      <c r="D174" s="250">
        <f>VLOOKUP(B174,'Fuel Curve'!$B$7:$F$268,5)</f>
        <v>4.5679310344827595</v>
      </c>
      <c r="E174" s="250">
        <f t="shared" si="12"/>
        <v>0.79605603448275941</v>
      </c>
      <c r="G174" s="248">
        <v>41852</v>
      </c>
      <c r="H174" s="250">
        <f>VLOOKUP(G174,'Company Power Prices'!$B$25:$C$259,2)</f>
        <v>158.10978119999999</v>
      </c>
      <c r="I174" s="250">
        <f>VLOOKUP(G174,'Super Peak Curve Simulation'!$B$4:$C$225,2)</f>
        <v>126.3546380410899</v>
      </c>
      <c r="J174" s="252">
        <f t="shared" si="13"/>
        <v>-31.755143158910087</v>
      </c>
      <c r="L174" s="248">
        <v>41852</v>
      </c>
      <c r="M174" s="250">
        <f>IF($L$1=1,VLOOKUP(L174,'Super Peak Curve Simulation'!$B$7:$N$225,12),VLOOKUP(L174,'PJM Curve Simulation'!$B$9:$J$246,9))</f>
        <v>102.94999694824219</v>
      </c>
      <c r="N174" s="250">
        <f t="shared" si="14"/>
        <v>46.712384304519752</v>
      </c>
      <c r="P174" s="250">
        <f>IF($L$1=1,VLOOKUP(L174,'Fuel Curve'!$B$7:$H$246,7),VLOOKUP(L174,'Revenues &amp; Expenses'!$K$9:$S$246,9))</f>
        <v>43.756211379310358</v>
      </c>
      <c r="Q174" s="250">
        <f>'Revenues &amp; Expenses'!$AM$5*1000*'Revenues &amp; Expenses'!O182</f>
        <v>2.956172925209394</v>
      </c>
      <c r="S174" s="247">
        <f t="shared" si="15"/>
        <v>1</v>
      </c>
      <c r="T174" s="247">
        <f>'Revenues &amp; Expenses'!$S$3</f>
        <v>310.66000000000003</v>
      </c>
      <c r="U174" s="391">
        <f>T174*'Revenues &amp; Expenses'!F182*4</f>
        <v>27338.080000000002</v>
      </c>
      <c r="W174" s="391">
        <f t="shared" si="16"/>
        <v>1537428.3534630956</v>
      </c>
    </row>
    <row r="175" spans="2:23">
      <c r="B175" s="248">
        <v>41883</v>
      </c>
      <c r="C175" s="251">
        <f>VLOOKUP(B175,'Company Gas Prices'!$B$25:$C$259,2)</f>
        <v>3.8177083299999999</v>
      </c>
      <c r="D175" s="250">
        <f>VLOOKUP(B175,'Fuel Curve'!$B$7:$F$268,5)</f>
        <v>4.6627586206896563</v>
      </c>
      <c r="E175" s="250">
        <f t="shared" si="12"/>
        <v>0.84505029068965642</v>
      </c>
      <c r="G175" s="248">
        <v>41883</v>
      </c>
      <c r="H175" s="250">
        <f>VLOOKUP(G175,'Company Power Prices'!$B$25:$C$259,2)</f>
        <v>56.348211910000003</v>
      </c>
      <c r="I175" s="250">
        <f>VLOOKUP(G175,'Super Peak Curve Simulation'!$B$4:$C$225,2)</f>
        <v>44.38367703192479</v>
      </c>
      <c r="J175" s="252">
        <f t="shared" si="13"/>
        <v>-11.964534878075213</v>
      </c>
      <c r="L175" s="248">
        <v>41883</v>
      </c>
      <c r="M175" s="250">
        <f>IF($L$1=1,VLOOKUP(L175,'Super Peak Curve Simulation'!$B$7:$N$225,12),VLOOKUP(L175,'PJM Curve Simulation'!$B$9:$J$246,9))</f>
        <v>38.424998474121097</v>
      </c>
      <c r="N175" s="250">
        <f t="shared" si="14"/>
        <v>47.62730822342602</v>
      </c>
      <c r="P175" s="250">
        <f>IF($L$1=1,VLOOKUP(L175,'Fuel Curve'!$B$7:$H$246,7),VLOOKUP(L175,'Revenues &amp; Expenses'!$K$9:$S$246,9))</f>
        <v>44.664564827586219</v>
      </c>
      <c r="Q175" s="250">
        <f>'Revenues &amp; Expenses'!$AM$5*1000*'Revenues &amp; Expenses'!O183</f>
        <v>2.9627433958398037</v>
      </c>
      <c r="S175" s="247">
        <f t="shared" si="15"/>
        <v>0</v>
      </c>
      <c r="T175" s="247">
        <f>'Revenues &amp; Expenses'!$S$3</f>
        <v>310.66000000000003</v>
      </c>
      <c r="U175" s="391">
        <f>T175*'Revenues &amp; Expenses'!F183*4</f>
        <v>26095.440000000002</v>
      </c>
      <c r="W175" s="391">
        <f t="shared" si="16"/>
        <v>0</v>
      </c>
    </row>
    <row r="176" spans="2:23">
      <c r="B176" s="248">
        <v>41913</v>
      </c>
      <c r="C176" s="251">
        <f>VLOOKUP(B176,'Company Gas Prices'!$B$25:$C$259,2)</f>
        <v>3.7781250000000002</v>
      </c>
      <c r="D176" s="250">
        <f>VLOOKUP(B176,'Fuel Curve'!$B$7:$F$268,5)</f>
        <v>4.7553448275862067</v>
      </c>
      <c r="E176" s="250">
        <f t="shared" si="12"/>
        <v>0.97721982758620651</v>
      </c>
      <c r="G176" s="248">
        <v>41913</v>
      </c>
      <c r="H176" s="250">
        <f>VLOOKUP(G176,'Company Power Prices'!$B$25:$C$259,2)</f>
        <v>48.214159109999997</v>
      </c>
      <c r="I176" s="250">
        <f>VLOOKUP(G176,'Super Peak Curve Simulation'!$B$4:$C$225,2)</f>
        <v>36.504579823122029</v>
      </c>
      <c r="J176" s="252">
        <f t="shared" si="13"/>
        <v>-11.709579286877968</v>
      </c>
      <c r="L176" s="248">
        <v>41913</v>
      </c>
      <c r="M176" s="250">
        <f>IF($L$1=1,VLOOKUP(L176,'Super Peak Curve Simulation'!$B$7:$N$225,12),VLOOKUP(L176,'PJM Curve Simulation'!$B$9:$J$246,9))</f>
        <v>31.075000381469728</v>
      </c>
      <c r="N176" s="250">
        <f t="shared" si="14"/>
        <v>48.520776573625845</v>
      </c>
      <c r="P176" s="250">
        <f>IF($L$1=1,VLOOKUP(L176,'Fuel Curve'!$B$7:$H$246,7),VLOOKUP(L176,'Revenues &amp; Expenses'!$K$9:$S$246,9))</f>
        <v>45.551448103448273</v>
      </c>
      <c r="Q176" s="250">
        <f>'Revenues &amp; Expenses'!$AM$5*1000*'Revenues &amp; Expenses'!O184</f>
        <v>2.9693284701775737</v>
      </c>
      <c r="S176" s="247">
        <f t="shared" si="15"/>
        <v>0</v>
      </c>
      <c r="T176" s="247">
        <f>'Revenues &amp; Expenses'!$S$3</f>
        <v>310.66000000000003</v>
      </c>
      <c r="U176" s="391">
        <f>T176*'Revenues &amp; Expenses'!F184*4</f>
        <v>28580.720000000001</v>
      </c>
      <c r="W176" s="391">
        <f t="shared" si="16"/>
        <v>0</v>
      </c>
    </row>
    <row r="177" spans="2:23">
      <c r="B177" s="248">
        <v>41944</v>
      </c>
      <c r="C177" s="251">
        <f>VLOOKUP(B177,'Company Gas Prices'!$B$25:$C$259,2)</f>
        <v>3.7781250000000002</v>
      </c>
      <c r="D177" s="250">
        <f>VLOOKUP(B177,'Fuel Curve'!$B$7:$F$268,5)</f>
        <v>4.8046551724137938</v>
      </c>
      <c r="E177" s="250">
        <f t="shared" si="12"/>
        <v>1.0265301724137936</v>
      </c>
      <c r="G177" s="248">
        <v>41944</v>
      </c>
      <c r="H177" s="250">
        <f>VLOOKUP(G177,'Company Power Prices'!$B$25:$C$259,2)</f>
        <v>50.359455420000003</v>
      </c>
      <c r="I177" s="250">
        <f>VLOOKUP(G177,'Super Peak Curve Simulation'!$B$4:$C$225,2)</f>
        <v>36.614890597267149</v>
      </c>
      <c r="J177" s="252">
        <f t="shared" si="13"/>
        <v>-13.744564822732855</v>
      </c>
      <c r="L177" s="248">
        <v>41944</v>
      </c>
      <c r="M177" s="250">
        <f>IF($L$1=1,VLOOKUP(L177,'Super Peak Curve Simulation'!$B$7:$N$225,12),VLOOKUP(L177,'PJM Curve Simulation'!$B$9:$J$246,9))</f>
        <v>30.747499084472658</v>
      </c>
      <c r="N177" s="250">
        <f t="shared" si="14"/>
        <v>48.999720077233029</v>
      </c>
      <c r="P177" s="250">
        <f>IF($L$1=1,VLOOKUP(L177,'Fuel Curve'!$B$7:$H$246,7),VLOOKUP(L177,'Revenues &amp; Expenses'!$K$9:$S$246,9))</f>
        <v>46.023791896551728</v>
      </c>
      <c r="Q177" s="250">
        <f>'Revenues &amp; Expenses'!$AM$5*1000*'Revenues &amp; Expenses'!O185</f>
        <v>2.975928180681302</v>
      </c>
      <c r="S177" s="247">
        <f t="shared" si="15"/>
        <v>0</v>
      </c>
      <c r="T177" s="247">
        <f>'Revenues &amp; Expenses'!$S$3</f>
        <v>310.66000000000003</v>
      </c>
      <c r="U177" s="391">
        <f>T177*'Revenues &amp; Expenses'!F185*4</f>
        <v>26095.440000000002</v>
      </c>
      <c r="W177" s="391">
        <f t="shared" si="16"/>
        <v>0</v>
      </c>
    </row>
    <row r="178" spans="2:23">
      <c r="B178" s="248">
        <v>41974</v>
      </c>
      <c r="C178" s="251">
        <f>VLOOKUP(B178,'Company Gas Prices'!$B$25:$C$259,2)</f>
        <v>3.7781250000000002</v>
      </c>
      <c r="D178" s="250">
        <f>VLOOKUP(B178,'Fuel Curve'!$B$7:$F$268,5)</f>
        <v>4.8474137931034491</v>
      </c>
      <c r="E178" s="250">
        <f t="shared" si="12"/>
        <v>1.0692887931034489</v>
      </c>
      <c r="G178" s="248">
        <v>41974</v>
      </c>
      <c r="H178" s="250">
        <f>VLOOKUP(G178,'Company Power Prices'!$B$25:$C$259,2)</f>
        <v>50.359455420000003</v>
      </c>
      <c r="I178" s="250">
        <f>VLOOKUP(G178,'Super Peak Curve Simulation'!$B$4:$C$225,2)</f>
        <v>39.193825974530256</v>
      </c>
      <c r="J178" s="252">
        <f t="shared" si="13"/>
        <v>-11.165629445469747</v>
      </c>
      <c r="L178" s="248">
        <v>41974</v>
      </c>
      <c r="M178" s="250">
        <f>IF($L$1=1,VLOOKUP(L178,'Super Peak Curve Simulation'!$B$7:$N$225,12),VLOOKUP(L178,'PJM Curve Simulation'!$B$9:$J$246,9))</f>
        <v>32.499999618530275</v>
      </c>
      <c r="N178" s="250">
        <f t="shared" si="14"/>
        <v>49.415919284019665</v>
      </c>
      <c r="P178" s="250">
        <f>IF($L$1=1,VLOOKUP(L178,'Fuel Curve'!$B$7:$H$246,7),VLOOKUP(L178,'Revenues &amp; Expenses'!$K$9:$S$246,9))</f>
        <v>46.433376724137936</v>
      </c>
      <c r="Q178" s="250">
        <f>'Revenues &amp; Expenses'!$AM$5*1000*'Revenues &amp; Expenses'!O186</f>
        <v>2.9825425598817308</v>
      </c>
      <c r="S178" s="247">
        <f t="shared" si="15"/>
        <v>0</v>
      </c>
      <c r="T178" s="247">
        <f>'Revenues &amp; Expenses'!$S$3</f>
        <v>310.66000000000003</v>
      </c>
      <c r="U178" s="391">
        <f>T178*'Revenues &amp; Expenses'!F186*4</f>
        <v>27338.080000000002</v>
      </c>
      <c r="W178" s="391">
        <f t="shared" si="16"/>
        <v>0</v>
      </c>
    </row>
    <row r="179" spans="2:23">
      <c r="B179" s="248">
        <v>42005</v>
      </c>
      <c r="C179" s="251">
        <f>VLOOKUP(B179,'Company Gas Prices'!$B$25:$C$259,2)</f>
        <v>3.9375</v>
      </c>
      <c r="D179" s="250">
        <f>VLOOKUP(B179,'Fuel Curve'!$B$7:$F$268,5)</f>
        <v>4.7901724137931048</v>
      </c>
      <c r="E179" s="250">
        <f t="shared" si="12"/>
        <v>0.85267241379310477</v>
      </c>
      <c r="G179" s="248">
        <v>42005</v>
      </c>
      <c r="H179" s="250">
        <f>VLOOKUP(G179,'Company Power Prices'!$B$25:$C$259,2)</f>
        <v>48.311608300000003</v>
      </c>
      <c r="I179" s="250">
        <f>VLOOKUP(G179,'Super Peak Curve Simulation'!$B$4:$C$225,2)</f>
        <v>50.366892180666163</v>
      </c>
      <c r="J179" s="252">
        <f t="shared" si="13"/>
        <v>2.0552838806661597</v>
      </c>
      <c r="L179" s="248">
        <v>42005</v>
      </c>
      <c r="M179" s="250">
        <f>IF($L$1=1,VLOOKUP(L179,'Super Peak Curve Simulation'!$B$7:$N$225,12),VLOOKUP(L179,'PJM Curve Simulation'!$B$9:$J$246,9))</f>
        <v>41.074998474121088</v>
      </c>
      <c r="N179" s="250">
        <f t="shared" si="14"/>
        <v>48.874233192106061</v>
      </c>
      <c r="P179" s="250">
        <f>IF($L$1=1,VLOOKUP(L179,'Fuel Curve'!$B$7:$H$246,7),VLOOKUP(L179,'Revenues &amp; Expenses'!$K$9:$S$246,9))</f>
        <v>45.885061551724156</v>
      </c>
      <c r="Q179" s="250">
        <f>'Revenues &amp; Expenses'!$AM$5*1000*'Revenues &amp; Expenses'!O187</f>
        <v>2.989171640381906</v>
      </c>
      <c r="S179" s="247">
        <f t="shared" si="15"/>
        <v>0</v>
      </c>
      <c r="T179" s="247">
        <f>'Revenues &amp; Expenses'!$S$3</f>
        <v>310.66000000000003</v>
      </c>
      <c r="U179" s="391">
        <f>T179*'Revenues &amp; Expenses'!F187*4</f>
        <v>28580.720000000001</v>
      </c>
      <c r="W179" s="391">
        <f t="shared" si="16"/>
        <v>0</v>
      </c>
    </row>
    <row r="180" spans="2:23">
      <c r="B180" s="248">
        <v>42036</v>
      </c>
      <c r="C180" s="251">
        <f>VLOOKUP(B180,'Company Gas Prices'!$B$25:$C$259,2)</f>
        <v>3.9375</v>
      </c>
      <c r="D180" s="250">
        <f>VLOOKUP(B180,'Fuel Curve'!$B$7:$F$268,5)</f>
        <v>4.6910344827586217</v>
      </c>
      <c r="E180" s="250">
        <f t="shared" si="12"/>
        <v>0.75353448275862167</v>
      </c>
      <c r="G180" s="248">
        <v>42036</v>
      </c>
      <c r="H180" s="250">
        <f>VLOOKUP(G180,'Company Power Prices'!$B$25:$C$259,2)</f>
        <v>42.662712560000003</v>
      </c>
      <c r="I180" s="250">
        <f>VLOOKUP(G180,'Super Peak Curve Simulation'!$B$4:$C$225,2)</f>
        <v>50.366892180666163</v>
      </c>
      <c r="J180" s="252">
        <f t="shared" si="13"/>
        <v>7.7041796206661601</v>
      </c>
      <c r="L180" s="248">
        <v>42036</v>
      </c>
      <c r="M180" s="250">
        <f>IF($L$1=1,VLOOKUP(L180,'Super Peak Curve Simulation'!$B$7:$N$225,12),VLOOKUP(L180,'PJM Curve Simulation'!$B$9:$J$246,9))</f>
        <v>41.074998474121088</v>
      </c>
      <c r="N180" s="250">
        <f t="shared" si="14"/>
        <v>47.93123476520217</v>
      </c>
      <c r="P180" s="250">
        <f>IF($L$1=1,VLOOKUP(L180,'Fuel Curve'!$B$7:$H$246,7),VLOOKUP(L180,'Revenues &amp; Expenses'!$K$9:$S$246,9))</f>
        <v>44.935419310344834</v>
      </c>
      <c r="Q180" s="250">
        <f>'Revenues &amp; Expenses'!$AM$5*1000*'Revenues &amp; Expenses'!O188</f>
        <v>2.995815454857337</v>
      </c>
      <c r="S180" s="247">
        <f t="shared" si="15"/>
        <v>0</v>
      </c>
      <c r="T180" s="247">
        <f>'Revenues &amp; Expenses'!$S$3</f>
        <v>310.66000000000003</v>
      </c>
      <c r="U180" s="391">
        <f>T180*'Revenues &amp; Expenses'!F188*4</f>
        <v>24852.800000000003</v>
      </c>
      <c r="W180" s="391">
        <f t="shared" si="16"/>
        <v>0</v>
      </c>
    </row>
    <row r="181" spans="2:23">
      <c r="B181" s="248">
        <v>42064</v>
      </c>
      <c r="C181" s="251">
        <f>VLOOKUP(B181,'Company Gas Prices'!$B$25:$C$259,2)</f>
        <v>3.9375</v>
      </c>
      <c r="D181" s="250">
        <f>VLOOKUP(B181,'Fuel Curve'!$B$7:$F$268,5)</f>
        <v>4.5939655172413802</v>
      </c>
      <c r="E181" s="250">
        <f t="shared" si="12"/>
        <v>0.65646551724138025</v>
      </c>
      <c r="G181" s="248">
        <v>42064</v>
      </c>
      <c r="H181" s="250">
        <f>VLOOKUP(G181,'Company Power Prices'!$B$25:$C$259,2)</f>
        <v>42.662712560000003</v>
      </c>
      <c r="I181" s="250">
        <f>VLOOKUP(G181,'Super Peak Curve Simulation'!$B$4:$C$225,2)</f>
        <v>37.459730927906037</v>
      </c>
      <c r="J181" s="252">
        <f t="shared" si="13"/>
        <v>-5.2029816320939659</v>
      </c>
      <c r="L181" s="248">
        <v>42064</v>
      </c>
      <c r="M181" s="250">
        <f>IF($L$1=1,VLOOKUP(L181,'Super Peak Curve Simulation'!$B$7:$N$225,12),VLOOKUP(L181,'PJM Curve Simulation'!$B$9:$J$246,9))</f>
        <v>30.800000762939455</v>
      </c>
      <c r="N181" s="250">
        <f t="shared" si="14"/>
        <v>47.008069725711337</v>
      </c>
      <c r="P181" s="250">
        <f>IF($L$1=1,VLOOKUP(L181,'Fuel Curve'!$B$7:$H$246,7),VLOOKUP(L181,'Revenues &amp; Expenses'!$K$9:$S$246,9))</f>
        <v>44.005595689655181</v>
      </c>
      <c r="Q181" s="250">
        <f>'Revenues &amp; Expenses'!$AM$5*1000*'Revenues &amp; Expenses'!O189</f>
        <v>3.0024740360561597</v>
      </c>
      <c r="S181" s="247">
        <f t="shared" si="15"/>
        <v>0</v>
      </c>
      <c r="T181" s="247">
        <f>'Revenues &amp; Expenses'!$S$3</f>
        <v>310.66000000000003</v>
      </c>
      <c r="U181" s="391">
        <f>T181*'Revenues &amp; Expenses'!F189*4</f>
        <v>26095.440000000002</v>
      </c>
      <c r="W181" s="391">
        <f t="shared" si="16"/>
        <v>0</v>
      </c>
    </row>
    <row r="182" spans="2:23">
      <c r="B182" s="248">
        <v>42095</v>
      </c>
      <c r="C182" s="251">
        <f>VLOOKUP(B182,'Company Gas Prices'!$B$25:$C$259,2)</f>
        <v>4.08229167</v>
      </c>
      <c r="D182" s="250">
        <f>VLOOKUP(B182,'Fuel Curve'!$B$7:$F$268,5)</f>
        <v>4.4939655172413797</v>
      </c>
      <c r="E182" s="250">
        <f t="shared" si="12"/>
        <v>0.41167384724137968</v>
      </c>
      <c r="G182" s="248">
        <v>42095</v>
      </c>
      <c r="H182" s="250">
        <f>VLOOKUP(G182,'Company Power Prices'!$B$25:$C$259,2)</f>
        <v>47.220839869999999</v>
      </c>
      <c r="I182" s="250">
        <f>VLOOKUP(G182,'Super Peak Curve Simulation'!$B$4:$C$225,2)</f>
        <v>34.683127894333708</v>
      </c>
      <c r="J182" s="252">
        <f t="shared" si="13"/>
        <v>-12.537711975666291</v>
      </c>
      <c r="L182" s="248">
        <v>42095</v>
      </c>
      <c r="M182" s="250">
        <f>IF($L$1=1,VLOOKUP(L182,'Super Peak Curve Simulation'!$B$7:$N$225,12),VLOOKUP(L182,'PJM Curve Simulation'!$B$9:$J$246,9))</f>
        <v>30.575000762939453</v>
      </c>
      <c r="N182" s="250">
        <f t="shared" si="14"/>
        <v>46.056843106454473</v>
      </c>
      <c r="P182" s="250">
        <f>IF($L$1=1,VLOOKUP(L182,'Fuel Curve'!$B$7:$H$246,7),VLOOKUP(L182,'Revenues &amp; Expenses'!$K$9:$S$246,9))</f>
        <v>43.047695689655178</v>
      </c>
      <c r="Q182" s="250">
        <f>'Revenues &amp; Expenses'!$AM$5*1000*'Revenues &amp; Expenses'!O190</f>
        <v>3.0091474167992969</v>
      </c>
      <c r="S182" s="247">
        <f t="shared" si="15"/>
        <v>0</v>
      </c>
      <c r="T182" s="247">
        <f>'Revenues &amp; Expenses'!$S$3</f>
        <v>310.66000000000003</v>
      </c>
      <c r="U182" s="391">
        <f>T182*'Revenues &amp; Expenses'!F190*4</f>
        <v>27338.080000000002</v>
      </c>
      <c r="W182" s="391">
        <f t="shared" si="16"/>
        <v>0</v>
      </c>
    </row>
    <row r="183" spans="2:23">
      <c r="B183" s="248">
        <v>42125</v>
      </c>
      <c r="C183" s="251">
        <f>VLOOKUP(B183,'Company Gas Prices'!$B$25:$C$259,2)</f>
        <v>3.91979167</v>
      </c>
      <c r="D183" s="250">
        <f>VLOOKUP(B183,'Fuel Curve'!$B$7:$F$268,5)</f>
        <v>4.4267241379310347</v>
      </c>
      <c r="E183" s="250">
        <f t="shared" si="12"/>
        <v>0.50693246793103475</v>
      </c>
      <c r="G183" s="248">
        <v>42125</v>
      </c>
      <c r="H183" s="250">
        <f>VLOOKUP(G183,'Company Power Prices'!$B$25:$C$259,2)</f>
        <v>59.278648250000003</v>
      </c>
      <c r="I183" s="250">
        <f>VLOOKUP(G183,'Super Peak Curve Simulation'!$B$4:$C$225,2)</f>
        <v>42.347796516563193</v>
      </c>
      <c r="J183" s="252">
        <f t="shared" si="13"/>
        <v>-16.93085173343681</v>
      </c>
      <c r="L183" s="248">
        <v>42125</v>
      </c>
      <c r="M183" s="250">
        <f>IF($L$1=1,VLOOKUP(L183,'Super Peak Curve Simulation'!$B$7:$N$225,12),VLOOKUP(L183,'PJM Curve Simulation'!$B$9:$J$246,9))</f>
        <v>38.575000000000003</v>
      </c>
      <c r="N183" s="250">
        <f t="shared" si="14"/>
        <v>45.419426147222005</v>
      </c>
      <c r="P183" s="250">
        <f>IF($L$1=1,VLOOKUP(L183,'Fuel Curve'!$B$7:$H$246,7),VLOOKUP(L183,'Revenues &amp; Expenses'!$K$9:$S$246,9))</f>
        <v>42.403590517241383</v>
      </c>
      <c r="Q183" s="250">
        <f>'Revenues &amp; Expenses'!$AM$5*1000*'Revenues &amp; Expenses'!O191</f>
        <v>3.0158356299806193</v>
      </c>
      <c r="S183" s="247">
        <f t="shared" si="15"/>
        <v>0</v>
      </c>
      <c r="T183" s="247">
        <f>'Revenues &amp; Expenses'!$S$3</f>
        <v>310.66000000000003</v>
      </c>
      <c r="U183" s="391">
        <f>T183*'Revenues &amp; Expenses'!F191*4</f>
        <v>27338.080000000002</v>
      </c>
      <c r="W183" s="391">
        <f t="shared" si="16"/>
        <v>0</v>
      </c>
    </row>
    <row r="184" spans="2:23">
      <c r="B184" s="248">
        <v>42156</v>
      </c>
      <c r="C184" s="251">
        <f>VLOOKUP(B184,'Company Gas Prices'!$B$25:$C$259,2)</f>
        <v>3.9125000000000001</v>
      </c>
      <c r="D184" s="250">
        <f>VLOOKUP(B184,'Fuel Curve'!$B$7:$F$268,5)</f>
        <v>4.4201724137931047</v>
      </c>
      <c r="E184" s="250">
        <f t="shared" si="12"/>
        <v>0.50767241379310457</v>
      </c>
      <c r="G184" s="248">
        <v>42156</v>
      </c>
      <c r="H184" s="250">
        <f>VLOOKUP(G184,'Company Power Prices'!$B$25:$C$259,2)</f>
        <v>107.58108249999999</v>
      </c>
      <c r="I184" s="250">
        <f>VLOOKUP(G184,'Super Peak Curve Simulation'!$B$4:$C$225,2)</f>
        <v>81.565562853089006</v>
      </c>
      <c r="J184" s="252">
        <f t="shared" si="13"/>
        <v>-26.015519646910988</v>
      </c>
      <c r="L184" s="248">
        <v>42156</v>
      </c>
      <c r="M184" s="250">
        <f>IF($L$1=1,VLOOKUP(L184,'Super Peak Curve Simulation'!$B$7:$N$225,12),VLOOKUP(L184,'PJM Curve Simulation'!$B$9:$J$246,9))</f>
        <v>66.099998474121094</v>
      </c>
      <c r="N184" s="250">
        <f t="shared" si="14"/>
        <v>45.363370260291262</v>
      </c>
      <c r="P184" s="250">
        <f>IF($L$1=1,VLOOKUP(L184,'Fuel Curve'!$B$7:$H$246,7),VLOOKUP(L184,'Revenues &amp; Expenses'!$K$9:$S$246,9))</f>
        <v>42.34083155172415</v>
      </c>
      <c r="Q184" s="250">
        <f>'Revenues &amp; Expenses'!$AM$5*1000*'Revenues &amp; Expenses'!O192</f>
        <v>3.0225387085671089</v>
      </c>
      <c r="S184" s="247">
        <f t="shared" si="15"/>
        <v>1</v>
      </c>
      <c r="T184" s="247">
        <f>'Revenues &amp; Expenses'!$S$3</f>
        <v>310.66000000000003</v>
      </c>
      <c r="U184" s="391">
        <f>T184*'Revenues &amp; Expenses'!F192*4</f>
        <v>26095.440000000002</v>
      </c>
      <c r="W184" s="391">
        <f t="shared" si="16"/>
        <v>541131.43735630356</v>
      </c>
    </row>
    <row r="185" spans="2:23">
      <c r="B185" s="248">
        <v>42186</v>
      </c>
      <c r="C185" s="251">
        <f>VLOOKUP(B185,'Company Gas Prices'!$B$25:$C$259,2)</f>
        <v>3.8739583299999998</v>
      </c>
      <c r="D185" s="250">
        <f>VLOOKUP(B185,'Fuel Curve'!$B$7:$F$268,5)</f>
        <v>4.477413793103449</v>
      </c>
      <c r="E185" s="250">
        <f t="shared" si="12"/>
        <v>0.60345546310344922</v>
      </c>
      <c r="G185" s="248">
        <v>42186</v>
      </c>
      <c r="H185" s="250">
        <f>VLOOKUP(G185,'Company Power Prices'!$B$25:$C$259,2)</f>
        <v>171.14359540000001</v>
      </c>
      <c r="I185" s="250">
        <f>VLOOKUP(G185,'Super Peak Curve Simulation'!$B$4:$C$225,2)</f>
        <v>155.20436924192205</v>
      </c>
      <c r="J185" s="252">
        <f t="shared" si="13"/>
        <v>-15.939226158077958</v>
      </c>
      <c r="L185" s="248">
        <v>42186</v>
      </c>
      <c r="M185" s="250">
        <f>IF($L$1=1,VLOOKUP(L185,'Super Peak Curve Simulation'!$B$7:$N$225,12),VLOOKUP(L185,'PJM Curve Simulation'!$B$9:$J$246,9))</f>
        <v>118.19999694824219</v>
      </c>
      <c r="N185" s="250">
        <f t="shared" si="14"/>
        <v>45.91840340973696</v>
      </c>
      <c r="P185" s="250">
        <f>IF($L$1=1,VLOOKUP(L185,'Fuel Curve'!$B$7:$H$246,7),VLOOKUP(L185,'Revenues &amp; Expenses'!$K$9:$S$246,9))</f>
        <v>42.889146724137937</v>
      </c>
      <c r="Q185" s="250">
        <f>'Revenues &amp; Expenses'!$AM$5*1000*'Revenues &amp; Expenses'!O193</f>
        <v>3.0292566855990213</v>
      </c>
      <c r="S185" s="247">
        <f t="shared" si="15"/>
        <v>1</v>
      </c>
      <c r="T185" s="247">
        <f>'Revenues &amp; Expenses'!$S$3</f>
        <v>310.66000000000003</v>
      </c>
      <c r="U185" s="391">
        <f>T185*'Revenues &amp; Expenses'!F193*4</f>
        <v>28580.720000000001</v>
      </c>
      <c r="W185" s="391">
        <f t="shared" si="16"/>
        <v>2065859.9860778274</v>
      </c>
    </row>
    <row r="186" spans="2:23">
      <c r="B186" s="248">
        <v>42217</v>
      </c>
      <c r="C186" s="251">
        <f>VLOOKUP(B186,'Company Gas Prices'!$B$25:$C$259,2)</f>
        <v>3.8739583299999998</v>
      </c>
      <c r="D186" s="250">
        <f>VLOOKUP(B186,'Fuel Curve'!$B$7:$F$268,5)</f>
        <v>4.5679310344827595</v>
      </c>
      <c r="E186" s="250">
        <f t="shared" si="12"/>
        <v>0.69397270448275972</v>
      </c>
      <c r="G186" s="248">
        <v>42217</v>
      </c>
      <c r="H186" s="250">
        <f>VLOOKUP(G186,'Company Power Prices'!$B$25:$C$259,2)</f>
        <v>171.14359540000001</v>
      </c>
      <c r="I186" s="250">
        <f>VLOOKUP(G186,'Super Peak Curve Simulation'!$B$4:$C$225,2)</f>
        <v>129.11615279601878</v>
      </c>
      <c r="J186" s="252">
        <f t="shared" si="13"/>
        <v>-42.027442603981228</v>
      </c>
      <c r="L186" s="248">
        <v>42217</v>
      </c>
      <c r="M186" s="250">
        <f>IF($L$1=1,VLOOKUP(L186,'Super Peak Curve Simulation'!$B$7:$N$225,12),VLOOKUP(L186,'PJM Curve Simulation'!$B$9:$J$246,9))</f>
        <v>105.19999694824219</v>
      </c>
      <c r="N186" s="250">
        <f t="shared" si="14"/>
        <v>46.792200973500407</v>
      </c>
      <c r="P186" s="250">
        <f>IF($L$1=1,VLOOKUP(L186,'Fuel Curve'!$B$7:$H$246,7),VLOOKUP(L186,'Revenues &amp; Expenses'!$K$9:$S$246,9))</f>
        <v>43.756211379310358</v>
      </c>
      <c r="Q186" s="250">
        <f>'Revenues &amp; Expenses'!$AM$5*1000*'Revenues &amp; Expenses'!O194</f>
        <v>3.0359895941900472</v>
      </c>
      <c r="S186" s="247">
        <f t="shared" si="15"/>
        <v>1</v>
      </c>
      <c r="T186" s="247">
        <f>'Revenues &amp; Expenses'!$S$3</f>
        <v>310.66000000000003</v>
      </c>
      <c r="U186" s="391">
        <f>T186*'Revenues &amp; Expenses'!F194*4</f>
        <v>26095.440000000002</v>
      </c>
      <c r="W186" s="391">
        <f t="shared" si="16"/>
        <v>1524177.1353911157</v>
      </c>
    </row>
    <row r="187" spans="2:23">
      <c r="B187" s="248">
        <v>42248</v>
      </c>
      <c r="C187" s="251">
        <f>VLOOKUP(B187,'Company Gas Prices'!$B$25:$C$259,2)</f>
        <v>3.91979167</v>
      </c>
      <c r="D187" s="250">
        <f>VLOOKUP(B187,'Fuel Curve'!$B$7:$F$268,5)</f>
        <v>4.6627586206896563</v>
      </c>
      <c r="E187" s="250">
        <f t="shared" si="12"/>
        <v>0.74296695068965635</v>
      </c>
      <c r="G187" s="248">
        <v>42248</v>
      </c>
      <c r="H187" s="250">
        <f>VLOOKUP(G187,'Company Power Prices'!$B$25:$C$259,2)</f>
        <v>59.278648250000003</v>
      </c>
      <c r="I187" s="250">
        <f>VLOOKUP(G187,'Super Peak Curve Simulation'!$B$4:$C$225,2)</f>
        <v>44.961213515912121</v>
      </c>
      <c r="J187" s="252">
        <f t="shared" si="13"/>
        <v>-14.317434734087882</v>
      </c>
      <c r="L187" s="248">
        <v>42248</v>
      </c>
      <c r="M187" s="250">
        <f>IF($L$1=1,VLOOKUP(L187,'Super Peak Curve Simulation'!$B$7:$N$225,12),VLOOKUP(L187,'PJM Curve Simulation'!$B$9:$J$246,9))</f>
        <v>38.924998474121097</v>
      </c>
      <c r="N187" s="250">
        <f t="shared" si="14"/>
        <v>47.707302295113699</v>
      </c>
      <c r="P187" s="250">
        <f>IF($L$1=1,VLOOKUP(L187,'Fuel Curve'!$B$7:$H$246,7),VLOOKUP(L187,'Revenues &amp; Expenses'!$K$9:$S$246,9))</f>
        <v>44.664564827586219</v>
      </c>
      <c r="Q187" s="250">
        <f>'Revenues &amp; Expenses'!$AM$5*1000*'Revenues &amp; Expenses'!O195</f>
        <v>3.0427374675274783</v>
      </c>
      <c r="S187" s="247">
        <f t="shared" si="15"/>
        <v>0</v>
      </c>
      <c r="T187" s="247">
        <f>'Revenues &amp; Expenses'!$S$3</f>
        <v>310.66000000000003</v>
      </c>
      <c r="U187" s="391">
        <f>T187*'Revenues &amp; Expenses'!F195*4</f>
        <v>27338.080000000002</v>
      </c>
      <c r="W187" s="391">
        <f t="shared" si="16"/>
        <v>0</v>
      </c>
    </row>
    <row r="188" spans="2:23">
      <c r="B188" s="248">
        <v>42278</v>
      </c>
      <c r="C188" s="251">
        <f>VLOOKUP(B188,'Company Gas Prices'!$B$25:$C$259,2)</f>
        <v>3.8802083299999999</v>
      </c>
      <c r="D188" s="250">
        <f>VLOOKUP(B188,'Fuel Curve'!$B$7:$F$268,5)</f>
        <v>4.7553448275862067</v>
      </c>
      <c r="E188" s="250">
        <f t="shared" si="12"/>
        <v>0.87513649758620682</v>
      </c>
      <c r="G188" s="248">
        <v>42278</v>
      </c>
      <c r="H188" s="250">
        <f>VLOOKUP(G188,'Company Power Prices'!$B$25:$C$259,2)</f>
        <v>49.610740900000003</v>
      </c>
      <c r="I188" s="250">
        <f>VLOOKUP(G188,'Super Peak Curve Simulation'!$B$4:$C$225,2)</f>
        <v>36.798261073122028</v>
      </c>
      <c r="J188" s="252">
        <f t="shared" si="13"/>
        <v>-12.812479826877976</v>
      </c>
      <c r="L188" s="248">
        <v>42278</v>
      </c>
      <c r="M188" s="250">
        <f>IF($L$1=1,VLOOKUP(L188,'Super Peak Curve Simulation'!$B$7:$N$225,12),VLOOKUP(L188,'PJM Curve Simulation'!$B$9:$J$246,9))</f>
        <v>31.325000381469728</v>
      </c>
      <c r="N188" s="250">
        <f t="shared" si="14"/>
        <v>48.600948442320643</v>
      </c>
      <c r="P188" s="250">
        <f>IF($L$1=1,VLOOKUP(L188,'Fuel Curve'!$B$7:$H$246,7),VLOOKUP(L188,'Revenues &amp; Expenses'!$K$9:$S$246,9))</f>
        <v>45.551448103448273</v>
      </c>
      <c r="Q188" s="250">
        <f>'Revenues &amp; Expenses'!$AM$5*1000*'Revenues &amp; Expenses'!O196</f>
        <v>3.049500338872368</v>
      </c>
      <c r="S188" s="247">
        <f t="shared" si="15"/>
        <v>0</v>
      </c>
      <c r="T188" s="247">
        <f>'Revenues &amp; Expenses'!$S$3</f>
        <v>310.66000000000003</v>
      </c>
      <c r="U188" s="391">
        <f>T188*'Revenues &amp; Expenses'!F196*4</f>
        <v>28580.720000000001</v>
      </c>
      <c r="W188" s="391">
        <f t="shared" si="16"/>
        <v>0</v>
      </c>
    </row>
    <row r="189" spans="2:23">
      <c r="B189" s="248">
        <v>42309</v>
      </c>
      <c r="C189" s="251">
        <f>VLOOKUP(B189,'Company Gas Prices'!$B$25:$C$259,2)</f>
        <v>3.8802083299999999</v>
      </c>
      <c r="D189" s="250">
        <f>VLOOKUP(B189,'Fuel Curve'!$B$7:$F$268,5)</f>
        <v>4.8046551724137938</v>
      </c>
      <c r="E189" s="250">
        <f t="shared" si="12"/>
        <v>0.92444684241379393</v>
      </c>
      <c r="G189" s="248">
        <v>42309</v>
      </c>
      <c r="H189" s="250">
        <f>VLOOKUP(G189,'Company Power Prices'!$B$25:$C$259,2)</f>
        <v>51.339711940000001</v>
      </c>
      <c r="I189" s="250">
        <f>VLOOKUP(G189,'Super Peak Curve Simulation'!$B$4:$C$225,2)</f>
        <v>36.912596847267153</v>
      </c>
      <c r="J189" s="252">
        <f t="shared" si="13"/>
        <v>-14.427115092732848</v>
      </c>
      <c r="L189" s="248">
        <v>42309</v>
      </c>
      <c r="M189" s="250">
        <f>IF($L$1=1,VLOOKUP(L189,'Super Peak Curve Simulation'!$B$7:$N$225,12),VLOOKUP(L189,'PJM Curve Simulation'!$B$9:$J$246,9))</f>
        <v>30.997499084472658</v>
      </c>
      <c r="N189" s="250">
        <f t="shared" si="14"/>
        <v>49.080070138111424</v>
      </c>
      <c r="P189" s="250">
        <f>IF($L$1=1,VLOOKUP(L189,'Fuel Curve'!$B$7:$H$246,7),VLOOKUP(L189,'Revenues &amp; Expenses'!$K$9:$S$246,9))</f>
        <v>46.023791896551728</v>
      </c>
      <c r="Q189" s="250">
        <f>'Revenues &amp; Expenses'!$AM$5*1000*'Revenues &amp; Expenses'!O197</f>
        <v>3.056278241559697</v>
      </c>
      <c r="S189" s="247">
        <f t="shared" si="15"/>
        <v>0</v>
      </c>
      <c r="T189" s="247">
        <f>'Revenues &amp; Expenses'!$S$3</f>
        <v>310.66000000000003</v>
      </c>
      <c r="U189" s="391">
        <f>T189*'Revenues &amp; Expenses'!F197*4</f>
        <v>24852.800000000003</v>
      </c>
      <c r="W189" s="391">
        <f t="shared" si="16"/>
        <v>0</v>
      </c>
    </row>
    <row r="190" spans="2:23">
      <c r="B190" s="248">
        <v>42339</v>
      </c>
      <c r="C190" s="251">
        <f>VLOOKUP(B190,'Company Gas Prices'!$B$25:$C$259,2)</f>
        <v>3.8802083299999999</v>
      </c>
      <c r="D190" s="250">
        <f>VLOOKUP(B190,'Fuel Curve'!$B$7:$F$268,5)</f>
        <v>4.8474137931034491</v>
      </c>
      <c r="E190" s="250">
        <f t="shared" si="12"/>
        <v>0.96720546310344924</v>
      </c>
      <c r="G190" s="248">
        <v>42339</v>
      </c>
      <c r="H190" s="250">
        <f>VLOOKUP(G190,'Company Power Prices'!$B$25:$C$259,2)</f>
        <v>51.339711940000001</v>
      </c>
      <c r="I190" s="250">
        <f>VLOOKUP(G190,'Super Peak Curve Simulation'!$B$4:$C$225,2)</f>
        <v>39.495316947103859</v>
      </c>
      <c r="J190" s="252">
        <f t="shared" si="13"/>
        <v>-11.844394992896142</v>
      </c>
      <c r="L190" s="248">
        <v>42339</v>
      </c>
      <c r="M190" s="250">
        <f>IF($L$1=1,VLOOKUP(L190,'Super Peak Curve Simulation'!$B$7:$N$225,12),VLOOKUP(L190,'PJM Curve Simulation'!$B$9:$J$246,9))</f>
        <v>32.749999618530275</v>
      </c>
      <c r="N190" s="250">
        <f t="shared" si="14"/>
        <v>49.496447933136473</v>
      </c>
      <c r="P190" s="250">
        <f>IF($L$1=1,VLOOKUP(L190,'Fuel Curve'!$B$7:$H$246,7),VLOOKUP(L190,'Revenues &amp; Expenses'!$K$9:$S$246,9))</f>
        <v>46.433376724137936</v>
      </c>
      <c r="Q190" s="250">
        <f>'Revenues &amp; Expenses'!$AM$5*1000*'Revenues &amp; Expenses'!O198</f>
        <v>3.063071208998537</v>
      </c>
      <c r="S190" s="247">
        <f t="shared" si="15"/>
        <v>0</v>
      </c>
      <c r="T190" s="247">
        <f>'Revenues &amp; Expenses'!$S$3</f>
        <v>310.66000000000003</v>
      </c>
      <c r="U190" s="391">
        <f>T190*'Revenues &amp; Expenses'!F198*4</f>
        <v>28580.720000000001</v>
      </c>
      <c r="W190" s="391">
        <f t="shared" si="16"/>
        <v>0</v>
      </c>
    </row>
    <row r="191" spans="2:23">
      <c r="B191" s="248">
        <v>42370</v>
      </c>
      <c r="C191" s="251">
        <f>VLOOKUP(B191,'Company Gas Prices'!$B$25:$C$259,2)</f>
        <v>3.9375</v>
      </c>
      <c r="D191" s="250">
        <f>VLOOKUP(B191,'Fuel Curve'!$B$7:$F$268,5)</f>
        <v>4.7901724137931048</v>
      </c>
      <c r="E191" s="250">
        <f t="shared" si="12"/>
        <v>0.85267241379310477</v>
      </c>
      <c r="G191" s="248">
        <v>42370</v>
      </c>
      <c r="H191" s="250">
        <f>VLOOKUP(G191,'Company Power Prices'!$B$25:$C$259,2)</f>
        <v>48.278161849999996</v>
      </c>
      <c r="I191" s="250">
        <f>VLOOKUP(G191,'Super Peak Curve Simulation'!$B$4:$C$225,2)</f>
        <v>50.673446617986471</v>
      </c>
      <c r="J191" s="252">
        <f t="shared" si="13"/>
        <v>2.3952847679864746</v>
      </c>
      <c r="L191" s="248">
        <v>42370</v>
      </c>
      <c r="M191" s="250">
        <f>IF($L$1=1,VLOOKUP(L191,'Super Peak Curve Simulation'!$B$7:$N$225,12),VLOOKUP(L191,'PJM Curve Simulation'!$B$9:$J$246,9))</f>
        <v>41.324998474121088</v>
      </c>
      <c r="N191" s="250">
        <f t="shared" si="14"/>
        <v>48.954940826396374</v>
      </c>
      <c r="P191" s="250">
        <f>IF($L$1=1,VLOOKUP(L191,'Fuel Curve'!$B$7:$H$246,7),VLOOKUP(L191,'Revenues &amp; Expenses'!$K$9:$S$246,9))</f>
        <v>45.885061551724156</v>
      </c>
      <c r="Q191" s="250">
        <f>'Revenues &amp; Expenses'!$AM$5*1000*'Revenues &amp; Expenses'!O199</f>
        <v>3.0698792746722172</v>
      </c>
      <c r="S191" s="247">
        <f t="shared" si="15"/>
        <v>0</v>
      </c>
      <c r="T191" s="247">
        <f>'Revenues &amp; Expenses'!$S$3</f>
        <v>310.66000000000003</v>
      </c>
      <c r="U191" s="391">
        <f>T191*'Revenues &amp; Expenses'!F199*4</f>
        <v>27338.080000000002</v>
      </c>
      <c r="W191" s="391">
        <f t="shared" si="16"/>
        <v>0</v>
      </c>
    </row>
    <row r="192" spans="2:23">
      <c r="B192" s="248">
        <v>42401</v>
      </c>
      <c r="C192" s="251">
        <f>VLOOKUP(B192,'Company Gas Prices'!$B$25:$C$259,2)</f>
        <v>3.9375</v>
      </c>
      <c r="D192" s="250">
        <f>VLOOKUP(B192,'Fuel Curve'!$B$7:$F$268,5)</f>
        <v>4.6910344827586217</v>
      </c>
      <c r="E192" s="250">
        <f t="shared" si="12"/>
        <v>0.75353448275862167</v>
      </c>
      <c r="G192" s="248">
        <v>42401</v>
      </c>
      <c r="H192" s="250">
        <f>VLOOKUP(G192,'Company Power Prices'!$B$25:$C$259,2)</f>
        <v>42.681394259999998</v>
      </c>
      <c r="I192" s="250">
        <f>VLOOKUP(G192,'Super Peak Curve Simulation'!$B$4:$C$225,2)</f>
        <v>50.673446617986471</v>
      </c>
      <c r="J192" s="252">
        <f t="shared" si="13"/>
        <v>7.9920523579864735</v>
      </c>
      <c r="L192" s="248">
        <v>42401</v>
      </c>
      <c r="M192" s="250">
        <f>IF($L$1=1,VLOOKUP(L192,'Super Peak Curve Simulation'!$B$7:$N$225,12),VLOOKUP(L192,'PJM Curve Simulation'!$B$9:$J$246,9))</f>
        <v>41.324998474121088</v>
      </c>
      <c r="N192" s="250">
        <f t="shared" si="14"/>
        <v>48.01212178248332</v>
      </c>
      <c r="P192" s="250">
        <f>IF($L$1=1,VLOOKUP(L192,'Fuel Curve'!$B$7:$H$246,7),VLOOKUP(L192,'Revenues &amp; Expenses'!$K$9:$S$246,9))</f>
        <v>44.935419310344834</v>
      </c>
      <c r="Q192" s="250">
        <f>'Revenues &amp; Expenses'!$AM$5*1000*'Revenues &amp; Expenses'!O200</f>
        <v>3.0767024721384852</v>
      </c>
      <c r="S192" s="247">
        <f t="shared" si="15"/>
        <v>0</v>
      </c>
      <c r="T192" s="247">
        <f>'Revenues &amp; Expenses'!$S$3</f>
        <v>310.66000000000003</v>
      </c>
      <c r="U192" s="391">
        <f>T192*'Revenues &amp; Expenses'!F200*4</f>
        <v>24852.800000000003</v>
      </c>
      <c r="W192" s="391">
        <f t="shared" si="16"/>
        <v>0</v>
      </c>
    </row>
    <row r="193" spans="2:23">
      <c r="B193" s="248">
        <v>42430</v>
      </c>
      <c r="C193" s="251">
        <f>VLOOKUP(B193,'Company Gas Prices'!$B$25:$C$259,2)</f>
        <v>3.9375</v>
      </c>
      <c r="D193" s="250">
        <f>VLOOKUP(B193,'Fuel Curve'!$B$7:$F$268,5)</f>
        <v>4.5939655172413802</v>
      </c>
      <c r="E193" s="250">
        <f t="shared" si="12"/>
        <v>0.65646551724138025</v>
      </c>
      <c r="G193" s="248">
        <v>42430</v>
      </c>
      <c r="H193" s="250">
        <f>VLOOKUP(G193,'Company Power Prices'!$B$25:$C$259,2)</f>
        <v>42.681394259999998</v>
      </c>
      <c r="I193" s="250">
        <f>VLOOKUP(G193,'Super Peak Curve Simulation'!$B$4:$C$225,2)</f>
        <v>37.763787177906039</v>
      </c>
      <c r="J193" s="252">
        <f t="shared" si="13"/>
        <v>-4.9176070820939586</v>
      </c>
      <c r="L193" s="248">
        <v>42430</v>
      </c>
      <c r="M193" s="250">
        <f>IF($L$1=1,VLOOKUP(L193,'Super Peak Curve Simulation'!$B$7:$N$225,12),VLOOKUP(L193,'PJM Curve Simulation'!$B$9:$J$246,9))</f>
        <v>31.050000762939455</v>
      </c>
      <c r="N193" s="250">
        <f t="shared" si="14"/>
        <v>47.089136524684854</v>
      </c>
      <c r="P193" s="250">
        <f>IF($L$1=1,VLOOKUP(L193,'Fuel Curve'!$B$7:$H$246,7),VLOOKUP(L193,'Revenues &amp; Expenses'!$K$9:$S$246,9))</f>
        <v>44.005595689655181</v>
      </c>
      <c r="Q193" s="250">
        <f>'Revenues &amp; Expenses'!$AM$5*1000*'Revenues &amp; Expenses'!O201</f>
        <v>3.0835408350296758</v>
      </c>
      <c r="S193" s="247">
        <f t="shared" si="15"/>
        <v>0</v>
      </c>
      <c r="T193" s="247">
        <f>'Revenues &amp; Expenses'!$S$3</f>
        <v>310.66000000000003</v>
      </c>
      <c r="U193" s="391">
        <f>T193*'Revenues &amp; Expenses'!F201*4</f>
        <v>28580.720000000001</v>
      </c>
      <c r="W193" s="391">
        <f t="shared" si="16"/>
        <v>0</v>
      </c>
    </row>
    <row r="194" spans="2:23">
      <c r="B194" s="248">
        <v>42461</v>
      </c>
      <c r="C194" s="251">
        <f>VLOOKUP(B194,'Company Gas Prices'!$B$25:$C$259,2)</f>
        <v>4.08229167</v>
      </c>
      <c r="D194" s="250">
        <f>VLOOKUP(B194,'Fuel Curve'!$B$7:$F$268,5)</f>
        <v>4.4939655172413797</v>
      </c>
      <c r="E194" s="250">
        <f t="shared" si="12"/>
        <v>0.41167384724137968</v>
      </c>
      <c r="G194" s="248">
        <v>42461</v>
      </c>
      <c r="H194" s="250">
        <f>VLOOKUP(G194,'Company Power Prices'!$B$25:$C$259,2)</f>
        <v>47.235548139999999</v>
      </c>
      <c r="I194" s="250">
        <f>VLOOKUP(G194,'Super Peak Curve Simulation'!$B$4:$C$225,2)</f>
        <v>34.966718466932925</v>
      </c>
      <c r="J194" s="252">
        <f t="shared" si="13"/>
        <v>-12.268829673067074</v>
      </c>
      <c r="L194" s="248">
        <v>42461</v>
      </c>
      <c r="M194" s="250">
        <f>IF($L$1=1,VLOOKUP(L194,'Super Peak Curve Simulation'!$B$7:$N$225,12),VLOOKUP(L194,'PJM Curve Simulation'!$B$9:$J$246,9))</f>
        <v>30.825000762939453</v>
      </c>
      <c r="N194" s="250">
        <f t="shared" si="14"/>
        <v>46.138090086708054</v>
      </c>
      <c r="P194" s="250">
        <f>IF($L$1=1,VLOOKUP(L194,'Fuel Curve'!$B$7:$H$246,7),VLOOKUP(L194,'Revenues &amp; Expenses'!$K$9:$S$246,9))</f>
        <v>43.047695689655178</v>
      </c>
      <c r="Q194" s="250">
        <f>'Revenues &amp; Expenses'!$AM$5*1000*'Revenues &amp; Expenses'!O202</f>
        <v>3.0903943970528776</v>
      </c>
      <c r="S194" s="247">
        <f t="shared" si="15"/>
        <v>0</v>
      </c>
      <c r="T194" s="247">
        <f>'Revenues &amp; Expenses'!$S$3</f>
        <v>310.66000000000003</v>
      </c>
      <c r="U194" s="391">
        <f>T194*'Revenues &amp; Expenses'!F202*4</f>
        <v>27338.080000000002</v>
      </c>
      <c r="W194" s="391">
        <f t="shared" si="16"/>
        <v>0</v>
      </c>
    </row>
    <row r="195" spans="2:23">
      <c r="B195" s="248">
        <v>42491</v>
      </c>
      <c r="C195" s="251">
        <f>VLOOKUP(B195,'Company Gas Prices'!$B$25:$C$259,2)</f>
        <v>3.91979167</v>
      </c>
      <c r="D195" s="250">
        <f>VLOOKUP(B195,'Fuel Curve'!$B$7:$F$268,5)</f>
        <v>4.4267241379310347</v>
      </c>
      <c r="E195" s="250">
        <f t="shared" si="12"/>
        <v>0.50693246793103475</v>
      </c>
      <c r="G195" s="248">
        <v>42491</v>
      </c>
      <c r="H195" s="250">
        <f>VLOOKUP(G195,'Company Power Prices'!$B$25:$C$259,2)</f>
        <v>60.213965199999997</v>
      </c>
      <c r="I195" s="250">
        <f>VLOOKUP(G195,'Super Peak Curve Simulation'!$B$4:$C$225,2)</f>
        <v>42.622247563332877</v>
      </c>
      <c r="J195" s="252">
        <f t="shared" si="13"/>
        <v>-17.59171763666712</v>
      </c>
      <c r="L195" s="248">
        <v>42491</v>
      </c>
      <c r="M195" s="250">
        <f>IF($L$1=1,VLOOKUP(L195,'Super Peak Curve Simulation'!$B$7:$N$225,12),VLOOKUP(L195,'PJM Curve Simulation'!$B$9:$J$246,9))</f>
        <v>38.825000000000003</v>
      </c>
      <c r="N195" s="250">
        <f t="shared" si="14"/>
        <v>45.500853709231478</v>
      </c>
      <c r="P195" s="250">
        <f>IF($L$1=1,VLOOKUP(L195,'Fuel Curve'!$B$7:$H$246,7),VLOOKUP(L195,'Revenues &amp; Expenses'!$K$9:$S$246,9))</f>
        <v>42.403590517241383</v>
      </c>
      <c r="Q195" s="250">
        <f>'Revenues &amp; Expenses'!$AM$5*1000*'Revenues &amp; Expenses'!O203</f>
        <v>3.0972631919900957</v>
      </c>
      <c r="S195" s="247">
        <f t="shared" si="15"/>
        <v>0</v>
      </c>
      <c r="T195" s="247">
        <f>'Revenues &amp; Expenses'!$S$3</f>
        <v>310.66000000000003</v>
      </c>
      <c r="U195" s="391">
        <f>T195*'Revenues &amp; Expenses'!F203*4</f>
        <v>26095.440000000002</v>
      </c>
      <c r="W195" s="391">
        <f t="shared" si="16"/>
        <v>0</v>
      </c>
    </row>
    <row r="196" spans="2:23">
      <c r="B196" s="248">
        <v>42522</v>
      </c>
      <c r="C196" s="251">
        <f>VLOOKUP(B196,'Company Gas Prices'!$B$25:$C$259,2)</f>
        <v>3.9125000000000001</v>
      </c>
      <c r="D196" s="250">
        <f>VLOOKUP(B196,'Fuel Curve'!$B$7:$F$268,5)</f>
        <v>4.4201724137931047</v>
      </c>
      <c r="E196" s="250">
        <f t="shared" si="12"/>
        <v>0.50767241379310457</v>
      </c>
      <c r="G196" s="248">
        <v>42522</v>
      </c>
      <c r="H196" s="250">
        <f>VLOOKUP(G196,'Company Power Prices'!$B$25:$C$259,2)</f>
        <v>110.5573703</v>
      </c>
      <c r="I196" s="250">
        <f>VLOOKUP(G196,'Super Peak Curve Simulation'!$B$4:$C$225,2)</f>
        <v>82.491042029367151</v>
      </c>
      <c r="J196" s="252">
        <f t="shared" si="13"/>
        <v>-28.066328270632852</v>
      </c>
      <c r="L196" s="248">
        <v>42522</v>
      </c>
      <c r="M196" s="250">
        <f>IF($L$1=1,VLOOKUP(L196,'Super Peak Curve Simulation'!$B$7:$N$225,12),VLOOKUP(L196,'PJM Curve Simulation'!$B$9:$J$246,9))</f>
        <v>66.849998474121094</v>
      </c>
      <c r="N196" s="250">
        <f t="shared" si="14"/>
        <v>45.444978805422572</v>
      </c>
      <c r="P196" s="250">
        <f>IF($L$1=1,VLOOKUP(L196,'Fuel Curve'!$B$7:$H$246,7),VLOOKUP(L196,'Revenues &amp; Expenses'!$K$9:$S$246,9))</f>
        <v>42.34083155172415</v>
      </c>
      <c r="Q196" s="250">
        <f>'Revenues &amp; Expenses'!$AM$5*1000*'Revenues &amp; Expenses'!O204</f>
        <v>3.1041472536984207</v>
      </c>
      <c r="S196" s="247">
        <f t="shared" si="15"/>
        <v>1</v>
      </c>
      <c r="T196" s="247">
        <f>'Revenues &amp; Expenses'!$S$3</f>
        <v>310.66000000000003</v>
      </c>
      <c r="U196" s="391">
        <f>T196*'Revenues &amp; Expenses'!F204*4</f>
        <v>27338.080000000002</v>
      </c>
      <c r="W196" s="391">
        <f t="shared" si="16"/>
        <v>585172.14010445366</v>
      </c>
    </row>
    <row r="197" spans="2:23">
      <c r="B197" s="248">
        <v>42552</v>
      </c>
      <c r="C197" s="251">
        <f>VLOOKUP(B197,'Company Gas Prices'!$B$25:$C$259,2)</f>
        <v>3.8739583299999998</v>
      </c>
      <c r="D197" s="250">
        <f>VLOOKUP(B197,'Fuel Curve'!$B$7:$F$268,5)</f>
        <v>4.477413793103449</v>
      </c>
      <c r="E197" s="250">
        <f t="shared" ref="E197:E238" si="17">D197-C197</f>
        <v>0.60345546310344922</v>
      </c>
      <c r="G197" s="248">
        <v>42552</v>
      </c>
      <c r="H197" s="250">
        <f>VLOOKUP(G197,'Company Power Prices'!$B$25:$C$259,2)</f>
        <v>180.9578376</v>
      </c>
      <c r="I197" s="250">
        <f>VLOOKUP(G197,'Super Peak Curve Simulation'!$B$4:$C$225,2)</f>
        <v>158.15876720986142</v>
      </c>
      <c r="J197" s="252">
        <f t="shared" ref="J197:J238" si="18">I197-H197</f>
        <v>-22.799070390138581</v>
      </c>
      <c r="L197" s="248">
        <v>42552</v>
      </c>
      <c r="M197" s="250">
        <f>IF($L$1=1,VLOOKUP(L197,'Super Peak Curve Simulation'!$B$7:$N$225,12),VLOOKUP(L197,'PJM Curve Simulation'!$B$9:$J$246,9))</f>
        <v>120.44999694824219</v>
      </c>
      <c r="N197" s="250">
        <f t="shared" ref="N197:N238" si="19">P197+Q197</f>
        <v>46.000193340248131</v>
      </c>
      <c r="P197" s="250">
        <f>IF($L$1=1,VLOOKUP(L197,'Fuel Curve'!$B$7:$H$246,7),VLOOKUP(L197,'Revenues &amp; Expenses'!$K$9:$S$246,9))</f>
        <v>42.889146724137937</v>
      </c>
      <c r="Q197" s="250">
        <f>'Revenues &amp; Expenses'!$AM$5*1000*'Revenues &amp; Expenses'!O205</f>
        <v>3.1110466161101944</v>
      </c>
      <c r="S197" s="247">
        <f t="shared" ref="S197:S238" si="20">IF(M197&gt;N197,1,0)</f>
        <v>1</v>
      </c>
      <c r="T197" s="247">
        <f>'Revenues &amp; Expenses'!$S$3</f>
        <v>310.66000000000003</v>
      </c>
      <c r="U197" s="391">
        <f>T197*'Revenues &amp; Expenses'!F205*4</f>
        <v>27338.080000000002</v>
      </c>
      <c r="W197" s="391">
        <f t="shared" ref="W197:W238" si="21">IF(S197&gt;0,(M197-N197)*U197,0)</f>
        <v>2035314.6870196303</v>
      </c>
    </row>
    <row r="198" spans="2:23">
      <c r="B198" s="248">
        <v>42583</v>
      </c>
      <c r="C198" s="251">
        <f>VLOOKUP(B198,'Company Gas Prices'!$B$25:$C$259,2)</f>
        <v>3.8739583299999998</v>
      </c>
      <c r="D198" s="250">
        <f>VLOOKUP(B198,'Fuel Curve'!$B$7:$F$268,5)</f>
        <v>4.5679310344827595</v>
      </c>
      <c r="E198" s="250">
        <f t="shared" si="17"/>
        <v>0.69397270448275972</v>
      </c>
      <c r="G198" s="248">
        <v>42583</v>
      </c>
      <c r="H198" s="250">
        <f>VLOOKUP(G198,'Company Power Prices'!$B$25:$C$259,2)</f>
        <v>180.9578376</v>
      </c>
      <c r="I198" s="250">
        <f>VLOOKUP(G198,'Super Peak Curve Simulation'!$B$4:$C$225,2)</f>
        <v>131.87766755094762</v>
      </c>
      <c r="J198" s="252">
        <f t="shared" si="18"/>
        <v>-49.080170049052384</v>
      </c>
      <c r="L198" s="248">
        <v>42583</v>
      </c>
      <c r="M198" s="250">
        <f>IF($L$1=1,VLOOKUP(L198,'Super Peak Curve Simulation'!$B$7:$N$225,12),VLOOKUP(L198,'PJM Curve Simulation'!$B$9:$J$246,9))</f>
        <v>107.44999694824219</v>
      </c>
      <c r="N198" s="250">
        <f t="shared" si="19"/>
        <v>46.874172692543539</v>
      </c>
      <c r="P198" s="250">
        <f>IF($L$1=1,VLOOKUP(L198,'Fuel Curve'!$B$7:$H$246,7),VLOOKUP(L198,'Revenues &amp; Expenses'!$K$9:$S$246,9))</f>
        <v>43.756211379310358</v>
      </c>
      <c r="Q198" s="250">
        <f>'Revenues &amp; Expenses'!$AM$5*1000*'Revenues &amp; Expenses'!O206</f>
        <v>3.1179613132331787</v>
      </c>
      <c r="S198" s="247">
        <f t="shared" si="20"/>
        <v>1</v>
      </c>
      <c r="T198" s="247">
        <f>'Revenues &amp; Expenses'!$S$3</f>
        <v>310.66000000000003</v>
      </c>
      <c r="U198" s="391">
        <f>T198*'Revenues &amp; Expenses'!F206*4</f>
        <v>27338.080000000002</v>
      </c>
      <c r="W198" s="391">
        <f t="shared" si="21"/>
        <v>1656026.7295682302</v>
      </c>
    </row>
    <row r="199" spans="2:23">
      <c r="B199" s="248">
        <v>42614</v>
      </c>
      <c r="C199" s="251">
        <f>VLOOKUP(B199,'Company Gas Prices'!$B$25:$C$259,2)</f>
        <v>3.91979167</v>
      </c>
      <c r="D199" s="250">
        <f>VLOOKUP(B199,'Fuel Curve'!$B$7:$F$268,5)</f>
        <v>4.6627586206896563</v>
      </c>
      <c r="E199" s="250">
        <f t="shared" si="17"/>
        <v>0.74296695068965635</v>
      </c>
      <c r="G199" s="248">
        <v>42614</v>
      </c>
      <c r="H199" s="250">
        <f>VLOOKUP(G199,'Company Power Prices'!$B$25:$C$259,2)</f>
        <v>60.213965199999997</v>
      </c>
      <c r="I199" s="250">
        <f>VLOOKUP(G199,'Super Peak Curve Simulation'!$B$4:$C$225,2)</f>
        <v>45.538749999899451</v>
      </c>
      <c r="J199" s="252">
        <f t="shared" si="18"/>
        <v>-14.675215200100546</v>
      </c>
      <c r="L199" s="248">
        <v>42614</v>
      </c>
      <c r="M199" s="250">
        <f>IF($L$1=1,VLOOKUP(L199,'Super Peak Curve Simulation'!$B$7:$N$225,12),VLOOKUP(L199,'PJM Curve Simulation'!$B$9:$J$246,9))</f>
        <v>39.424998474121097</v>
      </c>
      <c r="N199" s="250">
        <f t="shared" si="19"/>
        <v>47.789456206736936</v>
      </c>
      <c r="P199" s="250">
        <f>IF($L$1=1,VLOOKUP(L199,'Fuel Curve'!$B$7:$H$246,7),VLOOKUP(L199,'Revenues &amp; Expenses'!$K$9:$S$246,9))</f>
        <v>44.664564827586219</v>
      </c>
      <c r="Q199" s="250">
        <f>'Revenues &amp; Expenses'!$AM$5*1000*'Revenues &amp; Expenses'!O207</f>
        <v>3.12489137915072</v>
      </c>
      <c r="S199" s="247">
        <f t="shared" si="20"/>
        <v>0</v>
      </c>
      <c r="T199" s="247">
        <f>'Revenues &amp; Expenses'!$S$3</f>
        <v>310.66000000000003</v>
      </c>
      <c r="U199" s="391">
        <f>T199*'Revenues &amp; Expenses'!F207*4</f>
        <v>27338.080000000002</v>
      </c>
      <c r="W199" s="391">
        <f t="shared" si="21"/>
        <v>0</v>
      </c>
    </row>
    <row r="200" spans="2:23">
      <c r="B200" s="248">
        <v>42644</v>
      </c>
      <c r="C200" s="251">
        <f>VLOOKUP(B200,'Company Gas Prices'!$B$25:$C$259,2)</f>
        <v>3.8802083299999999</v>
      </c>
      <c r="D200" s="250">
        <f>VLOOKUP(B200,'Fuel Curve'!$B$7:$F$268,5)</f>
        <v>4.7553448275862067</v>
      </c>
      <c r="E200" s="250">
        <f t="shared" si="17"/>
        <v>0.87513649758620682</v>
      </c>
      <c r="G200" s="248">
        <v>42644</v>
      </c>
      <c r="H200" s="250">
        <f>VLOOKUP(G200,'Company Power Prices'!$B$25:$C$259,2)</f>
        <v>49.635343859999999</v>
      </c>
      <c r="I200" s="250">
        <f>VLOOKUP(G200,'Super Peak Curve Simulation'!$B$4:$C$225,2)</f>
        <v>37.091942323122026</v>
      </c>
      <c r="J200" s="252">
        <f t="shared" si="18"/>
        <v>-12.543401536877973</v>
      </c>
      <c r="L200" s="248">
        <v>42644</v>
      </c>
      <c r="M200" s="250">
        <f>IF($L$1=1,VLOOKUP(L200,'Super Peak Curve Simulation'!$B$7:$N$225,12),VLOOKUP(L200,'PJM Curve Simulation'!$B$9:$J$246,9))</f>
        <v>31.575000381469728</v>
      </c>
      <c r="N200" s="250">
        <f t="shared" si="19"/>
        <v>48.683284951470192</v>
      </c>
      <c r="P200" s="250">
        <f>IF($L$1=1,VLOOKUP(L200,'Fuel Curve'!$B$7:$H$246,7),VLOOKUP(L200,'Revenues &amp; Expenses'!$K$9:$S$246,9))</f>
        <v>45.551448103448273</v>
      </c>
      <c r="Q200" s="250">
        <f>'Revenues &amp; Expenses'!$AM$5*1000*'Revenues &amp; Expenses'!O208</f>
        <v>3.1318368480219214</v>
      </c>
      <c r="S200" s="247">
        <f t="shared" si="20"/>
        <v>0</v>
      </c>
      <c r="T200" s="247">
        <f>'Revenues &amp; Expenses'!$S$3</f>
        <v>310.66000000000003</v>
      </c>
      <c r="U200" s="391">
        <f>T200*'Revenues &amp; Expenses'!F208*4</f>
        <v>26095.440000000002</v>
      </c>
      <c r="W200" s="391">
        <f t="shared" si="21"/>
        <v>0</v>
      </c>
    </row>
    <row r="201" spans="2:23">
      <c r="B201" s="248">
        <v>42675</v>
      </c>
      <c r="C201" s="251">
        <f>VLOOKUP(B201,'Company Gas Prices'!$B$25:$C$259,2)</f>
        <v>3.8802083299999999</v>
      </c>
      <c r="D201" s="250">
        <f>VLOOKUP(B201,'Fuel Curve'!$B$7:$F$268,5)</f>
        <v>4.8046551724137938</v>
      </c>
      <c r="E201" s="250">
        <f t="shared" si="17"/>
        <v>0.92444684241379393</v>
      </c>
      <c r="G201" s="248">
        <v>42675</v>
      </c>
      <c r="H201" s="250">
        <f>VLOOKUP(G201,'Company Power Prices'!$B$25:$C$259,2)</f>
        <v>51.334918649999999</v>
      </c>
      <c r="I201" s="250">
        <f>VLOOKUP(G201,'Super Peak Curve Simulation'!$B$4:$C$225,2)</f>
        <v>37.210303097267158</v>
      </c>
      <c r="J201" s="252">
        <f t="shared" si="18"/>
        <v>-14.124615552732841</v>
      </c>
      <c r="L201" s="248">
        <v>42675</v>
      </c>
      <c r="M201" s="250">
        <f>IF($L$1=1,VLOOKUP(L201,'Super Peak Curve Simulation'!$B$7:$N$225,12),VLOOKUP(L201,'PJM Curve Simulation'!$B$9:$J$246,9))</f>
        <v>31.247499084472658</v>
      </c>
      <c r="N201" s="250">
        <f t="shared" si="19"/>
        <v>49.162589650633535</v>
      </c>
      <c r="P201" s="250">
        <f>IF($L$1=1,VLOOKUP(L201,'Fuel Curve'!$B$7:$H$246,7),VLOOKUP(L201,'Revenues &amp; Expenses'!$K$9:$S$246,9))</f>
        <v>46.023791896551728</v>
      </c>
      <c r="Q201" s="250">
        <f>'Revenues &amp; Expenses'!$AM$5*1000*'Revenues &amp; Expenses'!O209</f>
        <v>3.1387977540818088</v>
      </c>
      <c r="S201" s="247">
        <f t="shared" si="20"/>
        <v>0</v>
      </c>
      <c r="T201" s="247">
        <f>'Revenues &amp; Expenses'!$S$3</f>
        <v>310.66000000000003</v>
      </c>
      <c r="U201" s="391">
        <f>T201*'Revenues &amp; Expenses'!F209*4</f>
        <v>27338.080000000002</v>
      </c>
      <c r="W201" s="391">
        <f t="shared" si="21"/>
        <v>0</v>
      </c>
    </row>
    <row r="202" spans="2:23">
      <c r="B202" s="248">
        <v>42705</v>
      </c>
      <c r="C202" s="251">
        <f>VLOOKUP(B202,'Company Gas Prices'!$B$25:$C$259,2)</f>
        <v>3.8802083299999999</v>
      </c>
      <c r="D202" s="250">
        <f>VLOOKUP(B202,'Fuel Curve'!$B$7:$F$268,5)</f>
        <v>4.8474137931034491</v>
      </c>
      <c r="E202" s="250">
        <f t="shared" si="17"/>
        <v>0.96720546310344924</v>
      </c>
      <c r="G202" s="248">
        <v>42705</v>
      </c>
      <c r="H202" s="250">
        <f>VLOOKUP(G202,'Company Power Prices'!$B$25:$C$259,2)</f>
        <v>51.334918649999999</v>
      </c>
      <c r="I202" s="250">
        <f>VLOOKUP(G202,'Super Peak Curve Simulation'!$B$4:$C$225,2)</f>
        <v>39.79680791967747</v>
      </c>
      <c r="J202" s="252">
        <f t="shared" si="18"/>
        <v>-11.538110730322529</v>
      </c>
      <c r="L202" s="248">
        <v>42705</v>
      </c>
      <c r="M202" s="250">
        <f>IF($L$1=1,VLOOKUP(L202,'Super Peak Curve Simulation'!$B$7:$N$225,12),VLOOKUP(L202,'PJM Curve Simulation'!$B$9:$J$246,9))</f>
        <v>32.999999618530275</v>
      </c>
      <c r="N202" s="250">
        <f t="shared" si="19"/>
        <v>49.579150855779432</v>
      </c>
      <c r="P202" s="250">
        <f>IF($L$1=1,VLOOKUP(L202,'Fuel Curve'!$B$7:$H$246,7),VLOOKUP(L202,'Revenues &amp; Expenses'!$K$9:$S$246,9))</f>
        <v>46.433376724137936</v>
      </c>
      <c r="Q202" s="250">
        <f>'Revenues &amp; Expenses'!$AM$5*1000*'Revenues &amp; Expenses'!O210</f>
        <v>3.1457741316414971</v>
      </c>
      <c r="S202" s="247">
        <f t="shared" si="20"/>
        <v>0</v>
      </c>
      <c r="T202" s="247">
        <f>'Revenues &amp; Expenses'!$S$3</f>
        <v>310.66000000000003</v>
      </c>
      <c r="U202" s="391">
        <f>T202*'Revenues &amp; Expenses'!F210*4</f>
        <v>28580.720000000001</v>
      </c>
      <c r="W202" s="391">
        <f t="shared" si="21"/>
        <v>0</v>
      </c>
    </row>
    <row r="203" spans="2:23">
      <c r="B203" s="248">
        <v>42736</v>
      </c>
      <c r="C203" s="251">
        <f>VLOOKUP(B203,'Company Gas Prices'!$B$25:$C$259,2)</f>
        <v>3.9375</v>
      </c>
      <c r="D203" s="250">
        <f>VLOOKUP(B203,'Fuel Curve'!$B$7:$F$268,5)</f>
        <v>4.7901724137931048</v>
      </c>
      <c r="E203" s="250">
        <f t="shared" si="17"/>
        <v>0.85267241379310477</v>
      </c>
      <c r="G203" s="248">
        <v>42736</v>
      </c>
      <c r="H203" s="250">
        <f>VLOOKUP(G203,'Company Power Prices'!$B$25:$C$259,2)</f>
        <v>48.241320610000002</v>
      </c>
      <c r="I203" s="250">
        <f>VLOOKUP(G203,'Super Peak Curve Simulation'!$B$4:$C$225,2)</f>
        <v>50.980001055306772</v>
      </c>
      <c r="J203" s="252">
        <f t="shared" si="18"/>
        <v>2.7386804453067697</v>
      </c>
      <c r="L203" s="248">
        <v>42736</v>
      </c>
      <c r="M203" s="250">
        <f>IF($L$1=1,VLOOKUP(L203,'Super Peak Curve Simulation'!$B$7:$N$225,12),VLOOKUP(L203,'PJM Curve Simulation'!$B$9:$J$246,9))</f>
        <v>41.574998474121088</v>
      </c>
      <c r="N203" s="250">
        <f t="shared" si="19"/>
        <v>49.037827566812524</v>
      </c>
      <c r="P203" s="250">
        <f>IF($L$1=1,VLOOKUP(L203,'Fuel Curve'!$B$7:$H$246,7),VLOOKUP(L203,'Revenues &amp; Expenses'!$K$9:$S$246,9))</f>
        <v>45.885061551724156</v>
      </c>
      <c r="Q203" s="250">
        <f>'Revenues &amp; Expenses'!$AM$5*1000*'Revenues &amp; Expenses'!O211</f>
        <v>3.1527660150883667</v>
      </c>
      <c r="S203" s="247">
        <f t="shared" si="20"/>
        <v>0</v>
      </c>
      <c r="T203" s="247">
        <f>'Revenues &amp; Expenses'!$S$3</f>
        <v>310.66000000000003</v>
      </c>
      <c r="U203" s="391">
        <f>T203*'Revenues &amp; Expenses'!F211*4</f>
        <v>28580.720000000001</v>
      </c>
      <c r="W203" s="391">
        <f t="shared" si="21"/>
        <v>0</v>
      </c>
    </row>
    <row r="204" spans="2:23">
      <c r="B204" s="248">
        <v>42767</v>
      </c>
      <c r="C204" s="251">
        <f>VLOOKUP(B204,'Company Gas Prices'!$B$25:$C$259,2)</f>
        <v>3.9375</v>
      </c>
      <c r="D204" s="250">
        <f>VLOOKUP(B204,'Fuel Curve'!$B$7:$F$268,5)</f>
        <v>4.6910344827586217</v>
      </c>
      <c r="E204" s="250">
        <f t="shared" si="17"/>
        <v>0.75353448275862167</v>
      </c>
      <c r="G204" s="248">
        <v>42767</v>
      </c>
      <c r="H204" s="250">
        <f>VLOOKUP(G204,'Company Power Prices'!$B$25:$C$259,2)</f>
        <v>42.643273039999997</v>
      </c>
      <c r="I204" s="250">
        <f>VLOOKUP(G204,'Super Peak Curve Simulation'!$B$4:$C$225,2)</f>
        <v>50.980001055306772</v>
      </c>
      <c r="J204" s="252">
        <f t="shared" si="18"/>
        <v>8.3367280153067753</v>
      </c>
      <c r="L204" s="248">
        <v>42767</v>
      </c>
      <c r="M204" s="250">
        <f>IF($L$1=1,VLOOKUP(L204,'Super Peak Curve Simulation'!$B$7:$N$225,12),VLOOKUP(L204,'PJM Curve Simulation'!$B$9:$J$246,9))</f>
        <v>41.574998474121088</v>
      </c>
      <c r="N204" s="250">
        <f t="shared" si="19"/>
        <v>48.09519274923106</v>
      </c>
      <c r="P204" s="250">
        <f>IF($L$1=1,VLOOKUP(L204,'Fuel Curve'!$B$7:$H$246,7),VLOOKUP(L204,'Revenues &amp; Expenses'!$K$9:$S$246,9))</f>
        <v>44.935419310344834</v>
      </c>
      <c r="Q204" s="250">
        <f>'Revenues &amp; Expenses'!$AM$5*1000*'Revenues &amp; Expenses'!O212</f>
        <v>3.1597734388862238</v>
      </c>
      <c r="S204" s="247">
        <f t="shared" si="20"/>
        <v>0</v>
      </c>
      <c r="T204" s="247">
        <f>'Revenues &amp; Expenses'!$S$3</f>
        <v>310.66000000000003</v>
      </c>
      <c r="U204" s="391">
        <f>T204*'Revenues &amp; Expenses'!F212*4</f>
        <v>24852.800000000003</v>
      </c>
      <c r="W204" s="391">
        <f t="shared" si="21"/>
        <v>0</v>
      </c>
    </row>
    <row r="205" spans="2:23">
      <c r="B205" s="248">
        <v>42795</v>
      </c>
      <c r="C205" s="251">
        <f>VLOOKUP(B205,'Company Gas Prices'!$B$25:$C$259,2)</f>
        <v>3.9375</v>
      </c>
      <c r="D205" s="250">
        <f>VLOOKUP(B205,'Fuel Curve'!$B$7:$F$268,5)</f>
        <v>4.5939655172413802</v>
      </c>
      <c r="E205" s="250">
        <f t="shared" si="17"/>
        <v>0.65646551724138025</v>
      </c>
      <c r="G205" s="248">
        <v>42795</v>
      </c>
      <c r="H205" s="250">
        <f>VLOOKUP(G205,'Company Power Prices'!$B$25:$C$259,2)</f>
        <v>42.643273039999997</v>
      </c>
      <c r="I205" s="250">
        <f>VLOOKUP(G205,'Super Peak Curve Simulation'!$B$4:$C$225,2)</f>
        <v>38.067843427906041</v>
      </c>
      <c r="J205" s="252">
        <f t="shared" si="18"/>
        <v>-4.5754296120939557</v>
      </c>
      <c r="L205" s="248">
        <v>42795</v>
      </c>
      <c r="M205" s="250">
        <f>IF($L$1=1,VLOOKUP(L205,'Super Peak Curve Simulation'!$B$7:$N$225,12),VLOOKUP(L205,'PJM Curve Simulation'!$B$9:$J$246,9))</f>
        <v>31.300000762939455</v>
      </c>
      <c r="N205" s="250">
        <f t="shared" si="19"/>
        <v>47.172392127230658</v>
      </c>
      <c r="P205" s="250">
        <f>IF($L$1=1,VLOOKUP(L205,'Fuel Curve'!$B$7:$H$246,7),VLOOKUP(L205,'Revenues &amp; Expenses'!$K$9:$S$246,9))</f>
        <v>44.005595689655181</v>
      </c>
      <c r="Q205" s="250">
        <f>'Revenues &amp; Expenses'!$AM$5*1000*'Revenues &amp; Expenses'!O213</f>
        <v>3.1667964375754769</v>
      </c>
      <c r="S205" s="247">
        <f t="shared" si="20"/>
        <v>0</v>
      </c>
      <c r="T205" s="247">
        <f>'Revenues &amp; Expenses'!$S$3</f>
        <v>310.66000000000003</v>
      </c>
      <c r="U205" s="391">
        <f>T205*'Revenues &amp; Expenses'!F213*4</f>
        <v>27338.080000000002</v>
      </c>
      <c r="W205" s="391">
        <f t="shared" si="21"/>
        <v>0</v>
      </c>
    </row>
    <row r="206" spans="2:23">
      <c r="B206" s="248">
        <v>42826</v>
      </c>
      <c r="C206" s="251">
        <f>VLOOKUP(B206,'Company Gas Prices'!$B$25:$C$259,2)</f>
        <v>4.08229167</v>
      </c>
      <c r="D206" s="250">
        <f>VLOOKUP(B206,'Fuel Curve'!$B$7:$F$268,5)</f>
        <v>4.4939655172413797</v>
      </c>
      <c r="E206" s="250">
        <f t="shared" si="17"/>
        <v>0.41167384724137968</v>
      </c>
      <c r="G206" s="248">
        <v>42826</v>
      </c>
      <c r="H206" s="250">
        <f>VLOOKUP(G206,'Company Power Prices'!$B$25:$C$259,2)</f>
        <v>47.271625739999998</v>
      </c>
      <c r="I206" s="250">
        <f>VLOOKUP(G206,'Super Peak Curve Simulation'!$B$4:$C$225,2)</f>
        <v>35.250309039532141</v>
      </c>
      <c r="J206" s="252">
        <f t="shared" si="18"/>
        <v>-12.021316700467857</v>
      </c>
      <c r="L206" s="248">
        <v>42826</v>
      </c>
      <c r="M206" s="250">
        <f>IF($L$1=1,VLOOKUP(L206,'Super Peak Curve Simulation'!$B$7:$N$225,12),VLOOKUP(L206,'PJM Curve Simulation'!$B$9:$J$246,9))</f>
        <v>31.075000762939453</v>
      </c>
      <c r="N206" s="250">
        <f t="shared" si="19"/>
        <v>46.22153073542848</v>
      </c>
      <c r="P206" s="250">
        <f>IF($L$1=1,VLOOKUP(L206,'Fuel Curve'!$B$7:$H$246,7),VLOOKUP(L206,'Revenues &amp; Expenses'!$K$9:$S$246,9))</f>
        <v>43.047695689655178</v>
      </c>
      <c r="Q206" s="250">
        <f>'Revenues &amp; Expenses'!$AM$5*1000*'Revenues &amp; Expenses'!O214</f>
        <v>3.1738350457733051</v>
      </c>
      <c r="S206" s="247">
        <f t="shared" si="20"/>
        <v>0</v>
      </c>
      <c r="T206" s="247">
        <f>'Revenues &amp; Expenses'!$S$3</f>
        <v>310.66000000000003</v>
      </c>
      <c r="U206" s="391">
        <f>T206*'Revenues &amp; Expenses'!F214*4</f>
        <v>26095.440000000002</v>
      </c>
      <c r="W206" s="391">
        <f t="shared" si="21"/>
        <v>0</v>
      </c>
    </row>
    <row r="207" spans="2:23">
      <c r="B207" s="248">
        <v>42856</v>
      </c>
      <c r="C207" s="251">
        <f>VLOOKUP(B207,'Company Gas Prices'!$B$25:$C$259,2)</f>
        <v>3.91979167</v>
      </c>
      <c r="D207" s="250">
        <f>VLOOKUP(B207,'Fuel Curve'!$B$7:$F$268,5)</f>
        <v>4.4267241379310347</v>
      </c>
      <c r="E207" s="250">
        <f t="shared" si="17"/>
        <v>0.50693246793103475</v>
      </c>
      <c r="G207" s="248">
        <v>42856</v>
      </c>
      <c r="H207" s="250">
        <f>VLOOKUP(G207,'Company Power Prices'!$B$25:$C$259,2)</f>
        <v>60.133431620000003</v>
      </c>
      <c r="I207" s="250">
        <f>VLOOKUP(G207,'Super Peak Curve Simulation'!$B$4:$C$225,2)</f>
        <v>42.896698610102575</v>
      </c>
      <c r="J207" s="252">
        <f t="shared" si="18"/>
        <v>-17.236733009897428</v>
      </c>
      <c r="L207" s="248">
        <v>42856</v>
      </c>
      <c r="M207" s="250">
        <f>IF($L$1=1,VLOOKUP(L207,'Super Peak Curve Simulation'!$B$7:$N$225,12),VLOOKUP(L207,'PJM Curve Simulation'!$B$9:$J$246,9))</f>
        <v>39.075000000000003</v>
      </c>
      <c r="N207" s="250">
        <f t="shared" si="19"/>
        <v>45.584479815415214</v>
      </c>
      <c r="P207" s="250">
        <f>IF($L$1=1,VLOOKUP(L207,'Fuel Curve'!$B$7:$H$246,7),VLOOKUP(L207,'Revenues &amp; Expenses'!$K$9:$S$246,9))</f>
        <v>42.403590517241383</v>
      </c>
      <c r="Q207" s="250">
        <f>'Revenues &amp; Expenses'!$AM$5*1000*'Revenues &amp; Expenses'!O215</f>
        <v>3.1808892981738279</v>
      </c>
      <c r="S207" s="247">
        <f t="shared" si="20"/>
        <v>0</v>
      </c>
      <c r="T207" s="247">
        <f>'Revenues &amp; Expenses'!$S$3</f>
        <v>310.66000000000003</v>
      </c>
      <c r="U207" s="391">
        <f>T207*'Revenues &amp; Expenses'!F215*4</f>
        <v>28580.720000000001</v>
      </c>
      <c r="W207" s="391">
        <f t="shared" si="21"/>
        <v>0</v>
      </c>
    </row>
    <row r="208" spans="2:23">
      <c r="B208" s="248">
        <v>42887</v>
      </c>
      <c r="C208" s="251">
        <f>VLOOKUP(B208,'Company Gas Prices'!$B$25:$C$259,2)</f>
        <v>3.9125000000000001</v>
      </c>
      <c r="D208" s="250">
        <f>VLOOKUP(B208,'Fuel Curve'!$B$7:$F$268,5)</f>
        <v>4.4201724137931047</v>
      </c>
      <c r="E208" s="250">
        <f t="shared" si="17"/>
        <v>0.50767241379310457</v>
      </c>
      <c r="G208" s="248">
        <v>42887</v>
      </c>
      <c r="H208" s="250">
        <f>VLOOKUP(G208,'Company Power Prices'!$B$25:$C$259,2)</f>
        <v>110.1751727</v>
      </c>
      <c r="I208" s="250">
        <f>VLOOKUP(G208,'Super Peak Curve Simulation'!$B$4:$C$225,2)</f>
        <v>83.416521205645296</v>
      </c>
      <c r="J208" s="252">
        <f t="shared" si="18"/>
        <v>-26.758651494354709</v>
      </c>
      <c r="L208" s="248">
        <v>42887</v>
      </c>
      <c r="M208" s="250">
        <f>IF($L$1=1,VLOOKUP(L208,'Super Peak Curve Simulation'!$B$7:$N$225,12),VLOOKUP(L208,'PJM Curve Simulation'!$B$9:$J$246,9))</f>
        <v>67.599998474121094</v>
      </c>
      <c r="N208" s="250">
        <f t="shared" si="19"/>
        <v>45.528790781272427</v>
      </c>
      <c r="P208" s="250">
        <f>IF($L$1=1,VLOOKUP(L208,'Fuel Curve'!$B$7:$H$246,7),VLOOKUP(L208,'Revenues &amp; Expenses'!$K$9:$S$246,9))</f>
        <v>42.34083155172415</v>
      </c>
      <c r="Q208" s="250">
        <f>'Revenues &amp; Expenses'!$AM$5*1000*'Revenues &amp; Expenses'!O216</f>
        <v>3.1879592295482775</v>
      </c>
      <c r="S208" s="247">
        <f t="shared" si="20"/>
        <v>1</v>
      </c>
      <c r="T208" s="247">
        <f>'Revenues &amp; Expenses'!$S$3</f>
        <v>310.66000000000003</v>
      </c>
      <c r="U208" s="391">
        <f>T208*'Revenues &amp; Expenses'!F216*4</f>
        <v>26095.440000000002</v>
      </c>
      <c r="W208" s="391">
        <f t="shared" si="21"/>
        <v>575957.87607627083</v>
      </c>
    </row>
    <row r="209" spans="2:23">
      <c r="B209" s="248">
        <v>42917</v>
      </c>
      <c r="C209" s="251">
        <f>VLOOKUP(B209,'Company Gas Prices'!$B$25:$C$259,2)</f>
        <v>3.8739583299999998</v>
      </c>
      <c r="D209" s="250">
        <f>VLOOKUP(B209,'Fuel Curve'!$B$7:$F$268,5)</f>
        <v>4.477413793103449</v>
      </c>
      <c r="E209" s="250">
        <f t="shared" si="17"/>
        <v>0.60345546310344922</v>
      </c>
      <c r="G209" s="248">
        <v>42917</v>
      </c>
      <c r="H209" s="250">
        <f>VLOOKUP(G209,'Company Power Prices'!$B$25:$C$259,2)</f>
        <v>180.10846520000001</v>
      </c>
      <c r="I209" s="250">
        <f>VLOOKUP(G209,'Super Peak Curve Simulation'!$B$4:$C$225,2)</f>
        <v>161.11316517780077</v>
      </c>
      <c r="J209" s="252">
        <f t="shared" si="18"/>
        <v>-18.995300022199245</v>
      </c>
      <c r="L209" s="248">
        <v>42917</v>
      </c>
      <c r="M209" s="250">
        <f>IF($L$1=1,VLOOKUP(L209,'Super Peak Curve Simulation'!$B$7:$N$225,12),VLOOKUP(L209,'PJM Curve Simulation'!$B$9:$J$246,9))</f>
        <v>122.69999694824219</v>
      </c>
      <c r="N209" s="250">
        <f t="shared" si="19"/>
        <v>46.084191598883109</v>
      </c>
      <c r="P209" s="250">
        <f>IF($L$1=1,VLOOKUP(L209,'Fuel Curve'!$B$7:$H$246,7),VLOOKUP(L209,'Revenues &amp; Expenses'!$K$9:$S$246,9))</f>
        <v>42.889146724137937</v>
      </c>
      <c r="Q209" s="250">
        <f>'Revenues &amp; Expenses'!$AM$5*1000*'Revenues &amp; Expenses'!O217</f>
        <v>3.1950448747451694</v>
      </c>
      <c r="S209" s="247">
        <f t="shared" si="20"/>
        <v>1</v>
      </c>
      <c r="T209" s="247">
        <f>'Revenues &amp; Expenses'!$S$3</f>
        <v>310.66000000000003</v>
      </c>
      <c r="U209" s="391">
        <f>T209*'Revenues &amp; Expenses'!F217*4</f>
        <v>27338.080000000002</v>
      </c>
      <c r="W209" s="391">
        <f t="shared" si="21"/>
        <v>2094529.0159052066</v>
      </c>
    </row>
    <row r="210" spans="2:23">
      <c r="B210" s="248">
        <v>42948</v>
      </c>
      <c r="C210" s="251">
        <f>VLOOKUP(B210,'Company Gas Prices'!$B$25:$C$259,2)</f>
        <v>3.8739583299999998</v>
      </c>
      <c r="D210" s="250">
        <f>VLOOKUP(B210,'Fuel Curve'!$B$7:$F$268,5)</f>
        <v>4.5679310344827595</v>
      </c>
      <c r="E210" s="250">
        <f t="shared" si="17"/>
        <v>0.69397270448275972</v>
      </c>
      <c r="G210" s="248">
        <v>42948</v>
      </c>
      <c r="H210" s="250">
        <f>VLOOKUP(G210,'Company Power Prices'!$B$25:$C$259,2)</f>
        <v>180.10846520000001</v>
      </c>
      <c r="I210" s="250">
        <f>VLOOKUP(G210,'Super Peak Curve Simulation'!$B$4:$C$225,2)</f>
        <v>134.63918230587652</v>
      </c>
      <c r="J210" s="252">
        <f t="shared" si="18"/>
        <v>-45.469282894123495</v>
      </c>
      <c r="L210" s="248">
        <v>42948</v>
      </c>
      <c r="M210" s="250">
        <f>IF($L$1=1,VLOOKUP(L210,'Super Peak Curve Simulation'!$B$7:$N$225,12),VLOOKUP(L210,'PJM Curve Simulation'!$B$9:$J$246,9))</f>
        <v>109.69999694824219</v>
      </c>
      <c r="N210" s="250">
        <f t="shared" si="19"/>
        <v>46.958357648000835</v>
      </c>
      <c r="P210" s="250">
        <f>IF($L$1=1,VLOOKUP(L210,'Fuel Curve'!$B$7:$H$246,7),VLOOKUP(L210,'Revenues &amp; Expenses'!$K$9:$S$246,9))</f>
        <v>43.756211379310358</v>
      </c>
      <c r="Q210" s="250">
        <f>'Revenues &amp; Expenses'!$AM$5*1000*'Revenues &amp; Expenses'!O218</f>
        <v>3.2021462686904743</v>
      </c>
      <c r="S210" s="247">
        <f t="shared" si="20"/>
        <v>1</v>
      </c>
      <c r="T210" s="247">
        <f>'Revenues &amp; Expenses'!$S$3</f>
        <v>310.66000000000003</v>
      </c>
      <c r="U210" s="391">
        <f>T210*'Revenues &amp; Expenses'!F218*4</f>
        <v>28580.720000000001</v>
      </c>
      <c r="W210" s="391">
        <f t="shared" si="21"/>
        <v>1793201.225181194</v>
      </c>
    </row>
    <row r="211" spans="2:23">
      <c r="B211" s="248">
        <v>42979</v>
      </c>
      <c r="C211" s="251">
        <f>VLOOKUP(B211,'Company Gas Prices'!$B$25:$C$259,2)</f>
        <v>3.91979167</v>
      </c>
      <c r="D211" s="250">
        <f>VLOOKUP(B211,'Fuel Curve'!$B$7:$F$268,5)</f>
        <v>4.6627586206896563</v>
      </c>
      <c r="E211" s="250">
        <f t="shared" si="17"/>
        <v>0.74296695068965635</v>
      </c>
      <c r="G211" s="248">
        <v>42979</v>
      </c>
      <c r="H211" s="250">
        <f>VLOOKUP(G211,'Company Power Prices'!$B$25:$C$259,2)</f>
        <v>60.133431620000003</v>
      </c>
      <c r="I211" s="250">
        <f>VLOOKUP(G211,'Super Peak Curve Simulation'!$B$4:$C$225,2)</f>
        <v>46.116286483886782</v>
      </c>
      <c r="J211" s="252">
        <f t="shared" si="18"/>
        <v>-14.017145136113221</v>
      </c>
      <c r="L211" s="248">
        <v>42979</v>
      </c>
      <c r="M211" s="250">
        <f>IF($L$1=1,VLOOKUP(L211,'Super Peak Curve Simulation'!$B$7:$N$225,12),VLOOKUP(L211,'PJM Curve Simulation'!$B$9:$J$246,9))</f>
        <v>39.924998474121097</v>
      </c>
      <c r="N211" s="250">
        <f t="shared" si="19"/>
        <v>47.873828273974006</v>
      </c>
      <c r="P211" s="250">
        <f>IF($L$1=1,VLOOKUP(L211,'Fuel Curve'!$B$7:$H$246,7),VLOOKUP(L211,'Revenues &amp; Expenses'!$K$9:$S$246,9))</f>
        <v>44.664564827586219</v>
      </c>
      <c r="Q211" s="250">
        <f>'Revenues &amp; Expenses'!$AM$5*1000*'Revenues &amp; Expenses'!O219</f>
        <v>3.2092634463877894</v>
      </c>
      <c r="S211" s="247">
        <f t="shared" si="20"/>
        <v>0</v>
      </c>
      <c r="T211" s="247">
        <f>'Revenues &amp; Expenses'!$S$3</f>
        <v>310.66000000000003</v>
      </c>
      <c r="U211" s="391">
        <f>T211*'Revenues &amp; Expenses'!F219*4</f>
        <v>24852.800000000003</v>
      </c>
      <c r="W211" s="391">
        <f t="shared" si="21"/>
        <v>0</v>
      </c>
    </row>
    <row r="212" spans="2:23">
      <c r="B212" s="248">
        <v>43009</v>
      </c>
      <c r="C212" s="251">
        <f>VLOOKUP(B212,'Company Gas Prices'!$B$25:$C$259,2)</f>
        <v>3.8802083299999999</v>
      </c>
      <c r="D212" s="250">
        <f>VLOOKUP(B212,'Fuel Curve'!$B$7:$F$268,5)</f>
        <v>4.7553448275862067</v>
      </c>
      <c r="E212" s="250">
        <f t="shared" si="17"/>
        <v>0.87513649758620682</v>
      </c>
      <c r="G212" s="248">
        <v>43009</v>
      </c>
      <c r="H212" s="250">
        <f>VLOOKUP(G212,'Company Power Prices'!$B$25:$C$259,2)</f>
        <v>49.71153984</v>
      </c>
      <c r="I212" s="250">
        <f>VLOOKUP(G212,'Super Peak Curve Simulation'!$B$4:$C$225,2)</f>
        <v>37.385623573122025</v>
      </c>
      <c r="J212" s="252">
        <f t="shared" si="18"/>
        <v>-12.325916266877975</v>
      </c>
      <c r="L212" s="248">
        <v>43009</v>
      </c>
      <c r="M212" s="250">
        <f>IF($L$1=1,VLOOKUP(L212,'Super Peak Curve Simulation'!$B$7:$N$225,12),VLOOKUP(L212,'PJM Curve Simulation'!$B$9:$J$246,9))</f>
        <v>31.825000381469728</v>
      </c>
      <c r="N212" s="250">
        <f t="shared" si="19"/>
        <v>48.767844546366788</v>
      </c>
      <c r="P212" s="250">
        <f>IF($L$1=1,VLOOKUP(L212,'Fuel Curve'!$B$7:$H$246,7),VLOOKUP(L212,'Revenues &amp; Expenses'!$K$9:$S$246,9))</f>
        <v>45.551448103448273</v>
      </c>
      <c r="Q212" s="250">
        <f>'Revenues &amp; Expenses'!$AM$5*1000*'Revenues &amp; Expenses'!O220</f>
        <v>3.2163964429185135</v>
      </c>
      <c r="S212" s="247">
        <f t="shared" si="20"/>
        <v>0</v>
      </c>
      <c r="T212" s="247">
        <f>'Revenues &amp; Expenses'!$S$3</f>
        <v>310.66000000000003</v>
      </c>
      <c r="U212" s="391">
        <f>T212*'Revenues &amp; Expenses'!F220*4</f>
        <v>28580.720000000001</v>
      </c>
      <c r="W212" s="391">
        <f t="shared" si="21"/>
        <v>0</v>
      </c>
    </row>
    <row r="213" spans="2:23">
      <c r="B213" s="248">
        <v>43040</v>
      </c>
      <c r="C213" s="251">
        <f>VLOOKUP(B213,'Company Gas Prices'!$B$25:$C$259,2)</f>
        <v>3.8802083299999999</v>
      </c>
      <c r="D213" s="250">
        <f>VLOOKUP(B213,'Fuel Curve'!$B$7:$F$268,5)</f>
        <v>4.8046551724137938</v>
      </c>
      <c r="E213" s="250">
        <f t="shared" si="17"/>
        <v>0.92444684241379393</v>
      </c>
      <c r="G213" s="248">
        <v>43040</v>
      </c>
      <c r="H213" s="250">
        <f>VLOOKUP(G213,'Company Power Prices'!$B$25:$C$259,2)</f>
        <v>51.330231499999996</v>
      </c>
      <c r="I213" s="250">
        <f>VLOOKUP(G213,'Super Peak Curve Simulation'!$B$4:$C$225,2)</f>
        <v>37.508009347267155</v>
      </c>
      <c r="J213" s="252">
        <f t="shared" si="18"/>
        <v>-13.822222152732841</v>
      </c>
      <c r="L213" s="248">
        <v>43040</v>
      </c>
      <c r="M213" s="250">
        <f>IF($L$1=1,VLOOKUP(L213,'Super Peak Curve Simulation'!$B$7:$N$225,12),VLOOKUP(L213,'PJM Curve Simulation'!$B$9:$J$246,9))</f>
        <v>31.497499084472658</v>
      </c>
      <c r="N213" s="250">
        <f t="shared" si="19"/>
        <v>49.247337189993743</v>
      </c>
      <c r="P213" s="250">
        <f>IF($L$1=1,VLOOKUP(L213,'Fuel Curve'!$B$7:$H$246,7),VLOOKUP(L213,'Revenues &amp; Expenses'!$K$9:$S$246,9))</f>
        <v>46.023791896551728</v>
      </c>
      <c r="Q213" s="250">
        <f>'Revenues &amp; Expenses'!$AM$5*1000*'Revenues &amp; Expenses'!O221</f>
        <v>3.2235452934420175</v>
      </c>
      <c r="S213" s="247">
        <f t="shared" si="20"/>
        <v>0</v>
      </c>
      <c r="T213" s="247">
        <f>'Revenues &amp; Expenses'!$S$3</f>
        <v>310.66000000000003</v>
      </c>
      <c r="U213" s="391">
        <f>T213*'Revenues &amp; Expenses'!F221*4</f>
        <v>27338.080000000002</v>
      </c>
      <c r="W213" s="391">
        <f t="shared" si="21"/>
        <v>0</v>
      </c>
    </row>
    <row r="214" spans="2:23">
      <c r="B214" s="248">
        <v>43070</v>
      </c>
      <c r="C214" s="251">
        <f>VLOOKUP(B214,'Company Gas Prices'!$B$25:$C$259,2)</f>
        <v>3.8802083299999999</v>
      </c>
      <c r="D214" s="250">
        <f>VLOOKUP(B214,'Fuel Curve'!$B$7:$F$268,5)</f>
        <v>4.8474137931034491</v>
      </c>
      <c r="E214" s="250">
        <f t="shared" si="17"/>
        <v>0.96720546310344924</v>
      </c>
      <c r="G214" s="248">
        <v>43070</v>
      </c>
      <c r="H214" s="250">
        <f>VLOOKUP(G214,'Company Power Prices'!$B$25:$C$259,2)</f>
        <v>51.330231499999996</v>
      </c>
      <c r="I214" s="250">
        <f>VLOOKUP(G214,'Super Peak Curve Simulation'!$B$4:$C$225,2)</f>
        <v>40.09829889225108</v>
      </c>
      <c r="J214" s="252">
        <f t="shared" si="18"/>
        <v>-11.231932607748917</v>
      </c>
      <c r="L214" s="248">
        <v>43070</v>
      </c>
      <c r="M214" s="250">
        <f>IF($L$1=1,VLOOKUP(L214,'Super Peak Curve Simulation'!$B$7:$N$225,12),VLOOKUP(L214,'PJM Curve Simulation'!$B$9:$J$246,9))</f>
        <v>33.249999618530275</v>
      </c>
      <c r="N214" s="250">
        <f t="shared" si="19"/>
        <v>49.664086757333756</v>
      </c>
      <c r="P214" s="250">
        <f>IF($L$1=1,VLOOKUP(L214,'Fuel Curve'!$B$7:$H$246,7),VLOOKUP(L214,'Revenues &amp; Expenses'!$K$9:$S$246,9))</f>
        <v>46.433376724137936</v>
      </c>
      <c r="Q214" s="250">
        <f>'Revenues &amp; Expenses'!$AM$5*1000*'Revenues &amp; Expenses'!O222</f>
        <v>3.2307100331958174</v>
      </c>
      <c r="S214" s="247">
        <f t="shared" si="20"/>
        <v>0</v>
      </c>
      <c r="T214" s="247">
        <f>'Revenues &amp; Expenses'!$S$3</f>
        <v>310.66000000000003</v>
      </c>
      <c r="U214" s="391">
        <f>T214*'Revenues &amp; Expenses'!F222*4</f>
        <v>26095.440000000002</v>
      </c>
      <c r="W214" s="391">
        <f t="shared" si="21"/>
        <v>0</v>
      </c>
    </row>
    <row r="215" spans="2:23">
      <c r="B215" s="248">
        <v>43101</v>
      </c>
      <c r="C215" s="251">
        <f>VLOOKUP(B215,'Company Gas Prices'!$B$25:$C$259,2)</f>
        <v>3.9375</v>
      </c>
      <c r="D215" s="250">
        <f>VLOOKUP(B215,'Fuel Curve'!$B$7:$F$268,5)</f>
        <v>4.7901724137931048</v>
      </c>
      <c r="E215" s="250">
        <f t="shared" si="17"/>
        <v>0.85267241379310477</v>
      </c>
      <c r="G215" s="248">
        <v>43101</v>
      </c>
      <c r="H215" s="250">
        <f>VLOOKUP(G215,'Company Power Prices'!$B$25:$C$259,2)</f>
        <v>48.23143288</v>
      </c>
      <c r="I215" s="250">
        <f>VLOOKUP(G215,'Super Peak Curve Simulation'!$B$4:$C$225,2)</f>
        <v>51.286555492627073</v>
      </c>
      <c r="J215" s="252">
        <f t="shared" si="18"/>
        <v>3.0551226126270734</v>
      </c>
      <c r="L215" s="248">
        <v>43101</v>
      </c>
      <c r="M215" s="250">
        <f>IF($L$1=1,VLOOKUP(L215,'Super Peak Curve Simulation'!$B$7:$N$225,12),VLOOKUP(L215,'PJM Curve Simulation'!$B$9:$J$246,9))</f>
        <v>41.824998474121088</v>
      </c>
      <c r="N215" s="250">
        <f t="shared" si="19"/>
        <v>49.122952249219907</v>
      </c>
      <c r="P215" s="250">
        <f>IF($L$1=1,VLOOKUP(L215,'Fuel Curve'!$B$7:$H$246,7),VLOOKUP(L215,'Revenues &amp; Expenses'!$K$9:$S$246,9))</f>
        <v>45.885061551724156</v>
      </c>
      <c r="Q215" s="250">
        <f>'Revenues &amp; Expenses'!$AM$5*1000*'Revenues &amp; Expenses'!O223</f>
        <v>3.2378906974957524</v>
      </c>
      <c r="S215" s="247">
        <f t="shared" si="20"/>
        <v>0</v>
      </c>
      <c r="T215" s="247">
        <f>'Revenues &amp; Expenses'!$S$3</f>
        <v>310.66000000000003</v>
      </c>
      <c r="U215" s="391">
        <f>T215*'Revenues &amp; Expenses'!F223*4</f>
        <v>28580.720000000001</v>
      </c>
      <c r="W215" s="391">
        <f t="shared" si="21"/>
        <v>0</v>
      </c>
    </row>
    <row r="216" spans="2:23">
      <c r="B216" s="248">
        <v>43132</v>
      </c>
      <c r="C216" s="251">
        <f>VLOOKUP(B216,'Company Gas Prices'!$B$25:$C$259,2)</f>
        <v>3.9375</v>
      </c>
      <c r="D216" s="250">
        <f>VLOOKUP(B216,'Fuel Curve'!$B$7:$F$268,5)</f>
        <v>4.6910344827586217</v>
      </c>
      <c r="E216" s="250">
        <f t="shared" si="17"/>
        <v>0.75353448275862167</v>
      </c>
      <c r="G216" s="248">
        <v>43132</v>
      </c>
      <c r="H216" s="250">
        <f>VLOOKUP(G216,'Company Power Prices'!$B$25:$C$259,2)</f>
        <v>42.634758580000003</v>
      </c>
      <c r="I216" s="250">
        <f>VLOOKUP(G216,'Super Peak Curve Simulation'!$B$4:$C$225,2)</f>
        <v>51.286555492627073</v>
      </c>
      <c r="J216" s="252">
        <f t="shared" si="18"/>
        <v>8.65179691262707</v>
      </c>
      <c r="L216" s="248">
        <v>43132</v>
      </c>
      <c r="M216" s="250">
        <f>IF($L$1=1,VLOOKUP(L216,'Super Peak Curve Simulation'!$B$7:$N$225,12),VLOOKUP(L216,'PJM Curve Simulation'!$B$9:$J$246,9))</f>
        <v>41.824998474121088</v>
      </c>
      <c r="N216" s="250">
        <f t="shared" si="19"/>
        <v>48.180506632080984</v>
      </c>
      <c r="P216" s="250">
        <f>IF($L$1=1,VLOOKUP(L216,'Fuel Curve'!$B$7:$H$246,7),VLOOKUP(L216,'Revenues &amp; Expenses'!$K$9:$S$246,9))</f>
        <v>44.935419310344834</v>
      </c>
      <c r="Q216" s="250">
        <f>'Revenues &amp; Expenses'!$AM$5*1000*'Revenues &amp; Expenses'!O224</f>
        <v>3.2450873217361518</v>
      </c>
      <c r="S216" s="247">
        <f t="shared" si="20"/>
        <v>0</v>
      </c>
      <c r="T216" s="247">
        <f>'Revenues &amp; Expenses'!$S$3</f>
        <v>310.66000000000003</v>
      </c>
      <c r="U216" s="391">
        <f>T216*'Revenues &amp; Expenses'!F224*4</f>
        <v>24852.800000000003</v>
      </c>
      <c r="W216" s="391">
        <f t="shared" si="21"/>
        <v>0</v>
      </c>
    </row>
    <row r="217" spans="2:23">
      <c r="B217" s="248">
        <v>43160</v>
      </c>
      <c r="C217" s="251">
        <f>VLOOKUP(B217,'Company Gas Prices'!$B$25:$C$259,2)</f>
        <v>3.9375</v>
      </c>
      <c r="D217" s="250">
        <f>VLOOKUP(B217,'Fuel Curve'!$B$7:$F$268,5)</f>
        <v>4.5939655172413802</v>
      </c>
      <c r="E217" s="250">
        <f t="shared" si="17"/>
        <v>0.65646551724138025</v>
      </c>
      <c r="G217" s="248">
        <v>43160</v>
      </c>
      <c r="H217" s="250">
        <f>VLOOKUP(G217,'Company Power Prices'!$B$25:$C$259,2)</f>
        <v>42.634758580000003</v>
      </c>
      <c r="I217" s="250">
        <f>VLOOKUP(G217,'Super Peak Curve Simulation'!$B$4:$C$225,2)</f>
        <v>38.371899677906043</v>
      </c>
      <c r="J217" s="252">
        <f t="shared" si="18"/>
        <v>-4.26285890209396</v>
      </c>
      <c r="L217" s="248">
        <v>43160</v>
      </c>
      <c r="M217" s="250">
        <f>IF($L$1=1,VLOOKUP(L217,'Super Peak Curve Simulation'!$B$7:$N$225,12),VLOOKUP(L217,'PJM Curve Simulation'!$B$9:$J$246,9))</f>
        <v>31.550000762939455</v>
      </c>
      <c r="N217" s="250">
        <f t="shared" si="19"/>
        <v>47.257895631045194</v>
      </c>
      <c r="P217" s="250">
        <f>IF($L$1=1,VLOOKUP(L217,'Fuel Curve'!$B$7:$H$246,7),VLOOKUP(L217,'Revenues &amp; Expenses'!$K$9:$S$246,9))</f>
        <v>44.005595689655181</v>
      </c>
      <c r="Q217" s="250">
        <f>'Revenues &amp; Expenses'!$AM$5*1000*'Revenues &amp; Expenses'!O225</f>
        <v>3.2522999413900147</v>
      </c>
      <c r="S217" s="247">
        <f t="shared" si="20"/>
        <v>0</v>
      </c>
      <c r="T217" s="247">
        <f>'Revenues &amp; Expenses'!$S$3</f>
        <v>310.66000000000003</v>
      </c>
      <c r="U217" s="391">
        <f>T217*'Revenues &amp; Expenses'!F225*4</f>
        <v>26095.440000000002</v>
      </c>
      <c r="W217" s="391">
        <f t="shared" si="21"/>
        <v>0</v>
      </c>
    </row>
    <row r="218" spans="2:23">
      <c r="B218" s="248">
        <v>43191</v>
      </c>
      <c r="C218" s="251">
        <f>VLOOKUP(B218,'Company Gas Prices'!$B$25:$C$259,2)</f>
        <v>4.08229167</v>
      </c>
      <c r="D218" s="250">
        <f>VLOOKUP(B218,'Fuel Curve'!$B$7:$F$268,5)</f>
        <v>4.4939655172413797</v>
      </c>
      <c r="E218" s="250">
        <f t="shared" si="17"/>
        <v>0.41167384724137968</v>
      </c>
      <c r="G218" s="248">
        <v>43191</v>
      </c>
      <c r="H218" s="250">
        <f>VLOOKUP(G218,'Company Power Prices'!$B$25:$C$259,2)</f>
        <v>47.3161731</v>
      </c>
      <c r="I218" s="250">
        <f>VLOOKUP(G218,'Super Peak Curve Simulation'!$B$4:$C$225,2)</f>
        <v>35.53389961213135</v>
      </c>
      <c r="J218" s="252">
        <f t="shared" si="18"/>
        <v>-11.78227348786865</v>
      </c>
      <c r="L218" s="248">
        <v>43191</v>
      </c>
      <c r="M218" s="250">
        <f>IF($L$1=1,VLOOKUP(L218,'Super Peak Curve Simulation'!$B$7:$N$225,12),VLOOKUP(L218,'PJM Curve Simulation'!$B$9:$J$246,9))</f>
        <v>31.325000762939453</v>
      </c>
      <c r="N218" s="250">
        <f t="shared" si="19"/>
        <v>46.307224281664361</v>
      </c>
      <c r="P218" s="250">
        <f>IF($L$1=1,VLOOKUP(L218,'Fuel Curve'!$B$7:$H$246,7),VLOOKUP(L218,'Revenues &amp; Expenses'!$K$9:$S$246,9))</f>
        <v>43.047695689655178</v>
      </c>
      <c r="Q218" s="250">
        <f>'Revenues &amp; Expenses'!$AM$5*1000*'Revenues &amp; Expenses'!O226</f>
        <v>3.2595285920091839</v>
      </c>
      <c r="S218" s="247">
        <f t="shared" si="20"/>
        <v>0</v>
      </c>
      <c r="T218" s="247">
        <f>'Revenues &amp; Expenses'!$S$3</f>
        <v>310.66000000000003</v>
      </c>
      <c r="U218" s="391">
        <f>T218*'Revenues &amp; Expenses'!F226*4</f>
        <v>27338.080000000002</v>
      </c>
      <c r="W218" s="391">
        <f t="shared" si="21"/>
        <v>0</v>
      </c>
    </row>
    <row r="219" spans="2:23">
      <c r="B219" s="248">
        <v>43221</v>
      </c>
      <c r="C219" s="251">
        <f>VLOOKUP(B219,'Company Gas Prices'!$B$25:$C$259,2)</f>
        <v>3.91979167</v>
      </c>
      <c r="D219" s="250">
        <f>VLOOKUP(B219,'Fuel Curve'!$B$7:$F$268,5)</f>
        <v>4.4267241379310347</v>
      </c>
      <c r="E219" s="250">
        <f t="shared" si="17"/>
        <v>0.50693246793103475</v>
      </c>
      <c r="G219" s="248">
        <v>43221</v>
      </c>
      <c r="H219" s="250">
        <f>VLOOKUP(G219,'Company Power Prices'!$B$25:$C$259,2)</f>
        <v>60.237749559999997</v>
      </c>
      <c r="I219" s="250">
        <f>VLOOKUP(G219,'Super Peak Curve Simulation'!$B$4:$C$225,2)</f>
        <v>43.171149656872267</v>
      </c>
      <c r="J219" s="252">
        <f t="shared" si="18"/>
        <v>-17.066599903127731</v>
      </c>
      <c r="L219" s="248">
        <v>43221</v>
      </c>
      <c r="M219" s="250">
        <f>IF($L$1=1,VLOOKUP(L219,'Super Peak Curve Simulation'!$B$7:$N$225,12),VLOOKUP(L219,'PJM Curve Simulation'!$B$9:$J$246,9))</f>
        <v>39.325000000000003</v>
      </c>
      <c r="N219" s="250">
        <f t="shared" si="19"/>
        <v>45.670363826465902</v>
      </c>
      <c r="P219" s="250">
        <f>IF($L$1=1,VLOOKUP(L219,'Fuel Curve'!$B$7:$H$246,7),VLOOKUP(L219,'Revenues &amp; Expenses'!$K$9:$S$246,9))</f>
        <v>42.403590517241383</v>
      </c>
      <c r="Q219" s="250">
        <f>'Revenues &amp; Expenses'!$AM$5*1000*'Revenues &amp; Expenses'!O227</f>
        <v>3.2667733092245212</v>
      </c>
      <c r="S219" s="247">
        <f t="shared" si="20"/>
        <v>0</v>
      </c>
      <c r="T219" s="247">
        <f>'Revenues &amp; Expenses'!$S$3</f>
        <v>310.66000000000003</v>
      </c>
      <c r="U219" s="391">
        <f>T219*'Revenues &amp; Expenses'!F227*4</f>
        <v>28580.720000000001</v>
      </c>
      <c r="W219" s="391">
        <f t="shared" si="21"/>
        <v>0</v>
      </c>
    </row>
    <row r="220" spans="2:23">
      <c r="B220" s="248">
        <v>43252</v>
      </c>
      <c r="C220" s="251">
        <f>VLOOKUP(B220,'Company Gas Prices'!$B$25:$C$259,2)</f>
        <v>3.9125000000000001</v>
      </c>
      <c r="D220" s="250">
        <f>VLOOKUP(B220,'Fuel Curve'!$B$7:$F$268,5)</f>
        <v>4.4201724137931047</v>
      </c>
      <c r="E220" s="250">
        <f t="shared" si="17"/>
        <v>0.50767241379310457</v>
      </c>
      <c r="G220" s="248">
        <v>43252</v>
      </c>
      <c r="H220" s="250">
        <f>VLOOKUP(G220,'Company Power Prices'!$B$25:$C$259,2)</f>
        <v>110.4394211</v>
      </c>
      <c r="I220" s="250">
        <f>VLOOKUP(G220,'Super Peak Curve Simulation'!$B$4:$C$225,2)</f>
        <v>84.342000381923455</v>
      </c>
      <c r="J220" s="252">
        <f t="shared" si="18"/>
        <v>-26.097420718076549</v>
      </c>
      <c r="L220" s="248">
        <v>43252</v>
      </c>
      <c r="M220" s="250">
        <f>IF($L$1=1,VLOOKUP(L220,'Super Peak Curve Simulation'!$B$7:$N$225,12),VLOOKUP(L220,'PJM Curve Simulation'!$B$9:$J$246,9))</f>
        <v>68.349998474121094</v>
      </c>
      <c r="N220" s="250">
        <f t="shared" si="19"/>
        <v>45.614865680470231</v>
      </c>
      <c r="P220" s="250">
        <f>IF($L$1=1,VLOOKUP(L220,'Fuel Curve'!$B$7:$H$246,7),VLOOKUP(L220,'Revenues &amp; Expenses'!$K$9:$S$246,9))</f>
        <v>42.34083155172415</v>
      </c>
      <c r="Q220" s="250">
        <f>'Revenues &amp; Expenses'!$AM$5*1000*'Revenues &amp; Expenses'!O228</f>
        <v>3.2740341287460808</v>
      </c>
      <c r="S220" s="247">
        <f t="shared" si="20"/>
        <v>1</v>
      </c>
      <c r="T220" s="247">
        <f>'Revenues &amp; Expenses'!$S$3</f>
        <v>310.66000000000003</v>
      </c>
      <c r="U220" s="391">
        <f>T220*'Revenues &amp; Expenses'!F228*4</f>
        <v>24852.800000000003</v>
      </c>
      <c r="W220" s="391">
        <f t="shared" si="21"/>
        <v>565031.70829404623</v>
      </c>
    </row>
    <row r="221" spans="2:23">
      <c r="B221" s="248">
        <v>43282</v>
      </c>
      <c r="C221" s="251">
        <f>VLOOKUP(B221,'Company Gas Prices'!$B$25:$C$259,2)</f>
        <v>3.8739583299999998</v>
      </c>
      <c r="D221" s="250">
        <f>VLOOKUP(B221,'Fuel Curve'!$B$7:$F$268,5)</f>
        <v>4.477413793103449</v>
      </c>
      <c r="E221" s="250">
        <f t="shared" si="17"/>
        <v>0.60345546310344922</v>
      </c>
      <c r="G221" s="248">
        <v>43282</v>
      </c>
      <c r="H221" s="250">
        <f>VLOOKUP(G221,'Company Power Prices'!$B$25:$C$259,2)</f>
        <v>180.73672049999999</v>
      </c>
      <c r="I221" s="250">
        <f>VLOOKUP(G221,'Super Peak Curve Simulation'!$B$4:$C$225,2)</f>
        <v>164.06756314574017</v>
      </c>
      <c r="J221" s="252">
        <f t="shared" si="18"/>
        <v>-16.669157354259823</v>
      </c>
      <c r="L221" s="248">
        <v>43282</v>
      </c>
      <c r="M221" s="250">
        <f>IF($L$1=1,VLOOKUP(L221,'Super Peak Curve Simulation'!$B$7:$N$225,12),VLOOKUP(L221,'PJM Curve Simulation'!$B$9:$J$246,9))</f>
        <v>124.94999694824219</v>
      </c>
      <c r="N221" s="250">
        <f t="shared" si="19"/>
        <v>46.170457810501226</v>
      </c>
      <c r="P221" s="250">
        <f>IF($L$1=1,VLOOKUP(L221,'Fuel Curve'!$B$7:$H$246,7),VLOOKUP(L221,'Revenues &amp; Expenses'!$K$9:$S$246,9))</f>
        <v>42.889146724137937</v>
      </c>
      <c r="Q221" s="250">
        <f>'Revenues &amp; Expenses'!$AM$5*1000*'Revenues &amp; Expenses'!O229</f>
        <v>3.2813110863632886</v>
      </c>
      <c r="S221" s="247">
        <f t="shared" si="20"/>
        <v>1</v>
      </c>
      <c r="T221" s="247">
        <f>'Revenues &amp; Expenses'!$S$3</f>
        <v>310.66000000000003</v>
      </c>
      <c r="U221" s="391">
        <f>T221*'Revenues &amp; Expenses'!F229*4</f>
        <v>28580.720000000001</v>
      </c>
      <c r="W221" s="391">
        <f t="shared" si="21"/>
        <v>2251575.9498248156</v>
      </c>
    </row>
    <row r="222" spans="2:23">
      <c r="B222" s="248">
        <v>43313</v>
      </c>
      <c r="C222" s="251">
        <f>VLOOKUP(B222,'Company Gas Prices'!$B$25:$C$259,2)</f>
        <v>3.8739583299999998</v>
      </c>
      <c r="D222" s="250">
        <f>VLOOKUP(B222,'Fuel Curve'!$B$7:$F$268,5)</f>
        <v>4.5679310344827595</v>
      </c>
      <c r="E222" s="250">
        <f t="shared" si="17"/>
        <v>0.69397270448275972</v>
      </c>
      <c r="G222" s="248">
        <v>43313</v>
      </c>
      <c r="H222" s="250">
        <f>VLOOKUP(G222,'Company Power Prices'!$B$25:$C$259,2)</f>
        <v>180.73672049999999</v>
      </c>
      <c r="I222" s="250">
        <f>VLOOKUP(G222,'Super Peak Curve Simulation'!$B$4:$C$225,2)</f>
        <v>137.40069706080536</v>
      </c>
      <c r="J222" s="252">
        <f t="shared" si="18"/>
        <v>-43.336023439194634</v>
      </c>
      <c r="L222" s="248">
        <v>43313</v>
      </c>
      <c r="M222" s="250">
        <f>IF($L$1=1,VLOOKUP(L222,'Super Peak Curve Simulation'!$B$7:$N$225,12),VLOOKUP(L222,'PJM Curve Simulation'!$B$9:$J$246,9))</f>
        <v>111.94999694824219</v>
      </c>
      <c r="N222" s="250">
        <f t="shared" si="19"/>
        <v>47.044815597255472</v>
      </c>
      <c r="P222" s="250">
        <f>IF($L$1=1,VLOOKUP(L222,'Fuel Curve'!$B$7:$H$246,7),VLOOKUP(L222,'Revenues &amp; Expenses'!$K$9:$S$246,9))</f>
        <v>43.756211379310358</v>
      </c>
      <c r="Q222" s="250">
        <f>'Revenues &amp; Expenses'!$AM$5*1000*'Revenues &amp; Expenses'!O230</f>
        <v>3.2886042179451165</v>
      </c>
      <c r="S222" s="247">
        <f t="shared" si="20"/>
        <v>1</v>
      </c>
      <c r="T222" s="247">
        <f>'Revenues &amp; Expenses'!$S$3</f>
        <v>310.66000000000003</v>
      </c>
      <c r="U222" s="391">
        <f>T222*'Revenues &amp; Expenses'!F230*4</f>
        <v>27338.080000000002</v>
      </c>
      <c r="W222" s="391">
        <f t="shared" si="21"/>
        <v>1774383.0401877828</v>
      </c>
    </row>
    <row r="223" spans="2:23">
      <c r="B223" s="248">
        <v>43344</v>
      </c>
      <c r="C223" s="251">
        <f>VLOOKUP(B223,'Company Gas Prices'!$B$25:$C$259,2)</f>
        <v>3.91979167</v>
      </c>
      <c r="D223" s="250">
        <f>VLOOKUP(B223,'Fuel Curve'!$B$7:$F$268,5)</f>
        <v>4.6627586206896563</v>
      </c>
      <c r="E223" s="250">
        <f t="shared" si="17"/>
        <v>0.74296695068965635</v>
      </c>
      <c r="G223" s="248">
        <v>43344</v>
      </c>
      <c r="H223" s="250">
        <f>VLOOKUP(G223,'Company Power Prices'!$B$25:$C$259,2)</f>
        <v>60.237749559999997</v>
      </c>
      <c r="I223" s="250">
        <f>I211</f>
        <v>46.116286483886782</v>
      </c>
      <c r="J223" s="252">
        <f t="shared" si="18"/>
        <v>-14.121463076113216</v>
      </c>
      <c r="L223" s="248">
        <v>43344</v>
      </c>
      <c r="M223" s="250">
        <f>M211</f>
        <v>39.924998474121097</v>
      </c>
      <c r="N223" s="250">
        <f t="shared" si="19"/>
        <v>47.960478387026477</v>
      </c>
      <c r="P223" s="250">
        <f>IF($L$1=1,VLOOKUP(L223,'Fuel Curve'!$B$7:$H$246,7),VLOOKUP(L223,'Revenues &amp; Expenses'!$K$9:$S$246,9))</f>
        <v>44.664564827586219</v>
      </c>
      <c r="Q223" s="250">
        <f>'Revenues &amp; Expenses'!$AM$5*1000*'Revenues &amp; Expenses'!O231</f>
        <v>3.2959135594402591</v>
      </c>
      <c r="S223" s="247">
        <f t="shared" si="20"/>
        <v>0</v>
      </c>
      <c r="T223" s="247">
        <f>'Revenues &amp; Expenses'!$S$3</f>
        <v>310.66000000000003</v>
      </c>
      <c r="U223" s="391">
        <f>T223*'Revenues &amp; Expenses'!F231*4</f>
        <v>26095.440000000002</v>
      </c>
      <c r="W223" s="391">
        <f t="shared" si="21"/>
        <v>0</v>
      </c>
    </row>
    <row r="224" spans="2:23">
      <c r="B224" s="248">
        <v>43374</v>
      </c>
      <c r="C224" s="251">
        <f>VLOOKUP(B224,'Company Gas Prices'!$B$25:$C$259,2)</f>
        <v>3.8802083299999999</v>
      </c>
      <c r="D224" s="250">
        <f>VLOOKUP(B224,'Fuel Curve'!$B$7:$F$268,5)</f>
        <v>4.7553448275862067</v>
      </c>
      <c r="E224" s="250">
        <f t="shared" si="17"/>
        <v>0.87513649758620682</v>
      </c>
      <c r="G224" s="248">
        <v>43374</v>
      </c>
      <c r="H224" s="250">
        <f>VLOOKUP(G224,'Company Power Prices'!$B$25:$C$259,2)</f>
        <v>49.706975929999999</v>
      </c>
      <c r="I224" s="250">
        <f t="shared" ref="I224:I238" si="22">I212</f>
        <v>37.385623573122025</v>
      </c>
      <c r="J224" s="252">
        <f t="shared" si="18"/>
        <v>-12.321352356877973</v>
      </c>
      <c r="L224" s="248">
        <v>43374</v>
      </c>
      <c r="M224" s="250">
        <f t="shared" ref="M224:M238" si="23">M212</f>
        <v>31.825000381469728</v>
      </c>
      <c r="N224" s="250">
        <f t="shared" si="19"/>
        <v>48.854687250325583</v>
      </c>
      <c r="P224" s="250">
        <f>IF($L$1=1,VLOOKUP(L224,'Fuel Curve'!$B$7:$H$246,7),VLOOKUP(L224,'Revenues &amp; Expenses'!$K$9:$S$246,9))</f>
        <v>45.551448103448273</v>
      </c>
      <c r="Q224" s="250">
        <f>'Revenues &amp; Expenses'!$AM$5*1000*'Revenues &amp; Expenses'!O232</f>
        <v>3.303239146877313</v>
      </c>
      <c r="S224" s="247">
        <f t="shared" si="20"/>
        <v>0</v>
      </c>
      <c r="T224" s="247">
        <f>'Revenues &amp; Expenses'!$S$3</f>
        <v>310.66000000000003</v>
      </c>
      <c r="U224" s="391">
        <f>T224*'Revenues &amp; Expenses'!F232*4</f>
        <v>28580.720000000001</v>
      </c>
      <c r="W224" s="391">
        <f t="shared" si="21"/>
        <v>0</v>
      </c>
    </row>
    <row r="225" spans="2:23">
      <c r="B225" s="248">
        <v>43405</v>
      </c>
      <c r="C225" s="251">
        <f>VLOOKUP(B225,'Company Gas Prices'!$B$25:$C$259,2)</f>
        <v>3.8802083299999999</v>
      </c>
      <c r="D225" s="250">
        <f>VLOOKUP(B225,'Fuel Curve'!$B$7:$F$268,5)</f>
        <v>4.8046551724137938</v>
      </c>
      <c r="E225" s="250">
        <f t="shared" si="17"/>
        <v>0.92444684241379393</v>
      </c>
      <c r="G225" s="248">
        <v>43405</v>
      </c>
      <c r="H225" s="250">
        <f>VLOOKUP(G225,'Company Power Prices'!$B$25:$C$259,2)</f>
        <v>51.336928190000002</v>
      </c>
      <c r="I225" s="250">
        <f t="shared" si="22"/>
        <v>37.508009347267155</v>
      </c>
      <c r="J225" s="252">
        <f t="shared" si="18"/>
        <v>-13.828918842732847</v>
      </c>
      <c r="L225" s="248">
        <v>43405</v>
      </c>
      <c r="M225" s="250">
        <f t="shared" si="23"/>
        <v>31.497499084472658</v>
      </c>
      <c r="N225" s="250">
        <f t="shared" si="19"/>
        <v>49.334372912916677</v>
      </c>
      <c r="P225" s="250">
        <f>IF($L$1=1,VLOOKUP(L225,'Fuel Curve'!$B$7:$H$246,7),VLOOKUP(L225,'Revenues &amp; Expenses'!$K$9:$S$246,9))</f>
        <v>46.023791896551728</v>
      </c>
      <c r="Q225" s="250">
        <f>'Revenues &amp; Expenses'!$AM$5*1000*'Revenues &amp; Expenses'!O233</f>
        <v>3.3105810163649516</v>
      </c>
      <c r="S225" s="247">
        <f t="shared" si="20"/>
        <v>0</v>
      </c>
      <c r="T225" s="247">
        <f>'Revenues &amp; Expenses'!$S$3</f>
        <v>310.66000000000003</v>
      </c>
      <c r="U225" s="391">
        <f>T225*'Revenues &amp; Expenses'!F233*4</f>
        <v>26095.440000000002</v>
      </c>
      <c r="W225" s="391">
        <f t="shared" si="21"/>
        <v>0</v>
      </c>
    </row>
    <row r="226" spans="2:23">
      <c r="B226" s="248">
        <v>43435</v>
      </c>
      <c r="C226" s="251">
        <f>VLOOKUP(B226,'Company Gas Prices'!$B$25:$C$259,2)</f>
        <v>3.8802083299999999</v>
      </c>
      <c r="D226" s="250">
        <f>VLOOKUP(B226,'Fuel Curve'!$B$7:$F$268,5)</f>
        <v>4.8474137931034491</v>
      </c>
      <c r="E226" s="250">
        <f t="shared" si="17"/>
        <v>0.96720546310344924</v>
      </c>
      <c r="G226" s="248">
        <v>43435</v>
      </c>
      <c r="H226" s="250">
        <f>VLOOKUP(G226,'Company Power Prices'!$B$25:$C$259,2)</f>
        <v>51.336928190000002</v>
      </c>
      <c r="I226" s="250">
        <f t="shared" si="22"/>
        <v>40.09829889225108</v>
      </c>
      <c r="J226" s="252">
        <f t="shared" si="18"/>
        <v>-11.238629297748922</v>
      </c>
      <c r="L226" s="248">
        <v>43435</v>
      </c>
      <c r="M226" s="250">
        <f t="shared" si="23"/>
        <v>33.249999618530275</v>
      </c>
      <c r="N226" s="250">
        <f t="shared" si="19"/>
        <v>49.751315928230042</v>
      </c>
      <c r="P226" s="250">
        <f>IF($L$1=1,VLOOKUP(L226,'Fuel Curve'!$B$7:$H$246,7),VLOOKUP(L226,'Revenues &amp; Expenses'!$K$9:$S$246,9))</f>
        <v>46.433376724137936</v>
      </c>
      <c r="Q226" s="250">
        <f>'Revenues &amp; Expenses'!$AM$5*1000*'Revenues &amp; Expenses'!O234</f>
        <v>3.3179392040921045</v>
      </c>
      <c r="S226" s="247">
        <f t="shared" si="20"/>
        <v>0</v>
      </c>
      <c r="T226" s="247">
        <f>'Revenues &amp; Expenses'!$S$3</f>
        <v>310.66000000000003</v>
      </c>
      <c r="U226" s="391">
        <f>T226*'Revenues &amp; Expenses'!F234*4</f>
        <v>27338.080000000002</v>
      </c>
      <c r="W226" s="391">
        <f t="shared" si="21"/>
        <v>0</v>
      </c>
    </row>
    <row r="227" spans="2:23">
      <c r="B227" s="248">
        <v>43466</v>
      </c>
      <c r="C227" s="251">
        <f>VLOOKUP(B227,'Company Gas Prices'!$B$25:$C$259,2)</f>
        <v>3.9375</v>
      </c>
      <c r="D227" s="250">
        <f>VLOOKUP(B227,'Fuel Curve'!$B$7:$F$268,5)</f>
        <v>4.7901724137931048</v>
      </c>
      <c r="E227" s="250">
        <f t="shared" si="17"/>
        <v>0.85267241379310477</v>
      </c>
      <c r="G227" s="248">
        <v>43466</v>
      </c>
      <c r="H227" s="250">
        <f>VLOOKUP(G227,'Company Power Prices'!$B$25:$C$259,2)</f>
        <v>48.193177519999999</v>
      </c>
      <c r="I227" s="250">
        <f t="shared" si="22"/>
        <v>51.286555492627073</v>
      </c>
      <c r="J227" s="252">
        <f t="shared" si="18"/>
        <v>3.0933779726270743</v>
      </c>
      <c r="L227" s="248">
        <v>43466</v>
      </c>
      <c r="M227" s="250">
        <f t="shared" si="23"/>
        <v>41.824998474121088</v>
      </c>
      <c r="N227" s="250">
        <f t="shared" si="19"/>
        <v>49.210375298052291</v>
      </c>
      <c r="P227" s="250">
        <f>IF($L$1=1,VLOOKUP(L227,'Fuel Curve'!$B$7:$H$246,7),VLOOKUP(L227,'Revenues &amp; Expenses'!$K$9:$S$246,9))</f>
        <v>45.885061551724156</v>
      </c>
      <c r="Q227" s="250">
        <f>'Revenues &amp; Expenses'!$AM$5*1000*'Revenues &amp; Expenses'!O235</f>
        <v>3.325313746328137</v>
      </c>
      <c r="S227" s="247">
        <f t="shared" si="20"/>
        <v>0</v>
      </c>
      <c r="T227" s="247">
        <f>'Revenues &amp; Expenses'!$S$3</f>
        <v>310.66000000000003</v>
      </c>
      <c r="U227" s="391">
        <f>T227*'Revenues &amp; Expenses'!F235*4</f>
        <v>28580.720000000001</v>
      </c>
      <c r="W227" s="391">
        <f t="shared" si="21"/>
        <v>0</v>
      </c>
    </row>
    <row r="228" spans="2:23">
      <c r="B228" s="248">
        <v>43497</v>
      </c>
      <c r="C228" s="251">
        <f>VLOOKUP(B228,'Company Gas Prices'!$B$25:$C$259,2)</f>
        <v>3.9375</v>
      </c>
      <c r="D228" s="250">
        <f>VLOOKUP(B228,'Fuel Curve'!$B$7:$F$268,5)</f>
        <v>4.6910344827586217</v>
      </c>
      <c r="E228" s="250">
        <f t="shared" si="17"/>
        <v>0.75353448275862167</v>
      </c>
      <c r="G228" s="248">
        <v>43497</v>
      </c>
      <c r="H228" s="250">
        <f>VLOOKUP(G228,'Company Power Prices'!$B$25:$C$259,2)</f>
        <v>42.626866929999998</v>
      </c>
      <c r="I228" s="250">
        <f t="shared" si="22"/>
        <v>51.286555492627073</v>
      </c>
      <c r="J228" s="252">
        <f t="shared" si="18"/>
        <v>8.6596885626270748</v>
      </c>
      <c r="L228" s="248">
        <v>43497</v>
      </c>
      <c r="M228" s="250">
        <f t="shared" si="23"/>
        <v>41.824998474121088</v>
      </c>
      <c r="N228" s="250">
        <f t="shared" si="19"/>
        <v>48.268123989767858</v>
      </c>
      <c r="P228" s="250">
        <f>IF($L$1=1,VLOOKUP(L228,'Fuel Curve'!$B$7:$H$246,7),VLOOKUP(L228,'Revenues &amp; Expenses'!$K$9:$S$246,9))</f>
        <v>44.935419310344834</v>
      </c>
      <c r="Q228" s="250">
        <f>'Revenues &amp; Expenses'!$AM$5*1000*'Revenues &amp; Expenses'!O236</f>
        <v>3.3327046794230273</v>
      </c>
      <c r="S228" s="247">
        <f t="shared" si="20"/>
        <v>0</v>
      </c>
      <c r="T228" s="247">
        <f>'Revenues &amp; Expenses'!$S$3</f>
        <v>310.66000000000003</v>
      </c>
      <c r="U228" s="391">
        <f>T228*'Revenues &amp; Expenses'!F236*4</f>
        <v>24852.800000000003</v>
      </c>
      <c r="W228" s="391">
        <f t="shared" si="21"/>
        <v>0</v>
      </c>
    </row>
    <row r="229" spans="2:23">
      <c r="B229" s="248">
        <v>43525</v>
      </c>
      <c r="C229" s="251">
        <f>VLOOKUP(B229,'Company Gas Prices'!$B$25:$C$259,2)</f>
        <v>3.9375</v>
      </c>
      <c r="D229" s="250">
        <f>VLOOKUP(B229,'Fuel Curve'!$B$7:$F$268,5)</f>
        <v>4.5939655172413802</v>
      </c>
      <c r="E229" s="250">
        <f t="shared" si="17"/>
        <v>0.65646551724138025</v>
      </c>
      <c r="G229" s="248">
        <v>43525</v>
      </c>
      <c r="H229" s="250">
        <f>VLOOKUP(G229,'Company Power Prices'!$B$25:$C$259,2)</f>
        <v>42.626866929999998</v>
      </c>
      <c r="I229" s="250">
        <f t="shared" si="22"/>
        <v>38.371899677906043</v>
      </c>
      <c r="J229" s="252">
        <f t="shared" si="18"/>
        <v>-4.2549672520939552</v>
      </c>
      <c r="L229" s="248">
        <v>43525</v>
      </c>
      <c r="M229" s="250">
        <f t="shared" si="23"/>
        <v>31.550000762939455</v>
      </c>
      <c r="N229" s="250">
        <f t="shared" si="19"/>
        <v>47.345707729462724</v>
      </c>
      <c r="P229" s="250">
        <f>IF($L$1=1,VLOOKUP(L229,'Fuel Curve'!$B$7:$H$246,7),VLOOKUP(L229,'Revenues &amp; Expenses'!$K$9:$S$246,9))</f>
        <v>44.005595689655181</v>
      </c>
      <c r="Q229" s="250">
        <f>'Revenues &amp; Expenses'!$AM$5*1000*'Revenues &amp; Expenses'!O237</f>
        <v>3.3401120398075448</v>
      </c>
      <c r="S229" s="247">
        <f t="shared" si="20"/>
        <v>0</v>
      </c>
      <c r="T229" s="247">
        <f>'Revenues &amp; Expenses'!$S$3</f>
        <v>310.66000000000003</v>
      </c>
      <c r="U229" s="391">
        <f>T229*'Revenues &amp; Expenses'!F237*4</f>
        <v>26095.440000000002</v>
      </c>
      <c r="W229" s="391">
        <f t="shared" si="21"/>
        <v>0</v>
      </c>
    </row>
    <row r="230" spans="2:23">
      <c r="B230" s="248">
        <v>43556</v>
      </c>
      <c r="C230" s="251">
        <f>VLOOKUP(B230,'Company Gas Prices'!$B$25:$C$259,2)</f>
        <v>4.08229167</v>
      </c>
      <c r="D230" s="250">
        <f>VLOOKUP(B230,'Fuel Curve'!$B$7:$F$268,5)</f>
        <v>4.4939655172413797</v>
      </c>
      <c r="E230" s="250">
        <f t="shared" si="17"/>
        <v>0.41167384724137968</v>
      </c>
      <c r="G230" s="248">
        <v>43556</v>
      </c>
      <c r="H230" s="250">
        <f>VLOOKUP(G230,'Company Power Prices'!$B$25:$C$259,2)</f>
        <v>47.346890139999999</v>
      </c>
      <c r="I230" s="250">
        <f t="shared" si="22"/>
        <v>35.53389961213135</v>
      </c>
      <c r="J230" s="252">
        <f t="shared" si="18"/>
        <v>-11.812990527868649</v>
      </c>
      <c r="L230" s="248">
        <v>43556</v>
      </c>
      <c r="M230" s="250">
        <f t="shared" si="23"/>
        <v>31.325000762939453</v>
      </c>
      <c r="N230" s="250">
        <f t="shared" si="19"/>
        <v>46.395231553648607</v>
      </c>
      <c r="P230" s="250">
        <f>IF($L$1=1,VLOOKUP(L230,'Fuel Curve'!$B$7:$H$246,7),VLOOKUP(L230,'Revenues &amp; Expenses'!$K$9:$S$246,9))</f>
        <v>43.047695689655178</v>
      </c>
      <c r="Q230" s="250">
        <f>'Revenues &amp; Expenses'!$AM$5*1000*'Revenues &amp; Expenses'!O238</f>
        <v>3.3475358639934316</v>
      </c>
      <c r="S230" s="247">
        <f t="shared" si="20"/>
        <v>0</v>
      </c>
      <c r="T230" s="247">
        <f>'Revenues &amp; Expenses'!$S$3</f>
        <v>310.66000000000003</v>
      </c>
      <c r="U230" s="391">
        <f>T230*'Revenues &amp; Expenses'!F238*4</f>
        <v>27338.080000000002</v>
      </c>
      <c r="W230" s="391">
        <f t="shared" si="21"/>
        <v>0</v>
      </c>
    </row>
    <row r="231" spans="2:23">
      <c r="B231" s="248">
        <v>43586</v>
      </c>
      <c r="C231" s="251">
        <f>VLOOKUP(B231,'Company Gas Prices'!$B$25:$C$259,2)</f>
        <v>3.91979167</v>
      </c>
      <c r="D231" s="250">
        <f>VLOOKUP(B231,'Fuel Curve'!$B$7:$F$268,5)</f>
        <v>4.4267241379310347</v>
      </c>
      <c r="E231" s="250">
        <f t="shared" si="17"/>
        <v>0.50693246793103475</v>
      </c>
      <c r="G231" s="248">
        <v>43586</v>
      </c>
      <c r="H231" s="250">
        <f>VLOOKUP(G231,'Company Power Prices'!$B$25:$C$259,2)</f>
        <v>57.747255699999997</v>
      </c>
      <c r="I231" s="250">
        <f t="shared" si="22"/>
        <v>43.171149656872267</v>
      </c>
      <c r="J231" s="252">
        <f t="shared" si="18"/>
        <v>-14.57610604312773</v>
      </c>
      <c r="L231" s="248">
        <v>43586</v>
      </c>
      <c r="M231" s="250">
        <f t="shared" si="23"/>
        <v>39.325000000000003</v>
      </c>
      <c r="N231" s="250">
        <f t="shared" si="19"/>
        <v>45.758566705814964</v>
      </c>
      <c r="P231" s="250">
        <f>IF($L$1=1,VLOOKUP(L231,'Fuel Curve'!$B$7:$H$246,7),VLOOKUP(L231,'Revenues &amp; Expenses'!$K$9:$S$246,9))</f>
        <v>42.403590517241383</v>
      </c>
      <c r="Q231" s="250">
        <f>'Revenues &amp; Expenses'!$AM$5*1000*'Revenues &amp; Expenses'!O239</f>
        <v>3.3549761885735832</v>
      </c>
      <c r="S231" s="247">
        <f t="shared" si="20"/>
        <v>0</v>
      </c>
      <c r="T231" s="247">
        <f>'Revenues &amp; Expenses'!$S$3</f>
        <v>310.66000000000003</v>
      </c>
      <c r="U231" s="391">
        <f>T231*'Revenues &amp; Expenses'!F239*4</f>
        <v>27338.080000000002</v>
      </c>
      <c r="W231" s="391">
        <f t="shared" si="21"/>
        <v>0</v>
      </c>
    </row>
    <row r="232" spans="2:23">
      <c r="B232" s="248">
        <v>43617</v>
      </c>
      <c r="C232" s="251">
        <f>VLOOKUP(B232,'Company Gas Prices'!$B$25:$C$259,2)</f>
        <v>3.9125000000000001</v>
      </c>
      <c r="D232" s="250">
        <f>VLOOKUP(B232,'Fuel Curve'!$B$7:$F$268,5)</f>
        <v>4.4201724137931047</v>
      </c>
      <c r="E232" s="250">
        <f t="shared" si="17"/>
        <v>0.50767241379310457</v>
      </c>
      <c r="G232" s="248">
        <v>43617</v>
      </c>
      <c r="H232" s="250">
        <f>VLOOKUP(G232,'Company Power Prices'!$B$25:$C$259,2)</f>
        <v>104.0923138</v>
      </c>
      <c r="I232" s="250">
        <f t="shared" si="22"/>
        <v>84.342000381923455</v>
      </c>
      <c r="J232" s="252">
        <f t="shared" si="18"/>
        <v>-19.750313418076544</v>
      </c>
      <c r="L232" s="248">
        <v>43617</v>
      </c>
      <c r="M232" s="250">
        <f t="shared" si="23"/>
        <v>68.349998474121094</v>
      </c>
      <c r="N232" s="250">
        <f t="shared" si="19"/>
        <v>45.703264601946373</v>
      </c>
      <c r="P232" s="250">
        <f>IF($L$1=1,VLOOKUP(L232,'Fuel Curve'!$B$7:$H$246,7),VLOOKUP(L232,'Revenues &amp; Expenses'!$K$9:$S$246,9))</f>
        <v>42.34083155172415</v>
      </c>
      <c r="Q232" s="250">
        <f>'Revenues &amp; Expenses'!$AM$5*1000*'Revenues &amp; Expenses'!O240</f>
        <v>3.3624330502222248</v>
      </c>
      <c r="S232" s="247">
        <f t="shared" si="20"/>
        <v>1</v>
      </c>
      <c r="T232" s="247">
        <f>'Revenues &amp; Expenses'!$S$3</f>
        <v>310.66000000000003</v>
      </c>
      <c r="U232" s="391">
        <f>T232*'Revenues &amp; Expenses'!F240*4</f>
        <v>26095.440000000002</v>
      </c>
      <c r="W232" s="391">
        <f t="shared" si="21"/>
        <v>590976.48495730315</v>
      </c>
    </row>
    <row r="233" spans="2:23">
      <c r="B233" s="248">
        <v>43647</v>
      </c>
      <c r="C233" s="251">
        <f>VLOOKUP(B233,'Company Gas Prices'!$B$25:$C$259,2)</f>
        <v>3.8739583299999998</v>
      </c>
      <c r="D233" s="250">
        <f>VLOOKUP(B233,'Fuel Curve'!$B$7:$F$268,5)</f>
        <v>4.477413793103449</v>
      </c>
      <c r="E233" s="250">
        <f t="shared" si="17"/>
        <v>0.60345546310344922</v>
      </c>
      <c r="G233" s="248">
        <v>43647</v>
      </c>
      <c r="H233" s="250">
        <f>VLOOKUP(G233,'Company Power Prices'!$B$25:$C$259,2)</f>
        <v>162.35939680000001</v>
      </c>
      <c r="I233" s="250">
        <f t="shared" si="22"/>
        <v>164.06756314574017</v>
      </c>
      <c r="J233" s="252">
        <f t="shared" si="18"/>
        <v>1.7081663457401532</v>
      </c>
      <c r="L233" s="248">
        <v>43647</v>
      </c>
      <c r="M233" s="250">
        <f t="shared" si="23"/>
        <v>124.94999694824219</v>
      </c>
      <c r="N233" s="250">
        <f t="shared" si="19"/>
        <v>46.259053209833034</v>
      </c>
      <c r="P233" s="250">
        <f>IF($L$1=1,VLOOKUP(L233,'Fuel Curve'!$B$7:$H$246,7),VLOOKUP(L233,'Revenues &amp; Expenses'!$K$9:$S$246,9))</f>
        <v>42.889146724137937</v>
      </c>
      <c r="Q233" s="250">
        <f>'Revenues &amp; Expenses'!$AM$5*1000*'Revenues &amp; Expenses'!O241</f>
        <v>3.3699064856950973</v>
      </c>
      <c r="S233" s="247">
        <f t="shared" si="20"/>
        <v>1</v>
      </c>
      <c r="T233" s="247">
        <f>'Revenues &amp; Expenses'!$S$3</f>
        <v>310.66000000000003</v>
      </c>
      <c r="U233" s="391">
        <f>T233*'Revenues &amp; Expenses'!F241*4</f>
        <v>28580.720000000001</v>
      </c>
      <c r="W233" s="391">
        <f t="shared" si="21"/>
        <v>2249043.8295232253</v>
      </c>
    </row>
    <row r="234" spans="2:23">
      <c r="B234" s="248">
        <v>43678</v>
      </c>
      <c r="C234" s="251">
        <f>VLOOKUP(B234,'Company Gas Prices'!$B$25:$C$259,2)</f>
        <v>3.8739583299999998</v>
      </c>
      <c r="D234" s="250">
        <f>VLOOKUP(B234,'Fuel Curve'!$B$7:$F$268,5)</f>
        <v>4.5679310344827595</v>
      </c>
      <c r="E234" s="250">
        <f t="shared" si="17"/>
        <v>0.69397270448275972</v>
      </c>
      <c r="G234" s="248">
        <v>43678</v>
      </c>
      <c r="H234" s="250">
        <f>VLOOKUP(G234,'Company Power Prices'!$B$25:$C$259,2)</f>
        <v>162.35939680000001</v>
      </c>
      <c r="I234" s="250">
        <f t="shared" si="22"/>
        <v>137.40069706080536</v>
      </c>
      <c r="J234" s="252">
        <f t="shared" si="18"/>
        <v>-24.958699739194657</v>
      </c>
      <c r="L234" s="248">
        <v>43678</v>
      </c>
      <c r="M234" s="250">
        <f t="shared" si="23"/>
        <v>111.94999694824219</v>
      </c>
      <c r="N234" s="250">
        <f t="shared" si="19"/>
        <v>47.13360791113999</v>
      </c>
      <c r="P234" s="250">
        <f>IF($L$1=1,VLOOKUP(L234,'Fuel Curve'!$B$7:$H$246,7),VLOOKUP(L234,'Revenues &amp; Expenses'!$K$9:$S$246,9))</f>
        <v>43.756211379310358</v>
      </c>
      <c r="Q234" s="250">
        <f>'Revenues &amp; Expenses'!$AM$5*1000*'Revenues &amp; Expenses'!O242</f>
        <v>3.3773965318296346</v>
      </c>
      <c r="S234" s="247">
        <f t="shared" si="20"/>
        <v>1</v>
      </c>
      <c r="T234" s="247">
        <f>'Revenues &amp; Expenses'!$S$3</f>
        <v>310.66000000000003</v>
      </c>
      <c r="U234" s="391">
        <f>T234*'Revenues &amp; Expenses'!F242*4</f>
        <v>26095.440000000002</v>
      </c>
      <c r="W234" s="391">
        <f t="shared" si="21"/>
        <v>1691412.1911343583</v>
      </c>
    </row>
    <row r="235" spans="2:23">
      <c r="B235" s="248">
        <v>43709</v>
      </c>
      <c r="C235" s="251">
        <f>VLOOKUP(B235,'Company Gas Prices'!$B$25:$C$259,2)</f>
        <v>3.91979167</v>
      </c>
      <c r="D235" s="250">
        <f>VLOOKUP(B235,'Fuel Curve'!$B$7:$F$268,5)</f>
        <v>4.6627586206896563</v>
      </c>
      <c r="E235" s="250">
        <f t="shared" si="17"/>
        <v>0.74296695068965635</v>
      </c>
      <c r="G235" s="248">
        <v>43709</v>
      </c>
      <c r="H235" s="250">
        <f>VLOOKUP(G235,'Company Power Prices'!$B$25:$C$259,2)</f>
        <v>57.747255699999997</v>
      </c>
      <c r="I235" s="250">
        <f t="shared" si="22"/>
        <v>46.116286483886782</v>
      </c>
      <c r="J235" s="252">
        <f t="shared" si="18"/>
        <v>-11.630969216113215</v>
      </c>
      <c r="L235" s="248">
        <v>43709</v>
      </c>
      <c r="M235" s="250">
        <f t="shared" si="23"/>
        <v>39.924998474121097</v>
      </c>
      <c r="N235" s="250">
        <f t="shared" si="19"/>
        <v>48.049468053131363</v>
      </c>
      <c r="P235" s="250">
        <f>IF($L$1=1,VLOOKUP(L235,'Fuel Curve'!$B$7:$H$246,7),VLOOKUP(L235,'Revenues &amp; Expenses'!$K$9:$S$246,9))</f>
        <v>44.664564827586219</v>
      </c>
      <c r="Q235" s="250">
        <f>'Revenues &amp; Expenses'!$AM$5*1000*'Revenues &amp; Expenses'!O243</f>
        <v>3.3849032255451457</v>
      </c>
      <c r="S235" s="247">
        <f t="shared" si="20"/>
        <v>0</v>
      </c>
      <c r="T235" s="247">
        <f>'Revenues &amp; Expenses'!$S$3</f>
        <v>310.66000000000003</v>
      </c>
      <c r="U235" s="391">
        <f>T235*'Revenues &amp; Expenses'!F243*4</f>
        <v>27338.080000000002</v>
      </c>
      <c r="W235" s="391">
        <f t="shared" si="21"/>
        <v>0</v>
      </c>
    </row>
    <row r="236" spans="2:23">
      <c r="B236" s="248">
        <v>43739</v>
      </c>
      <c r="C236" s="251">
        <f>VLOOKUP(B236,'Company Gas Prices'!$B$25:$C$259,2)</f>
        <v>3.8802083299999999</v>
      </c>
      <c r="D236" s="250">
        <f>VLOOKUP(B236,'Fuel Curve'!$B$7:$F$268,5)</f>
        <v>4.7553448275862067</v>
      </c>
      <c r="E236" s="250">
        <f t="shared" si="17"/>
        <v>0.87513649758620682</v>
      </c>
      <c r="G236" s="248">
        <v>43739</v>
      </c>
      <c r="H236" s="250">
        <f>VLOOKUP(G236,'Company Power Prices'!$B$25:$C$259,2)</f>
        <v>49.720502250000003</v>
      </c>
      <c r="I236" s="250">
        <f t="shared" si="22"/>
        <v>37.385623573122025</v>
      </c>
      <c r="J236" s="252">
        <f t="shared" si="18"/>
        <v>-12.334878676877977</v>
      </c>
      <c r="L236" s="248">
        <v>43739</v>
      </c>
      <c r="M236" s="250">
        <f t="shared" si="23"/>
        <v>31.825000381469728</v>
      </c>
      <c r="N236" s="250">
        <f t="shared" si="19"/>
        <v>48.943874707291272</v>
      </c>
      <c r="P236" s="250">
        <f>IF($L$1=1,VLOOKUP(L236,'Fuel Curve'!$B$7:$H$246,7),VLOOKUP(L236,'Revenues &amp; Expenses'!$K$9:$S$246,9))</f>
        <v>45.551448103448273</v>
      </c>
      <c r="Q236" s="250">
        <f>'Revenues &amp; Expenses'!$AM$5*1000*'Revenues &amp; Expenses'!O244</f>
        <v>3.392426603843</v>
      </c>
      <c r="S236" s="247">
        <f t="shared" si="20"/>
        <v>0</v>
      </c>
      <c r="T236" s="247">
        <f>'Revenues &amp; Expenses'!$S$3</f>
        <v>310.66000000000003</v>
      </c>
      <c r="U236" s="391">
        <f>T236*'Revenues &amp; Expenses'!F244*4</f>
        <v>28580.720000000001</v>
      </c>
      <c r="W236" s="391">
        <f t="shared" si="21"/>
        <v>0</v>
      </c>
    </row>
    <row r="237" spans="2:23">
      <c r="B237" s="248">
        <v>43770</v>
      </c>
      <c r="C237" s="251">
        <f>VLOOKUP(B237,'Company Gas Prices'!$B$25:$C$259,2)</f>
        <v>3.8802083299999999</v>
      </c>
      <c r="D237" s="250">
        <f>VLOOKUP(B237,'Fuel Curve'!$B$7:$F$268,5)</f>
        <v>4.8046551724137938</v>
      </c>
      <c r="E237" s="250">
        <f t="shared" si="17"/>
        <v>0.92444684241379393</v>
      </c>
      <c r="G237" s="248">
        <v>43770</v>
      </c>
      <c r="H237" s="250">
        <f>VLOOKUP(G237,'Company Power Prices'!$B$25:$C$259,2)</f>
        <v>51.332499489999996</v>
      </c>
      <c r="I237" s="250">
        <f t="shared" si="22"/>
        <v>37.508009347267155</v>
      </c>
      <c r="J237" s="252">
        <f t="shared" si="18"/>
        <v>-13.824490142732841</v>
      </c>
      <c r="L237" s="248">
        <v>43770</v>
      </c>
      <c r="M237" s="250">
        <f t="shared" si="23"/>
        <v>31.497499084472658</v>
      </c>
      <c r="N237" s="250">
        <f t="shared" si="19"/>
        <v>49.423758600358532</v>
      </c>
      <c r="P237" s="250">
        <f>IF($L$1=1,VLOOKUP(L237,'Fuel Curve'!$B$7:$H$246,7),VLOOKUP(L237,'Revenues &amp; Expenses'!$K$9:$S$246,9))</f>
        <v>46.023791896551728</v>
      </c>
      <c r="Q237" s="250">
        <f>'Revenues &amp; Expenses'!$AM$5*1000*'Revenues &amp; Expenses'!O245</f>
        <v>3.3999667038068049</v>
      </c>
      <c r="S237" s="247">
        <f t="shared" si="20"/>
        <v>0</v>
      </c>
      <c r="T237" s="247">
        <f>'Revenues &amp; Expenses'!$S$3</f>
        <v>310.66000000000003</v>
      </c>
      <c r="U237" s="391">
        <f>T237*'Revenues &amp; Expenses'!F245*4</f>
        <v>24852.800000000003</v>
      </c>
      <c r="W237" s="391">
        <f t="shared" si="21"/>
        <v>0</v>
      </c>
    </row>
    <row r="238" spans="2:23">
      <c r="B238" s="248">
        <v>43800</v>
      </c>
      <c r="C238" s="251">
        <f>VLOOKUP(B238,'Company Gas Prices'!$B$25:$C$259,2)</f>
        <v>3.8802083299999999</v>
      </c>
      <c r="D238" s="250">
        <f>VLOOKUP(B238,'Fuel Curve'!$B$7:$F$268,5)</f>
        <v>4.8474137931034491</v>
      </c>
      <c r="E238" s="250">
        <f t="shared" si="17"/>
        <v>0.96720546310344924</v>
      </c>
      <c r="G238" s="248">
        <v>43800</v>
      </c>
      <c r="H238" s="250">
        <f>VLOOKUP(G238,'Company Power Prices'!$B$25:$C$259,2)</f>
        <v>51.332499489999996</v>
      </c>
      <c r="I238" s="250">
        <f t="shared" si="22"/>
        <v>40.09829889225108</v>
      </c>
      <c r="J238" s="252">
        <f t="shared" si="18"/>
        <v>-11.234200597748917</v>
      </c>
      <c r="L238" s="248">
        <v>43800</v>
      </c>
      <c r="M238" s="250">
        <f t="shared" si="23"/>
        <v>33.249999618530275</v>
      </c>
      <c r="N238" s="250">
        <f t="shared" si="19"/>
        <v>49.840900286740528</v>
      </c>
      <c r="P238" s="250">
        <f>IF($L$1=1,VLOOKUP(L238,'Fuel Curve'!$B$7:$H$246,7),VLOOKUP(L238,'Revenues &amp; Expenses'!$K$9:$S$246,9))</f>
        <v>46.433376724137936</v>
      </c>
      <c r="Q238" s="250">
        <f>'Revenues &amp; Expenses'!$AM$5*1000*'Revenues &amp; Expenses'!O246</f>
        <v>3.4075235626025906</v>
      </c>
      <c r="S238" s="247">
        <f t="shared" si="20"/>
        <v>0</v>
      </c>
      <c r="T238" s="247">
        <f>'Revenues &amp; Expenses'!$S$3</f>
        <v>310.66000000000003</v>
      </c>
      <c r="U238" s="391">
        <f>T238*'Revenues &amp; Expenses'!F246*4</f>
        <v>28580.720000000001</v>
      </c>
      <c r="W238" s="391">
        <f t="shared" si="21"/>
        <v>0</v>
      </c>
    </row>
  </sheetData>
  <mergeCells count="1">
    <mergeCell ref="C2:E2"/>
  </mergeCell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E787"/>
  <sheetViews>
    <sheetView workbookViewId="0">
      <selection activeCell="J74" sqref="J74"/>
    </sheetView>
  </sheetViews>
  <sheetFormatPr defaultColWidth="12.5546875" defaultRowHeight="15.6"/>
  <cols>
    <col min="1" max="1" width="1.88671875" style="44" bestFit="1" customWidth="1"/>
    <col min="2" max="2" width="13.33203125" style="44" customWidth="1"/>
    <col min="3" max="3" width="9.6640625" style="44" customWidth="1"/>
    <col min="4" max="4" width="11.5546875" style="44" bestFit="1" customWidth="1"/>
    <col min="5" max="6" width="9.6640625" style="44" customWidth="1"/>
    <col min="7" max="8" width="11.5546875" style="44" bestFit="1" customWidth="1"/>
    <col min="9" max="9" width="13.6640625" style="44" customWidth="1"/>
    <col min="10" max="11" width="14.6640625" style="44" bestFit="1" customWidth="1"/>
    <col min="12" max="22" width="9.6640625" style="44" customWidth="1"/>
    <col min="23" max="16384" width="12.5546875" style="44"/>
  </cols>
  <sheetData>
    <row r="1" spans="1:31" s="50" customFormat="1" ht="6.6">
      <c r="C1" s="50">
        <v>1</v>
      </c>
      <c r="D1" s="50">
        <f>C1+1</f>
        <v>2</v>
      </c>
      <c r="E1" s="50">
        <f t="shared" ref="E1:V1" si="0">D1+1</f>
        <v>3</v>
      </c>
      <c r="F1" s="50">
        <f t="shared" si="0"/>
        <v>4</v>
      </c>
      <c r="G1" s="50">
        <f t="shared" si="0"/>
        <v>5</v>
      </c>
      <c r="H1" s="50">
        <f t="shared" si="0"/>
        <v>6</v>
      </c>
      <c r="I1" s="50">
        <f t="shared" si="0"/>
        <v>7</v>
      </c>
      <c r="J1" s="50">
        <f t="shared" si="0"/>
        <v>8</v>
      </c>
      <c r="K1" s="50">
        <f t="shared" si="0"/>
        <v>9</v>
      </c>
      <c r="L1" s="50">
        <f t="shared" si="0"/>
        <v>10</v>
      </c>
      <c r="M1" s="50">
        <f t="shared" si="0"/>
        <v>11</v>
      </c>
      <c r="N1" s="50">
        <f t="shared" si="0"/>
        <v>12</v>
      </c>
      <c r="O1" s="50">
        <f t="shared" si="0"/>
        <v>13</v>
      </c>
      <c r="P1" s="50">
        <f t="shared" si="0"/>
        <v>14</v>
      </c>
      <c r="Q1" s="50">
        <f t="shared" si="0"/>
        <v>15</v>
      </c>
      <c r="R1" s="50">
        <f t="shared" si="0"/>
        <v>16</v>
      </c>
      <c r="S1" s="50">
        <f t="shared" si="0"/>
        <v>17</v>
      </c>
      <c r="T1" s="50">
        <f t="shared" si="0"/>
        <v>18</v>
      </c>
      <c r="U1" s="50">
        <f t="shared" si="0"/>
        <v>19</v>
      </c>
      <c r="V1" s="50">
        <f t="shared" si="0"/>
        <v>20</v>
      </c>
    </row>
    <row r="2" spans="1:31">
      <c r="B2" s="45" t="s">
        <v>75</v>
      </c>
      <c r="C2" s="46">
        <v>2000</v>
      </c>
      <c r="D2" s="46">
        <v>2001</v>
      </c>
      <c r="E2" s="46">
        <v>2002</v>
      </c>
      <c r="F2" s="46">
        <v>2003</v>
      </c>
      <c r="G2" s="46">
        <v>2004</v>
      </c>
      <c r="H2" s="46">
        <v>2005</v>
      </c>
      <c r="I2" s="46">
        <v>2006</v>
      </c>
      <c r="J2" s="46">
        <v>2007</v>
      </c>
      <c r="K2" s="46">
        <v>2008</v>
      </c>
      <c r="L2" s="46">
        <v>2009</v>
      </c>
      <c r="M2" s="46">
        <v>2010</v>
      </c>
      <c r="N2" s="46">
        <v>2011</v>
      </c>
      <c r="O2" s="46">
        <v>2012</v>
      </c>
      <c r="P2" s="46">
        <v>2013</v>
      </c>
      <c r="Q2" s="46">
        <v>2014</v>
      </c>
      <c r="R2" s="46">
        <v>2015</v>
      </c>
      <c r="S2" s="46">
        <v>2016</v>
      </c>
      <c r="T2" s="46">
        <v>2017</v>
      </c>
      <c r="U2" s="46">
        <v>2018</v>
      </c>
      <c r="V2" s="46">
        <v>2019</v>
      </c>
    </row>
    <row r="3" spans="1:31" ht="16.2" thickBot="1">
      <c r="B3" s="45" t="s">
        <v>76</v>
      </c>
      <c r="C3" s="49">
        <v>7</v>
      </c>
      <c r="D3" s="49">
        <v>12</v>
      </c>
      <c r="E3" s="49">
        <v>12</v>
      </c>
      <c r="F3" s="49">
        <v>12</v>
      </c>
      <c r="G3" s="49">
        <v>12</v>
      </c>
      <c r="H3" s="49">
        <v>12</v>
      </c>
      <c r="I3" s="49">
        <v>12</v>
      </c>
      <c r="J3" s="49">
        <v>12</v>
      </c>
      <c r="K3" s="49">
        <v>12</v>
      </c>
      <c r="L3" s="49">
        <v>12</v>
      </c>
      <c r="M3" s="49">
        <v>12</v>
      </c>
      <c r="N3" s="49">
        <v>12</v>
      </c>
      <c r="O3" s="49">
        <v>12</v>
      </c>
      <c r="P3" s="49">
        <v>12</v>
      </c>
      <c r="Q3" s="49">
        <v>12</v>
      </c>
      <c r="R3" s="49">
        <v>12</v>
      </c>
      <c r="S3" s="49">
        <v>12</v>
      </c>
      <c r="T3" s="49">
        <v>12</v>
      </c>
      <c r="U3" s="49">
        <v>12</v>
      </c>
      <c r="V3" s="49">
        <v>12</v>
      </c>
    </row>
    <row r="4" spans="1:31"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</row>
    <row r="5" spans="1:31">
      <c r="A5" s="50">
        <v>1</v>
      </c>
      <c r="B5" s="44" t="s">
        <v>62</v>
      </c>
      <c r="C5" s="47">
        <v>0</v>
      </c>
      <c r="D5" s="47">
        <v>8959.6774722186638</v>
      </c>
      <c r="E5" s="47">
        <v>20049.084567533777</v>
      </c>
      <c r="F5" s="47">
        <v>19619.599918404885</v>
      </c>
      <c r="G5" s="47">
        <v>17580.826841000882</v>
      </c>
      <c r="H5" s="47">
        <v>16643.557970875103</v>
      </c>
      <c r="I5" s="47">
        <v>17347.411018992443</v>
      </c>
      <c r="J5" s="47">
        <v>18013.917368088445</v>
      </c>
      <c r="K5" s="47">
        <v>17916.30730770533</v>
      </c>
      <c r="L5" s="47">
        <v>17006.62445384622</v>
      </c>
      <c r="M5" s="47">
        <v>16153.385273371108</v>
      </c>
      <c r="N5" s="47">
        <v>16126.649219905776</v>
      </c>
      <c r="O5" s="47">
        <v>16838.565578504444</v>
      </c>
      <c r="P5" s="47">
        <v>17438.018109661331</v>
      </c>
      <c r="Q5" s="47">
        <v>17301.363640695556</v>
      </c>
      <c r="R5" s="47">
        <v>14630.45796802489</v>
      </c>
      <c r="S5" s="47">
        <v>13836.209963666219</v>
      </c>
      <c r="T5" s="47">
        <v>14369.033868843107</v>
      </c>
      <c r="U5" s="47">
        <v>14846.473856573333</v>
      </c>
      <c r="V5" s="47">
        <v>14724.461522225774</v>
      </c>
    </row>
    <row r="6" spans="1:31">
      <c r="A6" s="50">
        <v>2</v>
      </c>
      <c r="B6" s="44" t="s">
        <v>63</v>
      </c>
      <c r="C6" s="47">
        <v>0</v>
      </c>
      <c r="D6" s="47">
        <v>462.11481927022209</v>
      </c>
      <c r="E6" s="47">
        <v>926.55215538355537</v>
      </c>
      <c r="F6" s="47">
        <v>870.00185066666643</v>
      </c>
      <c r="G6" s="47">
        <v>761.8879230075554</v>
      </c>
      <c r="H6" s="47">
        <v>761.88792300755529</v>
      </c>
      <c r="I6" s="47">
        <v>752.76341374577783</v>
      </c>
      <c r="J6" s="47">
        <v>721.88926158222216</v>
      </c>
      <c r="K6" s="47">
        <v>712.97695085244436</v>
      </c>
      <c r="L6" s="47">
        <v>699.60804490266662</v>
      </c>
      <c r="M6" s="47">
        <v>688.89185384444443</v>
      </c>
      <c r="N6" s="47">
        <v>670.64373574177762</v>
      </c>
      <c r="O6" s="47">
        <v>670.64373574177762</v>
      </c>
      <c r="P6" s="47">
        <v>626.40040543111115</v>
      </c>
      <c r="Q6" s="47">
        <v>626.40040543111104</v>
      </c>
      <c r="R6" s="47">
        <v>450.0668593648889</v>
      </c>
      <c r="S6" s="47">
        <v>462.16190842266661</v>
      </c>
      <c r="T6" s="47">
        <v>451.6582285288888</v>
      </c>
      <c r="U6" s="47">
        <v>436.6979534151111</v>
      </c>
      <c r="V6" s="47">
        <v>421.95075555733325</v>
      </c>
    </row>
    <row r="7" spans="1:31">
      <c r="A7" s="50">
        <v>3</v>
      </c>
      <c r="B7" s="44" t="s">
        <v>64</v>
      </c>
      <c r="C7" s="47">
        <v>0</v>
      </c>
      <c r="D7" s="47">
        <v>462.11481927022209</v>
      </c>
      <c r="E7" s="47">
        <v>926.55215538355537</v>
      </c>
      <c r="F7" s="47">
        <v>870.00185066666643</v>
      </c>
      <c r="G7" s="47">
        <v>761.8879230075554</v>
      </c>
      <c r="H7" s="47">
        <v>761.88792300755529</v>
      </c>
      <c r="I7" s="47">
        <v>752.76341374577783</v>
      </c>
      <c r="J7" s="47">
        <v>721.88926158222216</v>
      </c>
      <c r="K7" s="47">
        <v>712.97695085244436</v>
      </c>
      <c r="L7" s="47">
        <v>699.60804490266662</v>
      </c>
      <c r="M7" s="47">
        <v>688.89185384444443</v>
      </c>
      <c r="N7" s="47">
        <v>670.64373574177762</v>
      </c>
      <c r="O7" s="47">
        <v>670.64373574177762</v>
      </c>
      <c r="P7" s="47">
        <v>626.40040543111115</v>
      </c>
      <c r="Q7" s="47">
        <v>626.40040543111104</v>
      </c>
      <c r="R7" s="47">
        <v>450.0668593648889</v>
      </c>
      <c r="S7" s="47">
        <v>462.16190842266661</v>
      </c>
      <c r="T7" s="47">
        <v>451.6582285288888</v>
      </c>
      <c r="U7" s="47">
        <v>436.6979534151111</v>
      </c>
      <c r="V7" s="47">
        <v>421.95075555733325</v>
      </c>
    </row>
    <row r="8" spans="1:31">
      <c r="A8" s="50">
        <v>4</v>
      </c>
      <c r="B8" s="44" t="s">
        <v>65</v>
      </c>
      <c r="C8" s="47">
        <v>0</v>
      </c>
      <c r="D8" s="47">
        <v>5959.7515085297764</v>
      </c>
      <c r="E8" s="47">
        <v>12055.889461398223</v>
      </c>
      <c r="F8" s="47">
        <v>11199.258379655108</v>
      </c>
      <c r="G8" s="47">
        <v>9712.4023690555532</v>
      </c>
      <c r="H8" s="47">
        <v>9170.6666975435528</v>
      </c>
      <c r="I8" s="47">
        <v>8623.6274809191109</v>
      </c>
      <c r="J8" s="47">
        <v>8914.4406196688888</v>
      </c>
      <c r="K8" s="47">
        <v>9285.253340704443</v>
      </c>
      <c r="L8" s="47">
        <v>9156.874316647556</v>
      </c>
      <c r="M8" s="47">
        <v>9049.5044936551094</v>
      </c>
      <c r="N8" s="47">
        <v>8508.9366325319988</v>
      </c>
      <c r="O8" s="47">
        <v>8401.9893426435556</v>
      </c>
      <c r="P8" s="47">
        <v>8687.7101091417771</v>
      </c>
      <c r="Q8" s="47">
        <v>8599.0118575013312</v>
      </c>
      <c r="R8" s="47">
        <v>7389.9226365004442</v>
      </c>
      <c r="S8" s="47">
        <v>6991.6304467022219</v>
      </c>
      <c r="T8" s="47">
        <v>6578.0621451097768</v>
      </c>
      <c r="U8" s="47">
        <v>6815.6151663817773</v>
      </c>
      <c r="V8" s="47">
        <v>7063.139749375111</v>
      </c>
    </row>
    <row r="9" spans="1:31">
      <c r="A9" s="50">
        <v>5</v>
      </c>
      <c r="B9" s="44" t="s">
        <v>38</v>
      </c>
      <c r="C9" s="47">
        <v>0</v>
      </c>
      <c r="D9" s="47">
        <v>13502.435285655552</v>
      </c>
      <c r="E9" s="47">
        <v>17367.414505152443</v>
      </c>
      <c r="F9" s="47">
        <v>18970.998914043554</v>
      </c>
      <c r="G9" s="47">
        <v>17254.389406809329</v>
      </c>
      <c r="H9" s="47">
        <v>15970.876490943105</v>
      </c>
      <c r="I9" s="47">
        <v>17152.251015374222</v>
      </c>
      <c r="J9" s="47">
        <v>17508.30590115911</v>
      </c>
      <c r="K9" s="47">
        <v>17783.534566012444</v>
      </c>
      <c r="L9" s="47">
        <v>16891.36970430311</v>
      </c>
      <c r="M9" s="47">
        <v>16716.802065064887</v>
      </c>
      <c r="N9" s="47">
        <v>16689.445243883998</v>
      </c>
      <c r="O9" s="47">
        <v>17184.95945211111</v>
      </c>
      <c r="P9" s="47">
        <v>16943.176548383559</v>
      </c>
      <c r="Q9" s="47">
        <v>17483.117549896444</v>
      </c>
      <c r="R9" s="47">
        <v>16992.538731998669</v>
      </c>
      <c r="S9" s="47">
        <v>17781.504892078661</v>
      </c>
      <c r="T9" s="47">
        <v>17594.758442943108</v>
      </c>
      <c r="U9" s="47">
        <v>17179.008032965328</v>
      </c>
      <c r="V9" s="47">
        <v>16567.654377571111</v>
      </c>
    </row>
    <row r="10" spans="1:31">
      <c r="A10" s="50">
        <v>6</v>
      </c>
      <c r="B10" s="44" t="s">
        <v>66</v>
      </c>
      <c r="C10" s="47">
        <v>12539.362295873016</v>
      </c>
      <c r="D10" s="47">
        <v>32661.244557753769</v>
      </c>
      <c r="E10" s="47">
        <v>29277.030026072887</v>
      </c>
      <c r="F10" s="47">
        <v>32361.99673668266</v>
      </c>
      <c r="G10" s="47">
        <v>33059.526153552884</v>
      </c>
      <c r="H10" s="47">
        <v>30292.162001615103</v>
      </c>
      <c r="I10" s="47">
        <v>32157.369513552887</v>
      </c>
      <c r="J10" s="47">
        <v>32163.931047241771</v>
      </c>
      <c r="K10" s="47">
        <v>32058.439299061774</v>
      </c>
      <c r="L10" s="47">
        <v>32784.36806177556</v>
      </c>
      <c r="M10" s="47">
        <v>32682.876341182662</v>
      </c>
      <c r="N10" s="47">
        <v>31891.233976370222</v>
      </c>
      <c r="O10" s="47">
        <v>31246.805776853333</v>
      </c>
      <c r="P10" s="47">
        <v>28830.05282636889</v>
      </c>
      <c r="Q10" s="47">
        <v>31276.94676155466</v>
      </c>
      <c r="R10" s="47">
        <v>33305.365392239109</v>
      </c>
      <c r="S10" s="47">
        <v>34009.045863302214</v>
      </c>
      <c r="T10" s="47">
        <v>33747.421158630663</v>
      </c>
      <c r="U10" s="47">
        <v>32295.255862834219</v>
      </c>
      <c r="V10" s="47">
        <v>29151.958772611109</v>
      </c>
    </row>
    <row r="11" spans="1:31">
      <c r="A11" s="50">
        <v>7</v>
      </c>
      <c r="B11" s="44" t="s">
        <v>67</v>
      </c>
      <c r="C11" s="47">
        <v>19621.499977539683</v>
      </c>
      <c r="D11" s="47">
        <v>55489.701674826203</v>
      </c>
      <c r="E11" s="47">
        <v>52644.217323145771</v>
      </c>
      <c r="F11" s="47">
        <v>53980.536934905773</v>
      </c>
      <c r="G11" s="47">
        <v>52080.594725612435</v>
      </c>
      <c r="H11" s="47">
        <v>50413.408785450651</v>
      </c>
      <c r="I11" s="47">
        <v>51574.485499506663</v>
      </c>
      <c r="J11" s="47">
        <v>53637.922491685771</v>
      </c>
      <c r="K11" s="47">
        <v>52294.40630098222</v>
      </c>
      <c r="L11" s="47">
        <v>51579.897963987554</v>
      </c>
      <c r="M11" s="47">
        <v>51393.150848165766</v>
      </c>
      <c r="N11" s="47">
        <v>50841.031400671549</v>
      </c>
      <c r="O11" s="47">
        <v>53690.513874557771</v>
      </c>
      <c r="P11" s="47">
        <v>52835.208145299999</v>
      </c>
      <c r="Q11" s="47">
        <v>52286.286001649765</v>
      </c>
      <c r="R11" s="47">
        <v>51772.057010744</v>
      </c>
      <c r="S11" s="47">
        <v>52207.799391751098</v>
      </c>
      <c r="T11" s="47">
        <v>51980.455053554215</v>
      </c>
      <c r="U11" s="47">
        <v>53178.437641077777</v>
      </c>
      <c r="V11" s="47">
        <v>51855.341118367105</v>
      </c>
    </row>
    <row r="12" spans="1:31">
      <c r="A12" s="50">
        <v>8</v>
      </c>
      <c r="B12" s="44" t="s">
        <v>68</v>
      </c>
      <c r="C12" s="47">
        <v>13080.999985361907</v>
      </c>
      <c r="D12" s="47">
        <v>36993.134449226658</v>
      </c>
      <c r="E12" s="47">
        <v>35096.144881768436</v>
      </c>
      <c r="F12" s="47">
        <v>35987.024623927988</v>
      </c>
      <c r="G12" s="47">
        <v>34720.396483412878</v>
      </c>
      <c r="H12" s="47">
        <v>33608.939190300436</v>
      </c>
      <c r="I12" s="47">
        <v>34382.99033300444</v>
      </c>
      <c r="J12" s="47">
        <v>35758.614995114665</v>
      </c>
      <c r="K12" s="47">
        <v>34862.93753333066</v>
      </c>
      <c r="L12" s="47">
        <v>34386.598642987112</v>
      </c>
      <c r="M12" s="47">
        <v>34262.100565115106</v>
      </c>
      <c r="N12" s="47">
        <v>33894.020934109772</v>
      </c>
      <c r="O12" s="47">
        <v>35793.67591702933</v>
      </c>
      <c r="P12" s="47">
        <v>35223.472096866666</v>
      </c>
      <c r="Q12" s="47">
        <v>34857.524001757331</v>
      </c>
      <c r="R12" s="47">
        <v>34514.704673829336</v>
      </c>
      <c r="S12" s="47">
        <v>34805.199594171994</v>
      </c>
      <c r="T12" s="47">
        <v>34653.636701711999</v>
      </c>
      <c r="U12" s="47">
        <v>35452.291761376</v>
      </c>
      <c r="V12" s="47">
        <v>34570.227411915999</v>
      </c>
    </row>
    <row r="13" spans="1:31">
      <c r="A13" s="50">
        <v>9</v>
      </c>
      <c r="B13" s="44" t="s">
        <v>69</v>
      </c>
      <c r="C13" s="47">
        <v>6674.2400329238098</v>
      </c>
      <c r="D13" s="47">
        <v>16502.976459697773</v>
      </c>
      <c r="E13" s="47">
        <v>21226.839951289778</v>
      </c>
      <c r="F13" s="47">
        <v>23186.776450935995</v>
      </c>
      <c r="G13" s="47">
        <v>21088.698163549328</v>
      </c>
      <c r="H13" s="47">
        <v>19519.960156473771</v>
      </c>
      <c r="I13" s="47">
        <v>20963.862352891112</v>
      </c>
      <c r="J13" s="47">
        <v>21399.040545751555</v>
      </c>
      <c r="K13" s="47">
        <v>21735.431136785333</v>
      </c>
      <c r="L13" s="47">
        <v>20645.007416260887</v>
      </c>
      <c r="M13" s="47">
        <v>20431.646968522222</v>
      </c>
      <c r="N13" s="47">
        <v>20398.210853635999</v>
      </c>
      <c r="O13" s="47">
        <v>21003.83933024844</v>
      </c>
      <c r="P13" s="47">
        <v>20708.326892907109</v>
      </c>
      <c r="Q13" s="47">
        <v>21368.254783754663</v>
      </c>
      <c r="R13" s="47">
        <v>20768.65844956311</v>
      </c>
      <c r="S13" s="47">
        <v>21732.950422994218</v>
      </c>
      <c r="T13" s="47">
        <v>21504.704764473772</v>
      </c>
      <c r="U13" s="47">
        <v>20996.565374281774</v>
      </c>
      <c r="V13" s="47">
        <v>20249.355351241335</v>
      </c>
    </row>
    <row r="14" spans="1:31">
      <c r="A14" s="50">
        <v>10</v>
      </c>
      <c r="B14" s="44" t="s">
        <v>70</v>
      </c>
      <c r="C14" s="47">
        <v>1294.1987357079365</v>
      </c>
      <c r="D14" s="47">
        <v>6583.7917599191105</v>
      </c>
      <c r="E14" s="47">
        <v>5314.8629059617779</v>
      </c>
      <c r="F14" s="47">
        <v>4817.0515031333325</v>
      </c>
      <c r="G14" s="47">
        <v>3729.7611841839989</v>
      </c>
      <c r="H14" s="47">
        <v>3662.9201713035541</v>
      </c>
      <c r="I14" s="47">
        <v>3790.6623295395557</v>
      </c>
      <c r="J14" s="47">
        <v>3914.1586886795549</v>
      </c>
      <c r="K14" s="47">
        <v>3845.8319359662219</v>
      </c>
      <c r="L14" s="47">
        <v>3645.9429178946666</v>
      </c>
      <c r="M14" s="47">
        <v>3440.115039231111</v>
      </c>
      <c r="N14" s="47">
        <v>3391.096890362222</v>
      </c>
      <c r="O14" s="47">
        <v>3704.2983593871108</v>
      </c>
      <c r="P14" s="47">
        <v>3679.8951228697779</v>
      </c>
      <c r="Q14" s="47">
        <v>3645.732708572888</v>
      </c>
      <c r="R14" s="47">
        <v>3006.3872695857776</v>
      </c>
      <c r="S14" s="47">
        <v>2847.4520869137777</v>
      </c>
      <c r="T14" s="47">
        <v>2945.6982172364442</v>
      </c>
      <c r="U14" s="47">
        <v>3064.9533809657773</v>
      </c>
      <c r="V14" s="47">
        <v>3045.4302136284446</v>
      </c>
    </row>
    <row r="15" spans="1:31">
      <c r="A15" s="50">
        <v>11</v>
      </c>
      <c r="B15" s="44" t="s">
        <v>71</v>
      </c>
      <c r="C15" s="47">
        <v>2668.217281431746</v>
      </c>
      <c r="D15" s="47">
        <v>8734.3407333435534</v>
      </c>
      <c r="E15" s="47">
        <v>8487.9816993315544</v>
      </c>
      <c r="F15" s="47">
        <v>8337.4300071439993</v>
      </c>
      <c r="G15" s="47">
        <v>8546.1761982333319</v>
      </c>
      <c r="H15" s="47">
        <v>8335.2542727128857</v>
      </c>
      <c r="I15" s="47">
        <v>8111.6004431622232</v>
      </c>
      <c r="J15" s="47">
        <v>8091.0709731319994</v>
      </c>
      <c r="K15" s="47">
        <v>8056.8533905502209</v>
      </c>
      <c r="L15" s="47">
        <v>8230.2170141955557</v>
      </c>
      <c r="M15" s="47">
        <v>8417.2674012404441</v>
      </c>
      <c r="N15" s="47">
        <v>8202.2082764564439</v>
      </c>
      <c r="O15" s="47">
        <v>8015.7944514759993</v>
      </c>
      <c r="P15" s="47">
        <v>7995.2636322937778</v>
      </c>
      <c r="Q15" s="47">
        <v>7981.5768698804441</v>
      </c>
      <c r="R15" s="47">
        <v>7520.6351461640015</v>
      </c>
      <c r="S15" s="47">
        <v>7520.6351461639979</v>
      </c>
      <c r="T15" s="47">
        <v>7349.7116207199988</v>
      </c>
      <c r="U15" s="47">
        <v>7342.8675639511112</v>
      </c>
      <c r="V15" s="47">
        <v>7342.8675639511112</v>
      </c>
    </row>
    <row r="16" spans="1:31">
      <c r="A16" s="50">
        <v>12</v>
      </c>
      <c r="B16" s="44" t="s">
        <v>72</v>
      </c>
      <c r="C16" s="52">
        <v>2668.217281431746</v>
      </c>
      <c r="D16" s="52">
        <v>8734.3407333435534</v>
      </c>
      <c r="E16" s="52">
        <v>8487.9816993315544</v>
      </c>
      <c r="F16" s="52">
        <v>8337.4300071439993</v>
      </c>
      <c r="G16" s="52">
        <v>8546.1761982333319</v>
      </c>
      <c r="H16" s="52">
        <v>8335.2542727128857</v>
      </c>
      <c r="I16" s="52">
        <v>8111.6004431622232</v>
      </c>
      <c r="J16" s="52">
        <v>8091.0709731319994</v>
      </c>
      <c r="K16" s="52">
        <v>8056.8533905502209</v>
      </c>
      <c r="L16" s="52">
        <v>8230.2170141955557</v>
      </c>
      <c r="M16" s="52">
        <v>8417.2674012404441</v>
      </c>
      <c r="N16" s="52">
        <v>8202.2082764564439</v>
      </c>
      <c r="O16" s="52">
        <v>8015.7944514759993</v>
      </c>
      <c r="P16" s="52">
        <v>7995.2636322937778</v>
      </c>
      <c r="Q16" s="52">
        <v>7981.5768698804441</v>
      </c>
      <c r="R16" s="52">
        <v>7520.6351461640015</v>
      </c>
      <c r="S16" s="52">
        <v>7520.6351461639979</v>
      </c>
      <c r="T16" s="52">
        <v>7349.7116207199988</v>
      </c>
      <c r="U16" s="52">
        <v>7342.8675639511112</v>
      </c>
      <c r="V16" s="52">
        <v>7342.8675639511112</v>
      </c>
    </row>
    <row r="17" spans="1:25" ht="16.2" thickBot="1">
      <c r="B17" s="48" t="s">
        <v>77</v>
      </c>
      <c r="C17" s="53">
        <f>SUM(C5:C16)</f>
        <v>58546.73559026984</v>
      </c>
      <c r="D17" s="53">
        <f t="shared" ref="D17:V17" si="1">SUM(D5:D16)</f>
        <v>195045.62427305506</v>
      </c>
      <c r="E17" s="53">
        <f t="shared" si="1"/>
        <v>211860.55133175332</v>
      </c>
      <c r="F17" s="53">
        <f t="shared" si="1"/>
        <v>218538.10717731059</v>
      </c>
      <c r="G17" s="53">
        <f t="shared" si="1"/>
        <v>207842.72356965905</v>
      </c>
      <c r="H17" s="53">
        <f t="shared" si="1"/>
        <v>197476.77585594615</v>
      </c>
      <c r="I17" s="53">
        <f t="shared" si="1"/>
        <v>203721.38725759645</v>
      </c>
      <c r="J17" s="53">
        <f t="shared" si="1"/>
        <v>208936.25212681823</v>
      </c>
      <c r="K17" s="53">
        <f t="shared" si="1"/>
        <v>207321.80210335375</v>
      </c>
      <c r="L17" s="53">
        <f t="shared" si="1"/>
        <v>203956.33359589908</v>
      </c>
      <c r="M17" s="53">
        <f t="shared" si="1"/>
        <v>202341.90010447774</v>
      </c>
      <c r="N17" s="53">
        <f t="shared" si="1"/>
        <v>199486.32917586798</v>
      </c>
      <c r="O17" s="53">
        <f t="shared" si="1"/>
        <v>205237.52400577063</v>
      </c>
      <c r="P17" s="53">
        <f t="shared" si="1"/>
        <v>201589.18792694894</v>
      </c>
      <c r="Q17" s="53">
        <f t="shared" si="1"/>
        <v>204034.19185600572</v>
      </c>
      <c r="R17" s="53">
        <f t="shared" si="1"/>
        <v>198321.49614354313</v>
      </c>
      <c r="S17" s="53">
        <f t="shared" si="1"/>
        <v>200177.38677075368</v>
      </c>
      <c r="T17" s="53">
        <f t="shared" si="1"/>
        <v>198976.51005100083</v>
      </c>
      <c r="U17" s="53">
        <f t="shared" si="1"/>
        <v>199387.73211118847</v>
      </c>
      <c r="V17" s="53">
        <f t="shared" si="1"/>
        <v>192757.20515595292</v>
      </c>
      <c r="W17" s="51">
        <f>SUM(C17:V17)</f>
        <v>3915555.7561831716</v>
      </c>
    </row>
    <row r="18" spans="1:25" ht="16.2" thickTop="1">
      <c r="W18" s="51">
        <f>SUM(C20:C259)</f>
        <v>3915555.7561831726</v>
      </c>
    </row>
    <row r="20" spans="1:25">
      <c r="A20" s="50">
        <v>1</v>
      </c>
      <c r="B20" s="54">
        <v>36526</v>
      </c>
      <c r="C20" s="47">
        <f>VLOOKUP(A20,$A$5:$C$16,3)</f>
        <v>0</v>
      </c>
    </row>
    <row r="21" spans="1:25">
      <c r="A21" s="50">
        <v>2</v>
      </c>
      <c r="B21" s="54">
        <v>36557</v>
      </c>
      <c r="C21" s="47">
        <f t="shared" ref="C21:C31" si="2">VLOOKUP(A21,$A$5:$C$16,3)</f>
        <v>0</v>
      </c>
    </row>
    <row r="22" spans="1:25">
      <c r="A22" s="50">
        <v>3</v>
      </c>
      <c r="B22" s="54">
        <v>36586</v>
      </c>
      <c r="C22" s="47">
        <f t="shared" si="2"/>
        <v>0</v>
      </c>
      <c r="K22" s="684"/>
      <c r="L22" s="684"/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</row>
    <row r="23" spans="1:25">
      <c r="A23" s="50">
        <v>4</v>
      </c>
      <c r="B23" s="54">
        <v>36617</v>
      </c>
      <c r="C23" s="47">
        <f t="shared" si="2"/>
        <v>0</v>
      </c>
      <c r="G23" s="676" t="s">
        <v>309</v>
      </c>
      <c r="H23" s="676" t="s">
        <v>308</v>
      </c>
      <c r="I23" s="676" t="s">
        <v>309</v>
      </c>
      <c r="J23" s="676" t="s">
        <v>299</v>
      </c>
      <c r="K23" s="687"/>
      <c r="L23" s="685"/>
      <c r="M23" s="685"/>
      <c r="N23" s="685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</row>
    <row r="24" spans="1:25">
      <c r="A24" s="50">
        <v>5</v>
      </c>
      <c r="B24" s="54">
        <v>36647</v>
      </c>
      <c r="C24" s="47">
        <f t="shared" si="2"/>
        <v>0</v>
      </c>
      <c r="G24" s="677" t="s">
        <v>233</v>
      </c>
      <c r="H24" s="677" t="s">
        <v>233</v>
      </c>
      <c r="I24" s="677" t="s">
        <v>213</v>
      </c>
      <c r="J24" s="677" t="s">
        <v>310</v>
      </c>
      <c r="K24" s="677" t="s">
        <v>311</v>
      </c>
      <c r="L24" s="685"/>
      <c r="M24" s="685"/>
      <c r="N24" s="685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</row>
    <row r="25" spans="1:25">
      <c r="A25" s="50">
        <v>6</v>
      </c>
      <c r="B25" s="54">
        <v>36678</v>
      </c>
      <c r="C25" s="47">
        <f t="shared" si="2"/>
        <v>12539.362295873016</v>
      </c>
      <c r="F25" s="673">
        <f>C25*'Revenues &amp; Expenses'!N12</f>
        <v>12262.874718405374</v>
      </c>
      <c r="I25" s="673">
        <f>F25*'Company Power Prices'!C25</f>
        <v>1467844.7958220125</v>
      </c>
      <c r="J25" s="683"/>
      <c r="K25" s="688">
        <f>F25*'Company Gas Prices'!E25</f>
        <v>735233.31285191129</v>
      </c>
      <c r="L25" s="684"/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</row>
    <row r="26" spans="1:25">
      <c r="A26" s="50">
        <v>7</v>
      </c>
      <c r="B26" s="54">
        <v>36708</v>
      </c>
      <c r="C26" s="47">
        <f t="shared" si="2"/>
        <v>19621.499977539683</v>
      </c>
      <c r="F26" s="673">
        <f>C26*'Revenues &amp; Expenses'!N13</f>
        <v>19084.507437201675</v>
      </c>
      <c r="I26" s="673">
        <f>F26*'Company Power Prices'!C26</f>
        <v>3831207.3277293481</v>
      </c>
      <c r="J26" s="683"/>
      <c r="K26" s="688">
        <f>F26*'Company Gas Prices'!E26</f>
        <v>1137437.7766789449</v>
      </c>
      <c r="L26" s="684"/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</row>
    <row r="27" spans="1:25">
      <c r="A27" s="50">
        <v>8</v>
      </c>
      <c r="B27" s="54">
        <v>36739</v>
      </c>
      <c r="C27" s="47">
        <f t="shared" si="2"/>
        <v>13080.999985361907</v>
      </c>
      <c r="F27" s="673">
        <f>C27*'Revenues &amp; Expenses'!N14</f>
        <v>12651.879203408</v>
      </c>
      <c r="I27" s="673">
        <f>F27*'Company Power Prices'!C27</f>
        <v>2539859.751326683</v>
      </c>
      <c r="J27" s="683"/>
      <c r="K27" s="688">
        <f>F27*'Company Gas Prices'!E27</f>
        <v>754599.92064892629</v>
      </c>
      <c r="L27" s="684"/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</row>
    <row r="28" spans="1:25">
      <c r="A28" s="50">
        <v>9</v>
      </c>
      <c r="B28" s="54">
        <v>36770</v>
      </c>
      <c r="C28" s="47">
        <f t="shared" si="2"/>
        <v>6674.2400329238098</v>
      </c>
      <c r="F28" s="673">
        <f>C28*'Revenues &amp; Expenses'!N15</f>
        <v>6418.5318124313189</v>
      </c>
      <c r="I28" s="673">
        <f>F28*'Company Power Prices'!C28</f>
        <v>420252.63524030679</v>
      </c>
      <c r="J28" s="683"/>
      <c r="K28" s="688">
        <f>F28*'Company Gas Prices'!E28</f>
        <v>386238.87271596212</v>
      </c>
      <c r="L28" s="684"/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</row>
    <row r="29" spans="1:25">
      <c r="A29" s="50">
        <v>10</v>
      </c>
      <c r="B29" s="54">
        <v>36800</v>
      </c>
      <c r="C29" s="47">
        <f t="shared" si="2"/>
        <v>1294.1987357079365</v>
      </c>
      <c r="F29" s="673">
        <f>C29*'Revenues &amp; Expenses'!N16</f>
        <v>1237.6640935689993</v>
      </c>
      <c r="I29" s="673">
        <f>F29*'Company Power Prices'!C29</f>
        <v>65182.075852996073</v>
      </c>
      <c r="J29" s="683"/>
      <c r="K29" s="688">
        <f>F29*'Company Gas Prices'!E29</f>
        <v>73999.887623810151</v>
      </c>
      <c r="L29" s="684"/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</row>
    <row r="30" spans="1:25">
      <c r="A30" s="50">
        <v>11</v>
      </c>
      <c r="B30" s="54">
        <v>36831</v>
      </c>
      <c r="C30" s="47">
        <f t="shared" si="2"/>
        <v>2668.217281431746</v>
      </c>
      <c r="F30" s="673">
        <f>C30*'Revenues &amp; Expenses'!N17</f>
        <v>2536.8329013927446</v>
      </c>
      <c r="I30" s="673">
        <f>F30*'Company Power Prices'!C30</f>
        <v>136300.31010575584</v>
      </c>
      <c r="J30" s="683"/>
      <c r="K30" s="688">
        <f>F30*'Company Gas Prices'!E30</f>
        <v>151787.58588392127</v>
      </c>
      <c r="L30" s="684"/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</row>
    <row r="31" spans="1:25">
      <c r="A31" s="50">
        <v>12</v>
      </c>
      <c r="B31" s="54">
        <v>36861</v>
      </c>
      <c r="C31" s="47">
        <f t="shared" si="2"/>
        <v>2668.217281431746</v>
      </c>
      <c r="D31" s="51">
        <f>SUM(C20:C31)</f>
        <v>58546.73559026984</v>
      </c>
      <c r="E31" s="44">
        <v>1</v>
      </c>
      <c r="F31" s="673">
        <f>C31*'Revenues &amp; Expenses'!N18</f>
        <v>2522.3579066339466</v>
      </c>
      <c r="G31" s="674">
        <f>SUM(F25:F31)</f>
        <v>56714.648073042052</v>
      </c>
      <c r="H31" s="51">
        <f>D31</f>
        <v>58546.73559026984</v>
      </c>
      <c r="I31" s="673">
        <f>F31*'Company Power Prices'!C31</f>
        <v>135522.58987305145</v>
      </c>
      <c r="J31" s="683">
        <f>SUM(I25:I31)/SUM(F25:F31)</f>
        <v>151.56877064421275</v>
      </c>
      <c r="K31" s="688">
        <f>F31*'Company Gas Prices'!E31</f>
        <v>151031.5563808803</v>
      </c>
      <c r="L31" s="683">
        <f>SUM(K25:K31)/SUM(F25:F31)</f>
        <v>59.778717279846234</v>
      </c>
    </row>
    <row r="32" spans="1:25">
      <c r="A32" s="50">
        <v>1</v>
      </c>
      <c r="B32" s="54">
        <v>36892</v>
      </c>
      <c r="C32" s="47">
        <f>VLOOKUP(A32,$A$5:$D$16,4)</f>
        <v>8959.6774722186638</v>
      </c>
      <c r="E32" s="44">
        <f t="shared" ref="E32:E90" si="3">E31+1</f>
        <v>2</v>
      </c>
      <c r="F32" s="673">
        <f>C32*'Revenues &amp; Expenses'!N19</f>
        <v>8419.4321767918627</v>
      </c>
      <c r="I32" s="673">
        <f>F32*'Company Power Prices'!C32</f>
        <v>423296.82127305394</v>
      </c>
      <c r="J32" s="683"/>
      <c r="K32" s="688">
        <f>F32*'Company Gas Prices'!E32</f>
        <v>475348.11638874625</v>
      </c>
    </row>
    <row r="33" spans="1:12">
      <c r="A33" s="50">
        <v>2</v>
      </c>
      <c r="B33" s="54">
        <v>36923</v>
      </c>
      <c r="C33" s="47">
        <f t="shared" ref="C33:C43" si="4">VLOOKUP(A33,$A$5:$D$16,4)</f>
        <v>462.11481927022209</v>
      </c>
      <c r="E33" s="44">
        <f t="shared" si="3"/>
        <v>3</v>
      </c>
      <c r="F33" s="673">
        <f>C33*'Revenues &amp; Expenses'!N20</f>
        <v>431.64460346193192</v>
      </c>
      <c r="I33" s="673">
        <f>F33*'Company Power Prices'!C33</f>
        <v>18050.231883076016</v>
      </c>
      <c r="J33" s="683"/>
      <c r="K33" s="688">
        <f>F33*'Company Gas Prices'!E33</f>
        <v>24388.904696636931</v>
      </c>
    </row>
    <row r="34" spans="1:12">
      <c r="A34" s="50">
        <v>3</v>
      </c>
      <c r="B34" s="54">
        <v>36951</v>
      </c>
      <c r="C34" s="47">
        <f t="shared" si="4"/>
        <v>462.11481927022209</v>
      </c>
      <c r="E34" s="44">
        <f t="shared" si="3"/>
        <v>4</v>
      </c>
      <c r="F34" s="673">
        <f>C34*'Revenues &amp; Expenses'!N21</f>
        <v>429.27636230821258</v>
      </c>
      <c r="I34" s="673">
        <f>F34*'Company Power Prices'!C34</f>
        <v>17951.198322510612</v>
      </c>
      <c r="J34" s="683"/>
      <c r="K34" s="688">
        <f>F34*'Company Gas Prices'!E34</f>
        <v>24273.949802620478</v>
      </c>
    </row>
    <row r="35" spans="1:12">
      <c r="A35" s="50">
        <v>4</v>
      </c>
      <c r="B35" s="54">
        <v>36982</v>
      </c>
      <c r="C35" s="47">
        <f t="shared" si="4"/>
        <v>5959.7515085297764</v>
      </c>
      <c r="E35" s="44">
        <f t="shared" si="3"/>
        <v>5</v>
      </c>
      <c r="F35" s="673">
        <f>C35*'Revenues &amp; Expenses'!N22</f>
        <v>5502.5093650094213</v>
      </c>
      <c r="I35" s="673">
        <f>F35*'Company Power Prices'!C35</f>
        <v>251160.95470593296</v>
      </c>
      <c r="J35" s="683"/>
      <c r="K35" s="688">
        <f>F35*'Company Gas Prices'!E35</f>
        <v>319020.02418595826</v>
      </c>
    </row>
    <row r="36" spans="1:12">
      <c r="A36" s="50">
        <v>5</v>
      </c>
      <c r="B36" s="54">
        <v>37012</v>
      </c>
      <c r="C36" s="47">
        <f t="shared" si="4"/>
        <v>13502.435285655552</v>
      </c>
      <c r="E36" s="44">
        <f t="shared" si="3"/>
        <v>6</v>
      </c>
      <c r="F36" s="673">
        <f>C36*'Revenues &amp; Expenses'!N23</f>
        <v>12393.380293170727</v>
      </c>
      <c r="I36" s="673">
        <f>F36*'Company Power Prices'!C36</f>
        <v>727356.13037741603</v>
      </c>
      <c r="J36" s="683"/>
      <c r="K36" s="688">
        <f>F36*'Company Gas Prices'!E36</f>
        <v>699788.77468259039</v>
      </c>
    </row>
    <row r="37" spans="1:12">
      <c r="A37" s="50">
        <v>6</v>
      </c>
      <c r="B37" s="54">
        <v>37043</v>
      </c>
      <c r="C37" s="47">
        <f t="shared" si="4"/>
        <v>32661.244557753769</v>
      </c>
      <c r="E37" s="44">
        <f t="shared" si="3"/>
        <v>7</v>
      </c>
      <c r="F37" s="673">
        <f>C37*'Revenues &amp; Expenses'!N24</f>
        <v>29795.225195580995</v>
      </c>
      <c r="I37" s="673">
        <f>F37*'Company Power Prices'!C37</f>
        <v>3255982.7694334998</v>
      </c>
      <c r="J37" s="683"/>
      <c r="K37" s="688">
        <f>F37*'Company Gas Prices'!E37</f>
        <v>1681318.2221080279</v>
      </c>
    </row>
    <row r="38" spans="1:12">
      <c r="A38" s="50">
        <v>7</v>
      </c>
      <c r="B38" s="54">
        <v>37073</v>
      </c>
      <c r="C38" s="47">
        <f t="shared" si="4"/>
        <v>55489.701674826203</v>
      </c>
      <c r="E38" s="44">
        <f t="shared" si="3"/>
        <v>8</v>
      </c>
      <c r="F38" s="673">
        <f>C38*'Revenues &amp; Expenses'!N25</f>
        <v>50319.597578388682</v>
      </c>
      <c r="I38" s="673">
        <f>F38*'Company Power Prices'!C38</f>
        <v>8930781.1980684232</v>
      </c>
      <c r="J38" s="683"/>
      <c r="K38" s="688">
        <f>F38*'Company Gas Prices'!E38</f>
        <v>2823645.0104655959</v>
      </c>
    </row>
    <row r="39" spans="1:12">
      <c r="A39" s="50">
        <v>8</v>
      </c>
      <c r="B39" s="54">
        <v>37104</v>
      </c>
      <c r="C39" s="47">
        <f t="shared" si="4"/>
        <v>36993.134449226658</v>
      </c>
      <c r="E39" s="44">
        <f t="shared" si="3"/>
        <v>9</v>
      </c>
      <c r="F39" s="673">
        <f>C39*'Revenues &amp; Expenses'!N26</f>
        <v>33340.425632587539</v>
      </c>
      <c r="I39" s="673">
        <f>F39*'Company Power Prices'!C39</f>
        <v>5917297.8462568605</v>
      </c>
      <c r="J39" s="683"/>
      <c r="K39" s="688">
        <f>F39*'Company Gas Prices'!E39</f>
        <v>1872352.8453534867</v>
      </c>
    </row>
    <row r="40" spans="1:12">
      <c r="A40" s="50">
        <v>9</v>
      </c>
      <c r="B40" s="54">
        <v>37135</v>
      </c>
      <c r="C40" s="47">
        <f t="shared" si="4"/>
        <v>16502.976459697773</v>
      </c>
      <c r="E40" s="44">
        <f t="shared" si="3"/>
        <v>10</v>
      </c>
      <c r="F40" s="673">
        <f>C40*'Revenues &amp; Expenses'!N27</f>
        <v>14781.465198851472</v>
      </c>
      <c r="I40" s="673">
        <f>F40*'Company Power Prices'!C40</f>
        <v>867510.64471647958</v>
      </c>
      <c r="J40" s="683"/>
      <c r="K40" s="688">
        <f>F40*'Company Gas Prices'!E40</f>
        <v>837254.53736017901</v>
      </c>
    </row>
    <row r="41" spans="1:12">
      <c r="A41" s="50">
        <v>10</v>
      </c>
      <c r="B41" s="54">
        <v>37165</v>
      </c>
      <c r="C41" s="47">
        <f t="shared" si="4"/>
        <v>6583.7917599191105</v>
      </c>
      <c r="E41" s="44">
        <f t="shared" si="3"/>
        <v>11</v>
      </c>
      <c r="F41" s="673">
        <f>C41*'Revenues &amp; Expenses'!N28</f>
        <v>5861.6524170572229</v>
      </c>
      <c r="I41" s="673">
        <f>F41*'Company Power Prices'!C41</f>
        <v>268402.3113106091</v>
      </c>
      <c r="J41" s="683"/>
      <c r="K41" s="688">
        <f>F41*'Company Gas Prices'!E41</f>
        <v>330055.77370570682</v>
      </c>
    </row>
    <row r="42" spans="1:12">
      <c r="A42" s="50">
        <v>11</v>
      </c>
      <c r="B42" s="54">
        <v>37196</v>
      </c>
      <c r="C42" s="47">
        <f t="shared" si="4"/>
        <v>8734.3407333435534</v>
      </c>
      <c r="E42" s="44">
        <f t="shared" si="3"/>
        <v>12</v>
      </c>
      <c r="F42" s="673">
        <f>C42*'Revenues &amp; Expenses'!N29</f>
        <v>7728.3157524850249</v>
      </c>
      <c r="I42" s="673">
        <f>F42*'Company Power Prices'!C42</f>
        <v>383549.23853680352</v>
      </c>
      <c r="J42" s="683"/>
      <c r="K42" s="688">
        <f>F42*'Company Gas Prices'!E42</f>
        <v>435508.72052073915</v>
      </c>
    </row>
    <row r="43" spans="1:12">
      <c r="A43" s="50">
        <v>12</v>
      </c>
      <c r="B43" s="54">
        <v>37226</v>
      </c>
      <c r="C43" s="47">
        <f t="shared" si="4"/>
        <v>8734.3407333435534</v>
      </c>
      <c r="D43" s="51">
        <f>SUM(C32:C43)</f>
        <v>195045.62427305506</v>
      </c>
      <c r="E43" s="44">
        <f t="shared" si="3"/>
        <v>13</v>
      </c>
      <c r="F43" s="673">
        <f>C43*'Revenues &amp; Expenses'!N30</f>
        <v>7681.8758365652384</v>
      </c>
      <c r="G43" s="674">
        <f>SUM(F32:F43)</f>
        <v>176684.80041225834</v>
      </c>
      <c r="H43" s="51">
        <f>D43</f>
        <v>195045.62427305506</v>
      </c>
      <c r="I43" s="673">
        <f>F43*'Company Power Prices'!C43</f>
        <v>381244.46800733602</v>
      </c>
      <c r="J43" s="683">
        <f>SUM(I32:I43)/SUM(F32:F43)</f>
        <v>121.3606589976051</v>
      </c>
      <c r="K43" s="688">
        <f>F43*'Company Gas Prices'!E43</f>
        <v>433235.96188808087</v>
      </c>
      <c r="L43" s="683">
        <f>SUM(K32:K43)/SUM(F32:F43)</f>
        <v>56.350013232194307</v>
      </c>
    </row>
    <row r="44" spans="1:12">
      <c r="A44" s="50">
        <v>1</v>
      </c>
      <c r="B44" s="54">
        <v>37257</v>
      </c>
      <c r="C44" s="47">
        <f>VLOOKUP(A44,$A$5:$E$16,5)</f>
        <v>20049.084567533777</v>
      </c>
      <c r="E44" s="44">
        <f t="shared" si="3"/>
        <v>14</v>
      </c>
      <c r="F44" s="673">
        <f>C44*'Revenues &amp; Expenses'!N31</f>
        <v>17523.485514188538</v>
      </c>
      <c r="I44" s="673">
        <f>F44*'Company Power Prices'!C44</f>
        <v>863768.78366247762</v>
      </c>
      <c r="J44" s="683"/>
      <c r="K44" s="688">
        <f>F44*'Company Gas Prices'!E44</f>
        <v>998678.61441202275</v>
      </c>
    </row>
    <row r="45" spans="1:12">
      <c r="A45" s="50">
        <v>2</v>
      </c>
      <c r="B45" s="54">
        <v>37288</v>
      </c>
      <c r="C45" s="47">
        <f t="shared" ref="C45:C55" si="5">VLOOKUP(A45,$A$5:$E$16,5)</f>
        <v>926.55215538355537</v>
      </c>
      <c r="E45" s="44">
        <f t="shared" si="3"/>
        <v>15</v>
      </c>
      <c r="F45" s="673">
        <f>C45*'Revenues &amp; Expenses'!N32</f>
        <v>804.79054423153275</v>
      </c>
      <c r="I45" s="673">
        <f>F45*'Company Power Prices'!C45</f>
        <v>33598.644546197553</v>
      </c>
      <c r="J45" s="683"/>
      <c r="K45" s="688">
        <f>F45*'Company Gas Prices'!E45</f>
        <v>45901.934744460661</v>
      </c>
    </row>
    <row r="46" spans="1:12">
      <c r="A46" s="50">
        <v>3</v>
      </c>
      <c r="B46" s="54">
        <v>37316</v>
      </c>
      <c r="C46" s="47">
        <f t="shared" si="5"/>
        <v>926.55215538355537</v>
      </c>
      <c r="E46" s="44">
        <f t="shared" si="3"/>
        <v>16</v>
      </c>
      <c r="F46" s="673">
        <f>C46*'Revenues &amp; Expenses'!N33</f>
        <v>800.24043352896308</v>
      </c>
      <c r="I46" s="673">
        <f>F46*'Company Power Prices'!C46</f>
        <v>33408.68511732843</v>
      </c>
      <c r="J46" s="683"/>
      <c r="K46" s="688">
        <f>F46*'Company Gas Prices'!E46</f>
        <v>45678.515138442133</v>
      </c>
    </row>
    <row r="47" spans="1:12">
      <c r="A47" s="50">
        <v>4</v>
      </c>
      <c r="B47" s="54">
        <v>37347</v>
      </c>
      <c r="C47" s="47">
        <f t="shared" si="5"/>
        <v>12055.889461398223</v>
      </c>
      <c r="E47" s="44">
        <f t="shared" si="3"/>
        <v>17</v>
      </c>
      <c r="F47" s="673">
        <f>C47*'Revenues &amp; Expenses'!N34</f>
        <v>10347.441847603475</v>
      </c>
      <c r="I47" s="673">
        <f>F47*'Company Power Prices'!C47</f>
        <v>475020.00482692814</v>
      </c>
      <c r="J47" s="683"/>
      <c r="K47" s="688">
        <f>F47*'Company Gas Prices'!E47</f>
        <v>605461.51679692545</v>
      </c>
    </row>
    <row r="48" spans="1:12">
      <c r="A48" s="50">
        <v>5</v>
      </c>
      <c r="B48" s="54">
        <v>37377</v>
      </c>
      <c r="C48" s="47">
        <f t="shared" si="5"/>
        <v>17367.414505152443</v>
      </c>
      <c r="E48" s="44">
        <f t="shared" si="3"/>
        <v>18</v>
      </c>
      <c r="F48" s="673">
        <f>C48*'Revenues &amp; Expenses'!N35</f>
        <v>14817.079920976101</v>
      </c>
      <c r="I48" s="673">
        <f>F48*'Company Power Prices'!C48</f>
        <v>860884.50823132659</v>
      </c>
      <c r="J48" s="683"/>
      <c r="K48" s="688">
        <f>F48*'Company Gas Prices'!E48</f>
        <v>844601.47507764166</v>
      </c>
    </row>
    <row r="49" spans="1:12">
      <c r="A49" s="50">
        <v>6</v>
      </c>
      <c r="B49" s="54">
        <v>37408</v>
      </c>
      <c r="C49" s="47">
        <f t="shared" si="5"/>
        <v>29277.030026072887</v>
      </c>
      <c r="E49" s="44">
        <f t="shared" si="3"/>
        <v>19</v>
      </c>
      <c r="F49" s="673">
        <f>C49*'Revenues &amp; Expenses'!N36</f>
        <v>24822.867274240059</v>
      </c>
      <c r="I49" s="673">
        <f>F49*'Company Power Prices'!C49</f>
        <v>2666250.352121952</v>
      </c>
      <c r="J49" s="683"/>
      <c r="K49" s="688">
        <f>F49*'Company Gas Prices'!E49</f>
        <v>1414096.0004110863</v>
      </c>
    </row>
    <row r="50" spans="1:12">
      <c r="A50" s="50">
        <v>7</v>
      </c>
      <c r="B50" s="54">
        <v>37438</v>
      </c>
      <c r="C50" s="47">
        <f t="shared" si="5"/>
        <v>52644.217323145771</v>
      </c>
      <c r="E50" s="44">
        <f t="shared" si="3"/>
        <v>20</v>
      </c>
      <c r="F50" s="673">
        <f>C50*'Revenues &amp; Expenses'!N37</f>
        <v>44367.106473216736</v>
      </c>
      <c r="I50" s="673">
        <f>F50*'Company Power Prices'!C50</f>
        <v>7552925.6912833052</v>
      </c>
      <c r="J50" s="683"/>
      <c r="K50" s="688">
        <f>F50*'Company Gas Prices'!E50</f>
        <v>2513563.998454506</v>
      </c>
    </row>
    <row r="51" spans="1:12">
      <c r="A51" s="50">
        <v>8</v>
      </c>
      <c r="B51" s="54">
        <v>37469</v>
      </c>
      <c r="C51" s="47">
        <f t="shared" si="5"/>
        <v>35096.144881768436</v>
      </c>
      <c r="E51" s="44">
        <f t="shared" si="3"/>
        <v>21</v>
      </c>
      <c r="F51" s="673">
        <f>C51*'Revenues &amp; Expenses'!N38</f>
        <v>29395.20261774537</v>
      </c>
      <c r="I51" s="673">
        <f>F51*'Company Power Prices'!C51</f>
        <v>5004152.8217774313</v>
      </c>
      <c r="J51" s="683"/>
      <c r="K51" s="688">
        <f>F51*'Company Gas Prices'!E51</f>
        <v>1666690.009872257</v>
      </c>
    </row>
    <row r="52" spans="1:12">
      <c r="A52" s="50">
        <v>9</v>
      </c>
      <c r="B52" s="54">
        <v>37500</v>
      </c>
      <c r="C52" s="47">
        <f t="shared" si="5"/>
        <v>21226.839951289778</v>
      </c>
      <c r="E52" s="44">
        <f t="shared" si="3"/>
        <v>22</v>
      </c>
      <c r="F52" s="673">
        <f>C52*'Revenues &amp; Expenses'!N39</f>
        <v>17668.566926477077</v>
      </c>
      <c r="I52" s="673">
        <f>F52*'Company Power Prices'!C52</f>
        <v>1026558.2443217649</v>
      </c>
      <c r="J52" s="683"/>
      <c r="K52" s="688">
        <f>F52*'Company Gas Prices'!E52</f>
        <v>1010361.8432337517</v>
      </c>
    </row>
    <row r="53" spans="1:12">
      <c r="A53" s="50">
        <v>10</v>
      </c>
      <c r="B53" s="54">
        <v>37530</v>
      </c>
      <c r="C53" s="47">
        <f t="shared" si="5"/>
        <v>5314.8629059617779</v>
      </c>
      <c r="E53" s="44">
        <f t="shared" si="3"/>
        <v>23</v>
      </c>
      <c r="F53" s="673">
        <f>C53*'Revenues &amp; Expenses'!N40</f>
        <v>4397.4025258770343</v>
      </c>
      <c r="I53" s="673">
        <f>F53*'Company Power Prices'!C53</f>
        <v>204819.88633771503</v>
      </c>
      <c r="J53" s="683"/>
      <c r="K53" s="688">
        <f>F53*'Company Gas Prices'!E53</f>
        <v>249995.81369471073</v>
      </c>
    </row>
    <row r="54" spans="1:12">
      <c r="A54" s="50">
        <v>11</v>
      </c>
      <c r="B54" s="54">
        <v>37561</v>
      </c>
      <c r="C54" s="47">
        <f t="shared" si="5"/>
        <v>8487.9816993315544</v>
      </c>
      <c r="E54" s="44">
        <f t="shared" si="3"/>
        <v>24</v>
      </c>
      <c r="F54" s="673">
        <f>C54*'Revenues &amp; Expenses'!N41</f>
        <v>6979.3777953056779</v>
      </c>
      <c r="I54" s="673">
        <f>F54*'Company Power Prices'!C54</f>
        <v>347871.82747251273</v>
      </c>
      <c r="J54" s="683"/>
      <c r="K54" s="688">
        <f>F54*'Company Gas Prices'!E54</f>
        <v>397103.64257999742</v>
      </c>
    </row>
    <row r="55" spans="1:12">
      <c r="A55" s="50">
        <v>12</v>
      </c>
      <c r="B55" s="54">
        <v>37591</v>
      </c>
      <c r="C55" s="47">
        <f t="shared" si="5"/>
        <v>8487.9816993315544</v>
      </c>
      <c r="D55" s="51">
        <f>SUM(C44:C55)</f>
        <v>211860.55133175332</v>
      </c>
      <c r="E55" s="44">
        <f t="shared" si="3"/>
        <v>25</v>
      </c>
      <c r="F55" s="673">
        <f>C55*'Revenues &amp; Expenses'!N42</f>
        <v>6937.5439292807387</v>
      </c>
      <c r="G55" s="674">
        <f>SUM(F44:F55)</f>
        <v>178861.10580267131</v>
      </c>
      <c r="H55" s="51">
        <f>D55</f>
        <v>211860.55133175332</v>
      </c>
      <c r="I55" s="673">
        <f>F55*'Company Power Prices'!C55</f>
        <v>345786.70988020755</v>
      </c>
      <c r="J55" s="683">
        <f>SUM(I44:I55)/SUM(F44:F55)</f>
        <v>108.5481724629323</v>
      </c>
      <c r="K55" s="688">
        <f>F55*'Company Gas Prices'!E55</f>
        <v>395042.71169570769</v>
      </c>
      <c r="L55" s="683">
        <f>SUM(K44:K55)/SUM(F44:F55)</f>
        <v>56.955792766653921</v>
      </c>
    </row>
    <row r="56" spans="1:12">
      <c r="A56" s="50">
        <v>1</v>
      </c>
      <c r="B56" s="54">
        <v>37622</v>
      </c>
      <c r="C56" s="47">
        <f>VLOOKUP(A56,$A$5:$F$16,6)</f>
        <v>19619.599918404885</v>
      </c>
      <c r="E56" s="44">
        <f t="shared" si="3"/>
        <v>26</v>
      </c>
      <c r="F56" s="673">
        <f>C56*'Revenues &amp; Expenses'!N43</f>
        <v>15936.290905826798</v>
      </c>
      <c r="I56" s="673">
        <f>F56*'Company Power Prices'!C56</f>
        <v>778832.5807698943</v>
      </c>
      <c r="J56" s="683"/>
      <c r="K56" s="688">
        <f>F56*'Company Gas Prices'!E56</f>
        <v>916936.79282209359</v>
      </c>
    </row>
    <row r="57" spans="1:12">
      <c r="A57" s="50">
        <v>2</v>
      </c>
      <c r="B57" s="54">
        <v>37653</v>
      </c>
      <c r="C57" s="47">
        <f t="shared" ref="C57:C67" si="6">VLOOKUP(A57,$A$5:$F$16,6)</f>
        <v>870.00185066666643</v>
      </c>
      <c r="E57" s="44">
        <f t="shared" si="3"/>
        <v>27</v>
      </c>
      <c r="F57" s="673">
        <f>C57*'Revenues &amp; Expenses'!N44</f>
        <v>702.27421018838197</v>
      </c>
      <c r="I57" s="673">
        <f>F57*'Company Power Prices'!C57</f>
        <v>29301.98410106833</v>
      </c>
      <c r="J57" s="683"/>
      <c r="K57" s="688">
        <f>F57*'Company Gas Prices'!E57</f>
        <v>40439.67432562192</v>
      </c>
    </row>
    <row r="58" spans="1:12">
      <c r="A58" s="50">
        <v>3</v>
      </c>
      <c r="B58" s="54">
        <v>37681</v>
      </c>
      <c r="C58" s="47">
        <f t="shared" si="6"/>
        <v>870.00185066666643</v>
      </c>
      <c r="E58" s="44">
        <f t="shared" si="3"/>
        <v>28</v>
      </c>
      <c r="F58" s="673">
        <f>C58*'Revenues &amp; Expenses'!N45</f>
        <v>698.31781936700793</v>
      </c>
      <c r="I58" s="673">
        <f>F58*'Company Power Prices'!C58</f>
        <v>29136.905988753173</v>
      </c>
      <c r="J58" s="683"/>
      <c r="K58" s="688">
        <f>F58*'Company Gas Prices'!E58</f>
        <v>40244.202624860096</v>
      </c>
    </row>
    <row r="59" spans="1:12">
      <c r="A59" s="50">
        <v>4</v>
      </c>
      <c r="B59" s="54">
        <v>37712</v>
      </c>
      <c r="C59" s="47">
        <f t="shared" si="6"/>
        <v>11199.258379655108</v>
      </c>
      <c r="E59" s="44">
        <f t="shared" si="3"/>
        <v>29</v>
      </c>
      <c r="F59" s="673">
        <f>C59*'Revenues &amp; Expenses'!N46</f>
        <v>8933.3488088775066</v>
      </c>
      <c r="I59" s="673">
        <f>F59*'Company Power Prices'!C59</f>
        <v>410868.7244725413</v>
      </c>
      <c r="J59" s="683"/>
      <c r="K59" s="688">
        <f>F59*'Company Gas Prices'!E59</f>
        <v>527635.75624703348</v>
      </c>
    </row>
    <row r="60" spans="1:12">
      <c r="A60" s="50">
        <v>5</v>
      </c>
      <c r="B60" s="54">
        <v>37742</v>
      </c>
      <c r="C60" s="47">
        <f t="shared" si="6"/>
        <v>18970.998914043554</v>
      </c>
      <c r="E60" s="44">
        <f t="shared" si="3"/>
        <v>30</v>
      </c>
      <c r="F60" s="673">
        <f>C60*'Revenues &amp; Expenses'!N47</f>
        <v>15042.125964903153</v>
      </c>
      <c r="I60" s="673">
        <f>F60*'Company Power Prices'!C60</f>
        <v>864345.94649480248</v>
      </c>
      <c r="J60" s="683"/>
      <c r="K60" s="688">
        <f>F60*'Company Gas Prices'!E60</f>
        <v>865727.74583148747</v>
      </c>
    </row>
    <row r="61" spans="1:12">
      <c r="A61" s="50">
        <v>6</v>
      </c>
      <c r="B61" s="54">
        <v>37773</v>
      </c>
      <c r="C61" s="47">
        <f t="shared" si="6"/>
        <v>32361.99673668266</v>
      </c>
      <c r="E61" s="44">
        <f t="shared" si="3"/>
        <v>31</v>
      </c>
      <c r="F61" s="673">
        <f>C61*'Revenues &amp; Expenses'!N48</f>
        <v>25500.995362279398</v>
      </c>
      <c r="I61" s="673">
        <f>F61*'Company Power Prices'!C61</f>
        <v>2683052.6859440086</v>
      </c>
      <c r="J61" s="683"/>
      <c r="K61" s="688">
        <f>F61*'Company Gas Prices'!E61</f>
        <v>1466826.5311473818</v>
      </c>
    </row>
    <row r="62" spans="1:12">
      <c r="A62" s="50">
        <v>7</v>
      </c>
      <c r="B62" s="54">
        <v>37803</v>
      </c>
      <c r="C62" s="47">
        <f t="shared" si="6"/>
        <v>53980.536934905773</v>
      </c>
      <c r="E62" s="44">
        <f t="shared" si="3"/>
        <v>32</v>
      </c>
      <c r="F62" s="673">
        <f>C62*'Revenues &amp; Expenses'!N49</f>
        <v>42281.338478911217</v>
      </c>
      <c r="I62" s="673">
        <f>F62*'Company Power Prices'!C62</f>
        <v>6984933.5792155378</v>
      </c>
      <c r="J62" s="683"/>
      <c r="K62" s="688">
        <f>F62*'Company Gas Prices'!E62</f>
        <v>2418826.3289948408</v>
      </c>
    </row>
    <row r="63" spans="1:12">
      <c r="A63" s="50">
        <v>8</v>
      </c>
      <c r="B63" s="54">
        <v>37834</v>
      </c>
      <c r="C63" s="47">
        <f t="shared" si="6"/>
        <v>35987.024623927988</v>
      </c>
      <c r="E63" s="44">
        <f t="shared" si="3"/>
        <v>33</v>
      </c>
      <c r="F63" s="673">
        <f>C63*'Revenues &amp; Expenses'!N50</f>
        <v>28013.157411794782</v>
      </c>
      <c r="I63" s="673">
        <f>F63*'Company Power Prices'!C63</f>
        <v>4627811.0131989056</v>
      </c>
      <c r="J63" s="683"/>
      <c r="K63" s="688">
        <f>F63*'Company Gas Prices'!E63</f>
        <v>1603886.0588779384</v>
      </c>
    </row>
    <row r="64" spans="1:12">
      <c r="A64" s="50">
        <v>9</v>
      </c>
      <c r="B64" s="54">
        <v>37865</v>
      </c>
      <c r="C64" s="47">
        <f t="shared" si="6"/>
        <v>23186.776450935995</v>
      </c>
      <c r="E64" s="44">
        <f t="shared" si="3"/>
        <v>34</v>
      </c>
      <c r="F64" s="673">
        <f>C64*'Revenues &amp; Expenses'!N51</f>
        <v>17937.304818403965</v>
      </c>
      <c r="I64" s="673">
        <f>F64*'Company Power Prices'!C64</f>
        <v>1030707.8099866835</v>
      </c>
      <c r="J64" s="683"/>
      <c r="K64" s="688">
        <f>F64*'Company Gas Prices'!E64</f>
        <v>1035713.0504103529</v>
      </c>
    </row>
    <row r="65" spans="1:12">
      <c r="A65" s="50">
        <v>10</v>
      </c>
      <c r="B65" s="54">
        <v>37895</v>
      </c>
      <c r="C65" s="47">
        <f t="shared" si="6"/>
        <v>4817.0515031333325</v>
      </c>
      <c r="E65" s="44">
        <f t="shared" si="3"/>
        <v>35</v>
      </c>
      <c r="F65" s="673">
        <f>C65*'Revenues &amp; Expenses'!N52</f>
        <v>3704.1319153089194</v>
      </c>
      <c r="I65" s="673">
        <f>F65*'Company Power Prices'!C65</f>
        <v>174210.72956484774</v>
      </c>
      <c r="J65" s="683"/>
      <c r="K65" s="688">
        <f>F65*'Company Gas Prices'!E65</f>
        <v>212649.082899353</v>
      </c>
    </row>
    <row r="66" spans="1:12">
      <c r="A66" s="50">
        <v>11</v>
      </c>
      <c r="B66" s="54">
        <v>37926</v>
      </c>
      <c r="C66" s="47">
        <f t="shared" si="6"/>
        <v>8337.4300071439993</v>
      </c>
      <c r="E66" s="44">
        <f t="shared" si="3"/>
        <v>36</v>
      </c>
      <c r="F66" s="673">
        <f>C66*'Revenues &amp; Expenses'!N53</f>
        <v>6371.4828561220247</v>
      </c>
      <c r="I66" s="673">
        <f>F66*'Company Power Prices'!C66</f>
        <v>318600.90214208933</v>
      </c>
      <c r="J66" s="683"/>
      <c r="K66" s="688">
        <f>F66*'Company Gas Prices'!E66</f>
        <v>366078.48266147997</v>
      </c>
    </row>
    <row r="67" spans="1:12">
      <c r="A67" s="50">
        <v>12</v>
      </c>
      <c r="B67" s="54">
        <v>37956</v>
      </c>
      <c r="C67" s="47">
        <f t="shared" si="6"/>
        <v>8337.4300071439993</v>
      </c>
      <c r="D67" s="51">
        <f>SUM(C56:C67)</f>
        <v>218538.10717731059</v>
      </c>
      <c r="E67" s="44">
        <f t="shared" si="3"/>
        <v>37</v>
      </c>
      <c r="F67" s="673">
        <f>C67*'Revenues &amp; Expenses'!N54</f>
        <v>6333.2610826312812</v>
      </c>
      <c r="G67" s="674">
        <f>SUM(F56:F67)</f>
        <v>171454.02963461442</v>
      </c>
      <c r="H67" s="51">
        <f>D67</f>
        <v>218538.10717731059</v>
      </c>
      <c r="I67" s="673">
        <f>F67*'Company Power Prices'!C67</f>
        <v>316689.65294145455</v>
      </c>
      <c r="J67" s="683">
        <f>SUM(I56:I67)/SUM(F56:F67)</f>
        <v>106.43373360025389</v>
      </c>
      <c r="K67" s="688">
        <f>F67*'Company Gas Prices'!E67</f>
        <v>364181.75900641264</v>
      </c>
      <c r="L67" s="683">
        <f>SUM(K56:K67)/SUM(F56:F67)</f>
        <v>57.503142310855424</v>
      </c>
    </row>
    <row r="68" spans="1:12">
      <c r="A68" s="50">
        <v>1</v>
      </c>
      <c r="B68" s="54">
        <v>37987</v>
      </c>
      <c r="C68" s="47">
        <f>VLOOKUP(A68,$A$5:$G$16,7)</f>
        <v>17580.826841000882</v>
      </c>
      <c r="E68" s="44">
        <f t="shared" si="3"/>
        <v>38</v>
      </c>
      <c r="F68" s="673">
        <f>C68*'Revenues &amp; Expenses'!N55</f>
        <v>13271.621757454644</v>
      </c>
      <c r="I68" s="673">
        <f>F68*'Company Power Prices'!C68</f>
        <v>638554.74772464554</v>
      </c>
      <c r="J68" s="683"/>
      <c r="K68" s="688">
        <f>F68*'Company Gas Prices'!E68</f>
        <v>771070.6782065396</v>
      </c>
    </row>
    <row r="69" spans="1:12">
      <c r="A69" s="50">
        <v>2</v>
      </c>
      <c r="B69" s="54">
        <v>38018</v>
      </c>
      <c r="C69" s="47">
        <f t="shared" ref="C69:C79" si="7">VLOOKUP(A69,$A$5:$G$16,7)</f>
        <v>761.8879230075554</v>
      </c>
      <c r="E69" s="44">
        <f t="shared" si="3"/>
        <v>39</v>
      </c>
      <c r="F69" s="673">
        <f>C69*'Revenues &amp; Expenses'!N56</f>
        <v>571.54979308371071</v>
      </c>
      <c r="I69" s="673">
        <f>F69*'Company Power Prices'!C69</f>
        <v>23885.62092498082</v>
      </c>
      <c r="J69" s="683"/>
      <c r="K69" s="688">
        <f>F69*'Company Gas Prices'!E69</f>
        <v>33233.723003053878</v>
      </c>
    </row>
    <row r="70" spans="1:12">
      <c r="A70" s="50">
        <v>3</v>
      </c>
      <c r="B70" s="54">
        <v>38047</v>
      </c>
      <c r="C70" s="47">
        <f t="shared" si="7"/>
        <v>761.8879230075554</v>
      </c>
      <c r="E70" s="44">
        <f t="shared" si="3"/>
        <v>40</v>
      </c>
      <c r="F70" s="673">
        <f>C70*'Revenues &amp; Expenses'!N57</f>
        <v>568.20398494497249</v>
      </c>
      <c r="I70" s="673">
        <f>F70*'Company Power Prices'!C70</f>
        <v>23745.796353514459</v>
      </c>
      <c r="J70" s="683"/>
      <c r="K70" s="688">
        <f>F70*'Company Gas Prices'!E70</f>
        <v>33066.210672124347</v>
      </c>
    </row>
    <row r="71" spans="1:12">
      <c r="A71" s="50">
        <v>4</v>
      </c>
      <c r="B71" s="54">
        <v>38078</v>
      </c>
      <c r="C71" s="47">
        <f t="shared" si="7"/>
        <v>9712.4023690555532</v>
      </c>
      <c r="E71" s="44">
        <f t="shared" si="3"/>
        <v>41</v>
      </c>
      <c r="F71" s="673">
        <f>C71*'Revenues &amp; Expenses'!N58</f>
        <v>7197.9494220034167</v>
      </c>
      <c r="I71" s="673">
        <f>F71*'Company Power Prices'!C71</f>
        <v>332203.05730544456</v>
      </c>
      <c r="J71" s="683"/>
      <c r="K71" s="688">
        <f>F71*'Company Gas Prices'!E71</f>
        <v>429205.84778869257</v>
      </c>
    </row>
    <row r="72" spans="1:12">
      <c r="A72" s="50">
        <v>5</v>
      </c>
      <c r="B72" s="54">
        <v>38108</v>
      </c>
      <c r="C72" s="47">
        <f t="shared" si="7"/>
        <v>17254.389406809329</v>
      </c>
      <c r="E72" s="44">
        <f t="shared" si="3"/>
        <v>42</v>
      </c>
      <c r="F72" s="673">
        <f>C72*'Revenues &amp; Expenses'!N59</f>
        <v>12709.640565164453</v>
      </c>
      <c r="I72" s="673">
        <f>F72*'Company Power Prices'!C72</f>
        <v>736134.06917520275</v>
      </c>
      <c r="J72" s="683"/>
      <c r="K72" s="688">
        <f>F72*'Company Gas Prices'!E72</f>
        <v>738685.71135478397</v>
      </c>
    </row>
    <row r="73" spans="1:12">
      <c r="A73" s="50">
        <v>6</v>
      </c>
      <c r="B73" s="54">
        <v>38139</v>
      </c>
      <c r="C73" s="47">
        <f t="shared" si="7"/>
        <v>33059.526153552884</v>
      </c>
      <c r="E73" s="44">
        <f t="shared" si="3"/>
        <v>43</v>
      </c>
      <c r="F73" s="673">
        <f>C73*'Revenues &amp; Expenses'!N60</f>
        <v>24198.555949154055</v>
      </c>
      <c r="I73" s="673">
        <f>F73*'Company Power Prices'!C73</f>
        <v>2574898.5620134035</v>
      </c>
      <c r="J73" s="683"/>
      <c r="K73" s="688">
        <f>F73*'Company Gas Prices'!E73</f>
        <v>1405650.159964958</v>
      </c>
    </row>
    <row r="74" spans="1:12">
      <c r="A74" s="50">
        <v>7</v>
      </c>
      <c r="B74" s="54">
        <v>38169</v>
      </c>
      <c r="C74" s="47">
        <f t="shared" si="7"/>
        <v>52080.594725612435</v>
      </c>
      <c r="E74" s="44">
        <f t="shared" si="3"/>
        <v>44</v>
      </c>
      <c r="F74" s="673">
        <f>C74*'Revenues &amp; Expenses'!N61</f>
        <v>37888.930387022978</v>
      </c>
      <c r="I74" s="673">
        <f>F74*'Company Power Prices'!C74</f>
        <v>6385702.8884665761</v>
      </c>
      <c r="J74" s="683"/>
      <c r="K74" s="688">
        <f>F74*'Company Gas Prices'!E74</f>
        <v>2189107.8129083263</v>
      </c>
    </row>
    <row r="75" spans="1:12">
      <c r="A75" s="50">
        <v>8</v>
      </c>
      <c r="B75" s="54">
        <v>38200</v>
      </c>
      <c r="C75" s="47">
        <f t="shared" si="7"/>
        <v>34720.396483412878</v>
      </c>
      <c r="E75" s="44">
        <f t="shared" si="3"/>
        <v>45</v>
      </c>
      <c r="F75" s="673">
        <f>C75*'Revenues &amp; Expenses'!N62</f>
        <v>25099.901017984965</v>
      </c>
      <c r="I75" s="673">
        <f>F75*'Company Power Prices'!C75</f>
        <v>4230272.7681557378</v>
      </c>
      <c r="J75" s="683"/>
      <c r="K75" s="688">
        <f>F75*'Company Gas Prices'!E75</f>
        <v>1451403.9643623538</v>
      </c>
    </row>
    <row r="76" spans="1:12">
      <c r="A76" s="50">
        <v>9</v>
      </c>
      <c r="B76" s="54">
        <v>38231</v>
      </c>
      <c r="C76" s="47">
        <f t="shared" si="7"/>
        <v>21088.698163549328</v>
      </c>
      <c r="E76" s="44">
        <f t="shared" si="3"/>
        <v>46</v>
      </c>
      <c r="F76" s="673">
        <f>C76*'Revenues &amp; Expenses'!N63</f>
        <v>15148.995778732417</v>
      </c>
      <c r="I76" s="673">
        <f>F76*'Company Power Prices'!C76</f>
        <v>877419.92775796237</v>
      </c>
      <c r="J76" s="683"/>
      <c r="K76" s="688">
        <f>F76*'Company Gas Prices'!E76</f>
        <v>883373.43758021225</v>
      </c>
    </row>
    <row r="77" spans="1:12">
      <c r="A77" s="50">
        <v>10</v>
      </c>
      <c r="B77" s="54">
        <v>38261</v>
      </c>
      <c r="C77" s="47">
        <f t="shared" si="7"/>
        <v>3729.7611841839989</v>
      </c>
      <c r="E77" s="44">
        <f t="shared" si="3"/>
        <v>47</v>
      </c>
      <c r="F77" s="673">
        <f>C77*'Revenues &amp; Expenses'!N64</f>
        <v>2662.8498122764186</v>
      </c>
      <c r="I77" s="673">
        <f>F77*'Company Power Prices'!C77</f>
        <v>127131.84005876075</v>
      </c>
      <c r="J77" s="683"/>
      <c r="K77" s="688">
        <f>F77*'Company Gas Prices'!E77</f>
        <v>154396.02576264573</v>
      </c>
    </row>
    <row r="78" spans="1:12">
      <c r="A78" s="50">
        <v>11</v>
      </c>
      <c r="B78" s="54">
        <v>38292</v>
      </c>
      <c r="C78" s="47">
        <f t="shared" si="7"/>
        <v>8546.1761982333319</v>
      </c>
      <c r="E78" s="44">
        <f t="shared" si="3"/>
        <v>48</v>
      </c>
      <c r="F78" s="673">
        <f>C78*'Revenues &amp; Expenses'!N65</f>
        <v>6062.8385333168599</v>
      </c>
      <c r="I78" s="673">
        <f>F78*'Company Power Prices'!C78</f>
        <v>304087.65253961942</v>
      </c>
      <c r="J78" s="683"/>
      <c r="K78" s="688">
        <f>F78*'Company Gas Prices'!E78</f>
        <v>351826.11194312718</v>
      </c>
    </row>
    <row r="79" spans="1:12">
      <c r="A79" s="50">
        <v>12</v>
      </c>
      <c r="B79" s="54">
        <v>38322</v>
      </c>
      <c r="C79" s="47">
        <f t="shared" si="7"/>
        <v>8546.1761982333319</v>
      </c>
      <c r="D79" s="51">
        <f>SUM(C68:C79)</f>
        <v>207842.72356965905</v>
      </c>
      <c r="E79" s="44">
        <f t="shared" si="3"/>
        <v>49</v>
      </c>
      <c r="F79" s="673">
        <f>C79*'Revenues &amp; Expenses'!N66</f>
        <v>6025.5904950925014</v>
      </c>
      <c r="G79" s="674">
        <f>SUM(F68:F79)</f>
        <v>151406.62749623138</v>
      </c>
      <c r="H79" s="51">
        <f>D79</f>
        <v>207842.72356965905</v>
      </c>
      <c r="I79" s="673">
        <f>F79*'Company Power Prices'!C79</f>
        <v>302219.44040711614</v>
      </c>
      <c r="J79" s="683">
        <f>SUM(I68:I79)/SUM(F68:F79)</f>
        <v>109.34961464150611</v>
      </c>
      <c r="K79" s="688">
        <f>F79*'Company Gas Prices'!E79</f>
        <v>349957.09635919431</v>
      </c>
      <c r="L79" s="683">
        <f>SUM(K68:K79)/SUM(F68:F79)</f>
        <v>58.062034174328502</v>
      </c>
    </row>
    <row r="80" spans="1:12">
      <c r="A80" s="50">
        <v>1</v>
      </c>
      <c r="B80" s="54">
        <v>38353</v>
      </c>
      <c r="C80" s="47">
        <f>VLOOKUP(A80,$A$5:$H$16,8)</f>
        <v>16643.557970875103</v>
      </c>
      <c r="E80" s="44">
        <f t="shared" si="3"/>
        <v>50</v>
      </c>
      <c r="F80" s="673">
        <f>C80*'Revenues &amp; Expenses'!N67</f>
        <v>11660.152435661021</v>
      </c>
      <c r="I80" s="673">
        <f>F80*'Company Power Prices'!C80</f>
        <v>560429.10176204063</v>
      </c>
      <c r="J80" s="683"/>
      <c r="K80" s="688">
        <f>F80*'Company Gas Prices'!E80</f>
        <v>684170.15523933549</v>
      </c>
    </row>
    <row r="81" spans="1:12">
      <c r="A81" s="50">
        <v>2</v>
      </c>
      <c r="B81" s="54">
        <v>38384</v>
      </c>
      <c r="C81" s="47">
        <f t="shared" ref="C81:C91" si="8">VLOOKUP(A81,$A$5:$H$16,8)</f>
        <v>761.88792300755529</v>
      </c>
      <c r="E81" s="44">
        <f t="shared" si="3"/>
        <v>51</v>
      </c>
      <c r="F81" s="673">
        <f>C81*'Revenues &amp; Expenses'!N68</f>
        <v>530.36547802056225</v>
      </c>
      <c r="I81" s="673">
        <f>F81*'Company Power Prices'!C81</f>
        <v>22141.107849342348</v>
      </c>
      <c r="J81" s="683"/>
      <c r="K81" s="688">
        <f>F81*'Company Gas Prices'!E81</f>
        <v>31145.540426160595</v>
      </c>
    </row>
    <row r="82" spans="1:12">
      <c r="A82" s="50">
        <v>3</v>
      </c>
      <c r="B82" s="54">
        <v>38412</v>
      </c>
      <c r="C82" s="47">
        <f t="shared" si="8"/>
        <v>761.88792300755529</v>
      </c>
      <c r="E82" s="44">
        <f t="shared" si="3"/>
        <v>52</v>
      </c>
      <c r="F82" s="673">
        <f>C82*'Revenues &amp; Expenses'!N69</f>
        <v>527.31023245510471</v>
      </c>
      <c r="I82" s="673">
        <f>F82*'Company Power Prices'!C82</f>
        <v>22013.560856986263</v>
      </c>
      <c r="J82" s="683"/>
      <c r="K82" s="688">
        <f>F82*'Company Gas Prices'!E82</f>
        <v>30991.889109599684</v>
      </c>
    </row>
    <row r="83" spans="1:12">
      <c r="A83" s="50">
        <v>4</v>
      </c>
      <c r="B83" s="54">
        <v>38443</v>
      </c>
      <c r="C83" s="47">
        <f t="shared" si="8"/>
        <v>9170.6666975435528</v>
      </c>
      <c r="E83" s="44">
        <f t="shared" si="3"/>
        <v>53</v>
      </c>
      <c r="F83" s="673">
        <f>C83*'Revenues &amp; Expenses'!N70</f>
        <v>6307.4657601934978</v>
      </c>
      <c r="I83" s="673">
        <f>F83*'Company Power Prices'!C83</f>
        <v>291144.53477014438</v>
      </c>
      <c r="J83" s="683"/>
      <c r="K83" s="688">
        <f>F83*'Company Gas Prices'!E83</f>
        <v>379769.1893870706</v>
      </c>
    </row>
    <row r="84" spans="1:12">
      <c r="A84" s="50">
        <v>5</v>
      </c>
      <c r="B84" s="54">
        <v>38473</v>
      </c>
      <c r="C84" s="47">
        <f t="shared" si="8"/>
        <v>15970.876490943105</v>
      </c>
      <c r="E84" s="44">
        <f t="shared" si="3"/>
        <v>54</v>
      </c>
      <c r="F84" s="673">
        <f>C84*'Revenues &amp; Expenses'!N71</f>
        <v>10918.466333210967</v>
      </c>
      <c r="I84" s="673">
        <f>F84*'Company Power Prices'!C84</f>
        <v>585345.81104353198</v>
      </c>
      <c r="J84" s="683"/>
      <c r="K84" s="688">
        <f>F84*'Company Gas Prices'!E84</f>
        <v>640935.46027684934</v>
      </c>
    </row>
    <row r="85" spans="1:12">
      <c r="A85" s="50">
        <v>6</v>
      </c>
      <c r="B85" s="54">
        <v>38504</v>
      </c>
      <c r="C85" s="47">
        <f t="shared" si="8"/>
        <v>30292.162001615103</v>
      </c>
      <c r="E85" s="44">
        <f t="shared" si="3"/>
        <v>55</v>
      </c>
      <c r="F85" s="673">
        <f>C85*'Revenues &amp; Expenses'!N72</f>
        <v>20580.361037977924</v>
      </c>
      <c r="I85" s="673">
        <f>F85*'Company Power Prices'!C85</f>
        <v>1948052.5278421324</v>
      </c>
      <c r="J85" s="683"/>
      <c r="K85" s="688">
        <f>F85*'Company Gas Prices'!E85</f>
        <v>1207477.2452757175</v>
      </c>
    </row>
    <row r="86" spans="1:12">
      <c r="A86" s="50">
        <v>7</v>
      </c>
      <c r="B86" s="54">
        <v>38534</v>
      </c>
      <c r="C86" s="47">
        <f t="shared" si="8"/>
        <v>50413.408785450651</v>
      </c>
      <c r="E86" s="44">
        <f t="shared" si="3"/>
        <v>56</v>
      </c>
      <c r="F86" s="673">
        <f>C86*'Revenues &amp; Expenses'!N73</f>
        <v>34044.299045183318</v>
      </c>
      <c r="I86" s="673">
        <f>F86*'Company Power Prices'!C86</f>
        <v>4743320.839327883</v>
      </c>
      <c r="J86" s="683"/>
      <c r="K86" s="688">
        <f>F86*'Company Gas Prices'!E86</f>
        <v>1986873.7294344704</v>
      </c>
    </row>
    <row r="87" spans="1:12">
      <c r="A87" s="50">
        <v>8</v>
      </c>
      <c r="B87" s="54">
        <v>38565</v>
      </c>
      <c r="C87" s="47">
        <f t="shared" si="8"/>
        <v>33608.939190300436</v>
      </c>
      <c r="E87" s="44">
        <f t="shared" si="3"/>
        <v>57</v>
      </c>
      <c r="F87" s="673">
        <f>C87*'Revenues &amp; Expenses'!N74</f>
        <v>22554.830971062136</v>
      </c>
      <c r="I87" s="673">
        <f>F87*'Company Power Prices'!C87</f>
        <v>3142517.3310388215</v>
      </c>
      <c r="J87" s="683"/>
      <c r="K87" s="688">
        <f>F87*'Company Gas Prices'!E87</f>
        <v>1317446.4692157086</v>
      </c>
    </row>
    <row r="88" spans="1:12">
      <c r="A88" s="50">
        <v>9</v>
      </c>
      <c r="B88" s="54">
        <v>38596</v>
      </c>
      <c r="C88" s="47">
        <f t="shared" si="8"/>
        <v>19519.960156473771</v>
      </c>
      <c r="E88" s="44">
        <f t="shared" si="3"/>
        <v>58</v>
      </c>
      <c r="F88" s="673">
        <f>C88*'Revenues &amp; Expenses'!N75</f>
        <v>13018.124316871488</v>
      </c>
      <c r="I88" s="673">
        <f>F88*'Company Power Prices'!C88</f>
        <v>697909.78915659687</v>
      </c>
      <c r="J88" s="683"/>
      <c r="K88" s="688">
        <f>F88*'Company Gas Prices'!E88</f>
        <v>766759.59262582392</v>
      </c>
    </row>
    <row r="89" spans="1:12">
      <c r="A89" s="50">
        <v>10</v>
      </c>
      <c r="B89" s="54">
        <v>38626</v>
      </c>
      <c r="C89" s="47">
        <f t="shared" si="8"/>
        <v>3662.9201713035541</v>
      </c>
      <c r="E89" s="44">
        <f t="shared" si="3"/>
        <v>59</v>
      </c>
      <c r="F89" s="673">
        <f>C89*'Revenues &amp; Expenses'!N76</f>
        <v>2428.1057997993566</v>
      </c>
      <c r="I89" s="673">
        <f>F89*'Company Power Prices'!C89</f>
        <v>116171.3029578087</v>
      </c>
      <c r="J89" s="683"/>
      <c r="K89" s="688">
        <f>F89*'Company Gas Prices'!E89</f>
        <v>142213.79843870801</v>
      </c>
    </row>
    <row r="90" spans="1:12">
      <c r="A90" s="50">
        <v>11</v>
      </c>
      <c r="B90" s="54">
        <v>38657</v>
      </c>
      <c r="C90" s="47">
        <f t="shared" si="8"/>
        <v>8335.2542727128857</v>
      </c>
      <c r="E90" s="44">
        <f t="shared" si="3"/>
        <v>60</v>
      </c>
      <c r="F90" s="673">
        <f>C90*'Revenues &amp; Expenses'!N77</f>
        <v>5490.8594863534054</v>
      </c>
      <c r="I90" s="673">
        <f>F90*'Company Power Prices'!C90</f>
        <v>275519.40046243131</v>
      </c>
      <c r="J90" s="683"/>
      <c r="K90" s="688">
        <f>F90*'Company Gas Prices'!E90</f>
        <v>321871.94864016445</v>
      </c>
    </row>
    <row r="91" spans="1:12">
      <c r="A91" s="50">
        <v>12</v>
      </c>
      <c r="B91" s="54">
        <v>38687</v>
      </c>
      <c r="C91" s="47">
        <f t="shared" si="8"/>
        <v>8335.2542727128857</v>
      </c>
      <c r="D91" s="51">
        <f>SUM(C80:C91)</f>
        <v>197476.77585594615</v>
      </c>
      <c r="E91" s="44">
        <f t="shared" ref="E91:E154" si="9">E90+1</f>
        <v>61</v>
      </c>
      <c r="F91" s="673">
        <f>C91*'Revenues &amp; Expenses'!N78</f>
        <v>5457.6755408997587</v>
      </c>
      <c r="G91" s="674">
        <f>SUM(F80:F91)</f>
        <v>133518.01643768855</v>
      </c>
      <c r="H91" s="51">
        <f>D91</f>
        <v>197476.77585594615</v>
      </c>
      <c r="I91" s="673">
        <f>F91*'Company Power Prices'!C91</f>
        <v>273854.30216969782</v>
      </c>
      <c r="J91" s="683">
        <f>SUM(I80:I91)/SUM(F80:F91)</f>
        <v>94.95662044346129</v>
      </c>
      <c r="K91" s="688">
        <f>F91*'Company Gas Prices'!E91</f>
        <v>320198.79071920773</v>
      </c>
      <c r="L91" s="683">
        <f>SUM(K80:K91)/SUM(F80:F91)</f>
        <v>58.642676229712606</v>
      </c>
    </row>
    <row r="92" spans="1:12">
      <c r="A92" s="50">
        <v>1</v>
      </c>
      <c r="B92" s="54">
        <v>38718</v>
      </c>
      <c r="C92" s="47">
        <f>VLOOKUP(A92,$A$5:$I$16,9)</f>
        <v>17347.411018992443</v>
      </c>
      <c r="E92" s="44">
        <f t="shared" si="9"/>
        <v>62</v>
      </c>
      <c r="F92" s="673">
        <f>C92*'Revenues &amp; Expenses'!N79</f>
        <v>11287.596153073142</v>
      </c>
      <c r="I92" s="673">
        <f>F92*'Company Power Prices'!C92</f>
        <v>541637.4244891752</v>
      </c>
      <c r="J92" s="683"/>
      <c r="K92" s="688">
        <f>F92*'Company Gas Prices'!E92</f>
        <v>668995.54117512039</v>
      </c>
    </row>
    <row r="93" spans="1:12">
      <c r="A93" s="50">
        <v>2</v>
      </c>
      <c r="B93" s="54">
        <v>38749</v>
      </c>
      <c r="C93" s="47">
        <f t="shared" ref="C93:C103" si="10">VLOOKUP(A93,$A$5:$I$16,9)</f>
        <v>752.76341374577783</v>
      </c>
      <c r="E93" s="44">
        <f t="shared" si="9"/>
        <v>63</v>
      </c>
      <c r="F93" s="673">
        <f>C93*'Revenues &amp; Expenses'!N80</f>
        <v>486.74501023746313</v>
      </c>
      <c r="I93" s="673">
        <f>F93*'Company Power Prices'!C93</f>
        <v>20316.36575460216</v>
      </c>
      <c r="J93" s="683"/>
      <c r="K93" s="688">
        <f>F93*'Company Gas Prices'!E93</f>
        <v>28872.874905377845</v>
      </c>
    </row>
    <row r="94" spans="1:12">
      <c r="A94" s="50">
        <v>3</v>
      </c>
      <c r="B94" s="54">
        <v>38777</v>
      </c>
      <c r="C94" s="47">
        <f t="shared" si="10"/>
        <v>752.76341374577783</v>
      </c>
      <c r="E94" s="44">
        <f t="shared" si="9"/>
        <v>64</v>
      </c>
      <c r="F94" s="673">
        <f>C94*'Revenues &amp; Expenses'!N81</f>
        <v>483.99383557266435</v>
      </c>
      <c r="I94" s="673">
        <f>F94*'Company Power Prices'!C94</f>
        <v>20201.53382090123</v>
      </c>
      <c r="J94" s="683"/>
      <c r="K94" s="688">
        <f>F94*'Company Gas Prices'!E94</f>
        <v>28733.968859443808</v>
      </c>
    </row>
    <row r="95" spans="1:12">
      <c r="A95" s="50">
        <v>4</v>
      </c>
      <c r="B95" s="54">
        <v>38808</v>
      </c>
      <c r="C95" s="47">
        <f t="shared" si="10"/>
        <v>8623.6274809191109</v>
      </c>
      <c r="E95" s="44">
        <f t="shared" si="9"/>
        <v>65</v>
      </c>
      <c r="F95" s="673">
        <f>C95*'Revenues &amp; Expenses'!N82</f>
        <v>5509.9067149798684</v>
      </c>
      <c r="I95" s="673">
        <f>F95*'Company Power Prices'!C95</f>
        <v>254432.78692813497</v>
      </c>
      <c r="J95" s="683"/>
      <c r="K95" s="688">
        <f>F95*'Company Gas Prices'!E95</f>
        <v>335033.82041827706</v>
      </c>
    </row>
    <row r="96" spans="1:12">
      <c r="A96" s="50">
        <v>5</v>
      </c>
      <c r="B96" s="54">
        <v>38838</v>
      </c>
      <c r="C96" s="47">
        <f t="shared" si="10"/>
        <v>17152.251015374222</v>
      </c>
      <c r="E96" s="44">
        <f t="shared" si="9"/>
        <v>66</v>
      </c>
      <c r="F96" s="673">
        <f>C96*'Revenues &amp; Expenses'!N83</f>
        <v>10892.677422623394</v>
      </c>
      <c r="I96" s="673">
        <f>F96*'Company Power Prices'!C96</f>
        <v>614279.28686042293</v>
      </c>
      <c r="J96" s="683"/>
      <c r="K96" s="688">
        <f>F96*'Company Gas Prices'!E96</f>
        <v>645930.71348593046</v>
      </c>
    </row>
    <row r="97" spans="1:12">
      <c r="A97" s="50">
        <v>6</v>
      </c>
      <c r="B97" s="54">
        <v>38869</v>
      </c>
      <c r="C97" s="47">
        <f t="shared" si="10"/>
        <v>32157.369513552887</v>
      </c>
      <c r="E97" s="44">
        <f t="shared" si="9"/>
        <v>67</v>
      </c>
      <c r="F97" s="673">
        <f>C97*'Revenues &amp; Expenses'!N84</f>
        <v>20293.809318548603</v>
      </c>
      <c r="I97" s="673">
        <f>F97*'Company Power Prices'!C97</f>
        <v>2083069.1785099281</v>
      </c>
      <c r="J97" s="683"/>
      <c r="K97" s="688">
        <f>F97*'Company Gas Prices'!E97</f>
        <v>1202818.7536294442</v>
      </c>
    </row>
    <row r="98" spans="1:12">
      <c r="A98" s="50">
        <v>7</v>
      </c>
      <c r="B98" s="54">
        <v>38899</v>
      </c>
      <c r="C98" s="47">
        <f t="shared" si="10"/>
        <v>51574.485499506663</v>
      </c>
      <c r="E98" s="44">
        <f t="shared" si="9"/>
        <v>68</v>
      </c>
      <c r="F98" s="673">
        <f>C98*'Revenues &amp; Expenses'!N85</f>
        <v>32349.974514916623</v>
      </c>
      <c r="I98" s="673">
        <f>F98*'Company Power Prices'!C98</f>
        <v>5154973.9449176267</v>
      </c>
      <c r="J98" s="683"/>
      <c r="K98" s="688">
        <f>F98*'Company Gas Prices'!E98</f>
        <v>1907407.8695654077</v>
      </c>
    </row>
    <row r="99" spans="1:12">
      <c r="A99" s="50">
        <v>8</v>
      </c>
      <c r="B99" s="54">
        <v>38930</v>
      </c>
      <c r="C99" s="47">
        <f t="shared" si="10"/>
        <v>34382.99033300444</v>
      </c>
      <c r="E99" s="44">
        <f t="shared" si="9"/>
        <v>69</v>
      </c>
      <c r="F99" s="673">
        <f>C99*'Revenues &amp; Expenses'!N86</f>
        <v>21431.315702224198</v>
      </c>
      <c r="I99" s="673">
        <f>F99*'Company Power Prices'!C99</f>
        <v>3415083.8047593585</v>
      </c>
      <c r="J99" s="683"/>
      <c r="K99" s="688">
        <f>F99*'Company Gas Prices'!E99</f>
        <v>1264713.2531714432</v>
      </c>
    </row>
    <row r="100" spans="1:12">
      <c r="A100" s="50">
        <v>9</v>
      </c>
      <c r="B100" s="54">
        <v>38961</v>
      </c>
      <c r="C100" s="47">
        <f t="shared" si="10"/>
        <v>20963.862352891112</v>
      </c>
      <c r="E100" s="44">
        <f t="shared" si="9"/>
        <v>70</v>
      </c>
      <c r="F100" s="673">
        <f>C100*'Revenues &amp; Expenses'!N87</f>
        <v>12984.968945290761</v>
      </c>
      <c r="I100" s="673">
        <f>F100*'Company Power Prices'!C100</f>
        <v>732271.52096246602</v>
      </c>
      <c r="J100" s="683"/>
      <c r="K100" s="688">
        <f>F100*'Company Gas Prices'!E100</f>
        <v>772635.37577684724</v>
      </c>
    </row>
    <row r="101" spans="1:12">
      <c r="A101" s="50">
        <v>10</v>
      </c>
      <c r="B101" s="54">
        <v>38991</v>
      </c>
      <c r="C101" s="47">
        <f t="shared" si="10"/>
        <v>3790.6623295395557</v>
      </c>
      <c r="E101" s="44">
        <f t="shared" si="9"/>
        <v>71</v>
      </c>
      <c r="F101" s="673">
        <f>C101*'Revenues &amp; Expenses'!N88</f>
        <v>2333.6501334399859</v>
      </c>
      <c r="I101" s="673">
        <f>F101*'Company Power Prices'!C101</f>
        <v>111766.05977937342</v>
      </c>
      <c r="J101" s="683"/>
      <c r="K101" s="688">
        <f>F101*'Company Gas Prices'!E101</f>
        <v>138091.62458328003</v>
      </c>
    </row>
    <row r="102" spans="1:12">
      <c r="A102" s="50">
        <v>11</v>
      </c>
      <c r="B102" s="54">
        <v>39022</v>
      </c>
      <c r="C102" s="47">
        <f t="shared" si="10"/>
        <v>8111.6004431622232</v>
      </c>
      <c r="E102" s="44">
        <f t="shared" si="9"/>
        <v>72</v>
      </c>
      <c r="F102" s="673">
        <f>C102*'Revenues &amp; Expenses'!N89</f>
        <v>4962.3596147033977</v>
      </c>
      <c r="I102" s="673">
        <f>F102*'Company Power Prices'!C102</f>
        <v>249210.52126979167</v>
      </c>
      <c r="J102" s="683"/>
      <c r="K102" s="688">
        <f>F102*'Company Gas Prices'!E102</f>
        <v>293896.61296916497</v>
      </c>
    </row>
    <row r="103" spans="1:12">
      <c r="A103" s="50">
        <v>12</v>
      </c>
      <c r="B103" s="54">
        <v>39052</v>
      </c>
      <c r="C103" s="47">
        <f t="shared" si="10"/>
        <v>8111.6004431622232</v>
      </c>
      <c r="D103" s="51">
        <f>SUM(C92:C103)</f>
        <v>203721.38725759645</v>
      </c>
      <c r="E103" s="44">
        <f t="shared" si="9"/>
        <v>73</v>
      </c>
      <c r="F103" s="673">
        <f>C103*'Revenues &amp; Expenses'!N90</f>
        <v>4932.1466786566016</v>
      </c>
      <c r="G103" s="674">
        <f>SUM(F92:F103)</f>
        <v>127949.14404426669</v>
      </c>
      <c r="H103" s="51">
        <f>D103</f>
        <v>203721.38725759645</v>
      </c>
      <c r="I103" s="673">
        <f>F103*'Company Power Prices'!C103</f>
        <v>247693.22262037426</v>
      </c>
      <c r="J103" s="683">
        <f>SUM(I92:I103)/SUM(F92:F103)</f>
        <v>105.08030945498625</v>
      </c>
      <c r="K103" s="688">
        <f>F103*'Company Gas Prices'!E103</f>
        <v>292359.75837808731</v>
      </c>
      <c r="L103" s="683">
        <f>SUM(K92:K103)/SUM(F92:F103)</f>
        <v>59.238303026830252</v>
      </c>
    </row>
    <row r="104" spans="1:12">
      <c r="A104" s="50">
        <v>1</v>
      </c>
      <c r="B104" s="54">
        <v>39083</v>
      </c>
      <c r="C104" s="47">
        <f t="shared" ref="C104:C115" si="11">VLOOKUP(A116,$A$5:$J$16,10)</f>
        <v>18013.917368088445</v>
      </c>
      <c r="E104" s="44">
        <f t="shared" si="9"/>
        <v>74</v>
      </c>
      <c r="F104" s="673">
        <f>C104*'Revenues &amp; Expenses'!N91</f>
        <v>10884.16824275983</v>
      </c>
      <c r="I104" s="673">
        <f>F104*'Company Power Prices'!C104</f>
        <v>521606.65290410386</v>
      </c>
      <c r="J104" s="683"/>
      <c r="K104" s="688">
        <f>F104*'Company Gas Prices'!E104</f>
        <v>651705.67395977559</v>
      </c>
    </row>
    <row r="105" spans="1:12">
      <c r="A105" s="50">
        <v>2</v>
      </c>
      <c r="B105" s="54">
        <v>39114</v>
      </c>
      <c r="C105" s="47">
        <f t="shared" si="11"/>
        <v>721.88926158222216</v>
      </c>
      <c r="E105" s="44">
        <f t="shared" si="9"/>
        <v>75</v>
      </c>
      <c r="F105" s="673">
        <f>C105*'Revenues &amp; Expenses'!N92</f>
        <v>433.42462821155033</v>
      </c>
      <c r="I105" s="673">
        <f>F105*'Company Power Prices'!C105</f>
        <v>18095.687051818099</v>
      </c>
      <c r="J105" s="683"/>
      <c r="K105" s="688">
        <f>F105*'Company Gas Prices'!E105</f>
        <v>25974.229610591898</v>
      </c>
    </row>
    <row r="106" spans="1:12">
      <c r="A106" s="50">
        <v>3</v>
      </c>
      <c r="B106" s="54">
        <v>39142</v>
      </c>
      <c r="C106" s="47">
        <f t="shared" si="11"/>
        <v>721.88926158222216</v>
      </c>
      <c r="E106" s="44">
        <f t="shared" si="9"/>
        <v>76</v>
      </c>
      <c r="F106" s="673">
        <f>C106*'Revenues &amp; Expenses'!N93</f>
        <v>430.95664745374307</v>
      </c>
      <c r="I106" s="673">
        <f>F106*'Company Power Prices'!C106</f>
        <v>17992.647666106517</v>
      </c>
      <c r="J106" s="683"/>
      <c r="K106" s="688">
        <f>F106*'Company Gas Prices'!E106</f>
        <v>25848.539890263201</v>
      </c>
    </row>
    <row r="107" spans="1:12">
      <c r="A107" s="50">
        <v>4</v>
      </c>
      <c r="B107" s="54">
        <v>39173</v>
      </c>
      <c r="C107" s="47">
        <f t="shared" si="11"/>
        <v>8914.4406196688888</v>
      </c>
      <c r="E107" s="44">
        <f t="shared" si="9"/>
        <v>77</v>
      </c>
      <c r="F107" s="673">
        <f>C107*'Revenues &amp; Expenses'!N94</f>
        <v>5288.5078358228347</v>
      </c>
      <c r="I107" s="673">
        <f>F107*'Company Power Prices'!C107</f>
        <v>244409.72609136751</v>
      </c>
      <c r="J107" s="683"/>
      <c r="K107" s="688">
        <f>F107*'Company Gas Prices'!E107</f>
        <v>324809.87384855963</v>
      </c>
    </row>
    <row r="108" spans="1:12">
      <c r="A108" s="50">
        <v>5</v>
      </c>
      <c r="B108" s="54">
        <v>39203</v>
      </c>
      <c r="C108" s="47">
        <f t="shared" si="11"/>
        <v>17508.30590115911</v>
      </c>
      <c r="E108" s="44">
        <f t="shared" si="9"/>
        <v>78</v>
      </c>
      <c r="F108" s="673">
        <f>C108*'Revenues &amp; Expenses'!N95</f>
        <v>10324.057039852243</v>
      </c>
      <c r="I108" s="673">
        <f>F108*'Company Power Prices'!C108</f>
        <v>608251.54834564077</v>
      </c>
      <c r="J108" s="683"/>
      <c r="K108" s="688">
        <f>F108*'Company Gas Prices'!E108</f>
        <v>618547.68434500787</v>
      </c>
    </row>
    <row r="109" spans="1:12">
      <c r="A109" s="50">
        <v>6</v>
      </c>
      <c r="B109" s="54">
        <v>39234</v>
      </c>
      <c r="C109" s="47">
        <f t="shared" si="11"/>
        <v>32163.931047241771</v>
      </c>
      <c r="E109" s="44">
        <f t="shared" si="9"/>
        <v>79</v>
      </c>
      <c r="F109" s="673">
        <f>C109*'Revenues &amp; Expenses'!N96</f>
        <v>18847.502011578552</v>
      </c>
      <c r="I109" s="673">
        <f>F109*'Company Power Prices'!C109</f>
        <v>2063517.5269957962</v>
      </c>
      <c r="J109" s="683"/>
      <c r="K109" s="688">
        <f>F109*'Company Gas Prices'!E109</f>
        <v>1128688.2465769534</v>
      </c>
    </row>
    <row r="110" spans="1:12">
      <c r="A110" s="50">
        <v>7</v>
      </c>
      <c r="B110" s="54">
        <v>39264</v>
      </c>
      <c r="C110" s="47">
        <f t="shared" si="11"/>
        <v>53637.922491685771</v>
      </c>
      <c r="E110" s="44">
        <f t="shared" si="9"/>
        <v>80</v>
      </c>
      <c r="F110" s="673">
        <f>C110*'Revenues &amp; Expenses'!N97</f>
        <v>31240.775811492163</v>
      </c>
      <c r="I110" s="673">
        <f>F110*'Company Power Prices'!C110</f>
        <v>5577745.0864973087</v>
      </c>
      <c r="J110" s="683"/>
      <c r="K110" s="688">
        <f>F110*'Company Gas Prices'!E110</f>
        <v>1861265.5353786936</v>
      </c>
    </row>
    <row r="111" spans="1:12">
      <c r="A111" s="50">
        <v>8</v>
      </c>
      <c r="B111" s="54">
        <v>39295</v>
      </c>
      <c r="C111" s="47">
        <f t="shared" si="11"/>
        <v>35758.614995114665</v>
      </c>
      <c r="E111" s="44">
        <f t="shared" si="9"/>
        <v>81</v>
      </c>
      <c r="F111" s="673">
        <f>C111*'Revenues &amp; Expenses'!N98</f>
        <v>20696.974400478404</v>
      </c>
      <c r="I111" s="673">
        <f>F111*'Company Power Prices'!C111</f>
        <v>3695249.0541276061</v>
      </c>
      <c r="J111" s="683"/>
      <c r="K111" s="688">
        <f>F111*'Company Gas Prices'!E111</f>
        <v>1234164.6737858532</v>
      </c>
    </row>
    <row r="112" spans="1:12">
      <c r="A112" s="50">
        <v>9</v>
      </c>
      <c r="B112" s="54">
        <v>39326</v>
      </c>
      <c r="C112" s="47">
        <f t="shared" si="11"/>
        <v>21399.040545751555</v>
      </c>
      <c r="E112" s="44">
        <f t="shared" si="9"/>
        <v>82</v>
      </c>
      <c r="F112" s="673">
        <f>C112*'Revenues &amp; Expenses'!N99</f>
        <v>12308.233346316265</v>
      </c>
      <c r="I112" s="673">
        <f>F112*'Company Power Prices'!C112</f>
        <v>725151.16503109329</v>
      </c>
      <c r="J112" s="683"/>
      <c r="K112" s="688">
        <f>F112*'Company Gas Prices'!E112</f>
        <v>739989.02672648558</v>
      </c>
    </row>
    <row r="113" spans="1:12">
      <c r="A113" s="50">
        <v>10</v>
      </c>
      <c r="B113" s="54">
        <v>39356</v>
      </c>
      <c r="C113" s="47">
        <f t="shared" si="11"/>
        <v>3914.1586886795549</v>
      </c>
      <c r="E113" s="44">
        <f t="shared" si="9"/>
        <v>83</v>
      </c>
      <c r="F113" s="673">
        <f>C113*'Revenues &amp; Expenses'!N100</f>
        <v>2237.7005906254549</v>
      </c>
      <c r="I113" s="673">
        <f>F113*'Company Power Prices'!C113</f>
        <v>107288.2838664068</v>
      </c>
      <c r="J113" s="683"/>
      <c r="K113" s="688">
        <f>F113*'Company Gas Prices'!E113</f>
        <v>133802.5086572557</v>
      </c>
    </row>
    <row r="114" spans="1:12">
      <c r="A114" s="50">
        <v>11</v>
      </c>
      <c r="B114" s="54">
        <v>39387</v>
      </c>
      <c r="C114" s="47">
        <f t="shared" si="11"/>
        <v>8091.0709731319994</v>
      </c>
      <c r="E114" s="44">
        <f t="shared" si="9"/>
        <v>84</v>
      </c>
      <c r="F114" s="673">
        <f>C114*'Revenues &amp; Expenses'!N101</f>
        <v>4596.6634713217272</v>
      </c>
      <c r="I114" s="673">
        <f>F114*'Company Power Prices'!C114</f>
        <v>230949.30652314611</v>
      </c>
      <c r="J114" s="683"/>
      <c r="K114" s="688">
        <f>F114*'Company Gas Prices'!E114</f>
        <v>275097.00680395006</v>
      </c>
    </row>
    <row r="115" spans="1:12">
      <c r="A115" s="50">
        <v>12</v>
      </c>
      <c r="B115" s="54">
        <v>39417</v>
      </c>
      <c r="C115" s="47">
        <f t="shared" si="11"/>
        <v>8091.0709731319994</v>
      </c>
      <c r="D115" s="51">
        <f>SUM(C104:C115)</f>
        <v>208936.25212681823</v>
      </c>
      <c r="E115" s="44">
        <f t="shared" si="9"/>
        <v>85</v>
      </c>
      <c r="F115" s="673">
        <f>C115*'Revenues &amp; Expenses'!N102</f>
        <v>4568.8069721971515</v>
      </c>
      <c r="G115" s="674">
        <f>SUM(F104:F115)</f>
        <v>121857.7709981099</v>
      </c>
      <c r="H115" s="51">
        <f>D115</f>
        <v>208936.25212681823</v>
      </c>
      <c r="I115" s="673">
        <f>F115*'Company Power Prices'!C115</f>
        <v>229549.71762673871</v>
      </c>
      <c r="J115" s="683">
        <f>SUM(I104:I115)/SUM(F104:F115)</f>
        <v>115.21469897020275</v>
      </c>
      <c r="K115" s="688">
        <f>F115*'Company Gas Prices'!E115</f>
        <v>273670.10136653017</v>
      </c>
      <c r="L115" s="683">
        <f>SUM(K104:K115)/SUM(F104:F115)</f>
        <v>59.85308151634456</v>
      </c>
    </row>
    <row r="116" spans="1:12">
      <c r="A116" s="50">
        <v>1</v>
      </c>
      <c r="B116" s="54">
        <v>39448</v>
      </c>
      <c r="C116" s="47">
        <f t="shared" ref="C116:C127" si="12">VLOOKUP(A128,$A$5:$K$16,11)</f>
        <v>17916.30730770533</v>
      </c>
      <c r="E116" s="44">
        <f t="shared" si="9"/>
        <v>86</v>
      </c>
      <c r="F116" s="673">
        <f>C116*'Revenues &amp; Expenses'!N103</f>
        <v>10053.478612204097</v>
      </c>
      <c r="I116" s="673">
        <f>F116*'Company Power Prices'!C116</f>
        <v>481072.36765956966</v>
      </c>
      <c r="J116" s="683"/>
      <c r="K116" s="688">
        <f>F116*'Company Gas Prices'!E116</f>
        <v>608247.30780176469</v>
      </c>
    </row>
    <row r="117" spans="1:12">
      <c r="A117" s="50">
        <v>2</v>
      </c>
      <c r="B117" s="54">
        <v>39479</v>
      </c>
      <c r="C117" s="47">
        <f t="shared" si="12"/>
        <v>712.97695085244436</v>
      </c>
      <c r="E117" s="44">
        <f t="shared" si="9"/>
        <v>87</v>
      </c>
      <c r="F117" s="673">
        <f>C117*'Revenues &amp; Expenses'!N104</f>
        <v>397.5697538508561</v>
      </c>
      <c r="I117" s="673">
        <f>F117*'Company Power Prices'!C117</f>
        <v>16596.683840546135</v>
      </c>
      <c r="J117" s="683"/>
      <c r="K117" s="688">
        <f>F117*'Company Gas Prices'!E117</f>
        <v>24074.435823371779</v>
      </c>
    </row>
    <row r="118" spans="1:12">
      <c r="A118" s="50">
        <v>3</v>
      </c>
      <c r="B118" s="54">
        <v>39508</v>
      </c>
      <c r="C118" s="47">
        <f t="shared" si="12"/>
        <v>712.97695085244436</v>
      </c>
      <c r="E118" s="44">
        <f t="shared" si="9"/>
        <v>88</v>
      </c>
      <c r="F118" s="673">
        <f>C118*'Revenues &amp; Expenses'!N105</f>
        <v>395.23781890131164</v>
      </c>
      <c r="I118" s="673">
        <f>F118*'Company Power Prices'!C118</f>
        <v>16499.336427370363</v>
      </c>
      <c r="J118" s="683"/>
      <c r="K118" s="688">
        <f>F118*'Company Gas Prices'!E118</f>
        <v>23954.148121223883</v>
      </c>
    </row>
    <row r="119" spans="1:12">
      <c r="A119" s="50">
        <v>4</v>
      </c>
      <c r="B119" s="54">
        <v>39539</v>
      </c>
      <c r="C119" s="47">
        <f t="shared" si="12"/>
        <v>9285.253340704443</v>
      </c>
      <c r="E119" s="44">
        <f t="shared" si="9"/>
        <v>89</v>
      </c>
      <c r="F119" s="673">
        <f>C119*'Revenues &amp; Expenses'!N106</f>
        <v>5114.9888588511712</v>
      </c>
      <c r="I119" s="673">
        <f>F119*'Company Power Prices'!C119</f>
        <v>236289.55836436211</v>
      </c>
      <c r="J119" s="683"/>
      <c r="K119" s="688">
        <f>F119*'Company Gas Prices'!E119</f>
        <v>317369.36057288898</v>
      </c>
    </row>
    <row r="120" spans="1:12">
      <c r="A120" s="50">
        <v>5</v>
      </c>
      <c r="B120" s="54">
        <v>39569</v>
      </c>
      <c r="C120" s="47">
        <f t="shared" si="12"/>
        <v>17783.534566012444</v>
      </c>
      <c r="E120" s="44">
        <f t="shared" si="9"/>
        <v>90</v>
      </c>
      <c r="F120" s="673">
        <f>C120*'Revenues &amp; Expenses'!N107</f>
        <v>9736.9752500519098</v>
      </c>
      <c r="I120" s="673">
        <f>F120*'Company Power Prices'!C120</f>
        <v>574774.51443292445</v>
      </c>
      <c r="J120" s="683"/>
      <c r="K120" s="688">
        <f>F120*'Company Gas Prices'!E120</f>
        <v>589510.65693852725</v>
      </c>
    </row>
    <row r="121" spans="1:12">
      <c r="A121" s="50">
        <v>6</v>
      </c>
      <c r="B121" s="54">
        <v>39600</v>
      </c>
      <c r="C121" s="47">
        <f t="shared" si="12"/>
        <v>32058.439299061774</v>
      </c>
      <c r="E121" s="44">
        <f t="shared" si="9"/>
        <v>91</v>
      </c>
      <c r="F121" s="673">
        <f>C121*'Revenues &amp; Expenses'!N108</f>
        <v>17442.719389179874</v>
      </c>
      <c r="I121" s="673">
        <f>F121*'Company Power Prices'!C121</f>
        <v>1911539.0308094672</v>
      </c>
      <c r="J121" s="683"/>
      <c r="K121" s="688">
        <f>F121*'Company Gas Prices'!E121</f>
        <v>1055580.516209176</v>
      </c>
    </row>
    <row r="122" spans="1:12">
      <c r="A122" s="50">
        <v>7</v>
      </c>
      <c r="B122" s="54">
        <v>39630</v>
      </c>
      <c r="C122" s="47">
        <f t="shared" si="12"/>
        <v>52294.40630098222</v>
      </c>
      <c r="E122" s="44">
        <f t="shared" si="9"/>
        <v>92</v>
      </c>
      <c r="F122" s="673">
        <f>C122*'Revenues &amp; Expenses'!N109</f>
        <v>28280.043680719104</v>
      </c>
      <c r="I122" s="673">
        <f>F122*'Company Power Prices'!C122</f>
        <v>5056568.1913294448</v>
      </c>
      <c r="J122" s="683"/>
      <c r="K122" s="688">
        <f>F122*'Company Gas Prices'!E122</f>
        <v>1702774.2328926702</v>
      </c>
    </row>
    <row r="123" spans="1:12">
      <c r="A123" s="50">
        <v>8</v>
      </c>
      <c r="B123" s="54">
        <v>39661</v>
      </c>
      <c r="C123" s="47">
        <f t="shared" si="12"/>
        <v>34862.93753333066</v>
      </c>
      <c r="E123" s="44">
        <f t="shared" si="9"/>
        <v>93</v>
      </c>
      <c r="F123" s="673">
        <f>C123*'Revenues &amp; Expenses'!N110</f>
        <v>18734.950825458007</v>
      </c>
      <c r="I123" s="673">
        <f>F123*'Company Power Prices'!C123</f>
        <v>3349873.0581777999</v>
      </c>
      <c r="J123" s="683"/>
      <c r="K123" s="688">
        <f>F123*'Company Gas Prices'!E123</f>
        <v>1129055.8465927136</v>
      </c>
    </row>
    <row r="124" spans="1:12">
      <c r="A124" s="50">
        <v>9</v>
      </c>
      <c r="B124" s="54">
        <v>39692</v>
      </c>
      <c r="C124" s="47">
        <f t="shared" si="12"/>
        <v>21735.431136785333</v>
      </c>
      <c r="E124" s="44">
        <f t="shared" si="9"/>
        <v>94</v>
      </c>
      <c r="F124" s="673">
        <f>C124*'Revenues &amp; Expenses'!N111</f>
        <v>11606.987451259936</v>
      </c>
      <c r="I124" s="673">
        <f>F124*'Company Power Prices'!C124</f>
        <v>685161.50087691867</v>
      </c>
      <c r="J124" s="683"/>
      <c r="K124" s="688">
        <f>F124*'Company Gas Prices'!E124</f>
        <v>705209.91194824199</v>
      </c>
    </row>
    <row r="125" spans="1:12">
      <c r="A125" s="50">
        <v>10</v>
      </c>
      <c r="B125" s="54">
        <v>39722</v>
      </c>
      <c r="C125" s="47">
        <f t="shared" si="12"/>
        <v>3845.8319359662219</v>
      </c>
      <c r="E125" s="44">
        <f t="shared" si="9"/>
        <v>95</v>
      </c>
      <c r="F125" s="673">
        <f>C125*'Revenues &amp; Expenses'!N112</f>
        <v>2041.2280158667061</v>
      </c>
      <c r="I125" s="673">
        <f>F125*'Company Power Prices'!C125</f>
        <v>98083.993601657858</v>
      </c>
      <c r="J125" s="683"/>
      <c r="K125" s="688">
        <f>F125*'Company Gas Prices'!E125</f>
        <v>123355.39118790856</v>
      </c>
    </row>
    <row r="126" spans="1:12">
      <c r="A126" s="50">
        <v>11</v>
      </c>
      <c r="B126" s="54">
        <v>39753</v>
      </c>
      <c r="C126" s="47">
        <f t="shared" si="12"/>
        <v>8056.8533905502209</v>
      </c>
      <c r="E126" s="44">
        <f t="shared" si="9"/>
        <v>96</v>
      </c>
      <c r="F126" s="673">
        <f>C126*'Revenues &amp; Expenses'!N113</f>
        <v>4249.3965492284869</v>
      </c>
      <c r="I126" s="673">
        <f>F126*'Company Power Prices'!C126</f>
        <v>213686.16278887121</v>
      </c>
      <c r="J126" s="683"/>
      <c r="K126" s="688">
        <f>F126*'Company Gas Prices'!E126</f>
        <v>257028.27827889955</v>
      </c>
    </row>
    <row r="127" spans="1:12">
      <c r="A127" s="50">
        <v>12</v>
      </c>
      <c r="B127" s="54">
        <v>39783</v>
      </c>
      <c r="C127" s="47">
        <f t="shared" si="12"/>
        <v>8056.8533905502209</v>
      </c>
      <c r="D127" s="51">
        <f>SUM(C116:C127)</f>
        <v>207321.80210335375</v>
      </c>
      <c r="E127" s="44">
        <f t="shared" si="9"/>
        <v>97</v>
      </c>
      <c r="F127" s="673">
        <f>C127*'Revenues &amp; Expenses'!N114</f>
        <v>4223.5262395213576</v>
      </c>
      <c r="G127" s="674">
        <f>SUM(F116:F127)</f>
        <v>112277.10244509281</v>
      </c>
      <c r="H127" s="51">
        <f>D127</f>
        <v>207321.80210335375</v>
      </c>
      <c r="I127" s="673">
        <f>F127*'Company Power Prices'!C127</f>
        <v>212385.24225875974</v>
      </c>
      <c r="J127" s="683">
        <f>SUM(I116:I127)/SUM(F116:F127)</f>
        <v>114.47151164996444</v>
      </c>
      <c r="K127" s="688">
        <f>F127*'Company Gas Prices'!E127</f>
        <v>255691.55777528885</v>
      </c>
      <c r="L127" s="683">
        <f>SUM(K116:K127)/SUM(F116:F127)</f>
        <v>60.491867854036514</v>
      </c>
    </row>
    <row r="128" spans="1:12">
      <c r="A128" s="50">
        <v>1</v>
      </c>
      <c r="B128" s="54">
        <v>39814</v>
      </c>
      <c r="C128" s="47">
        <f t="shared" ref="C128:C139" si="13">VLOOKUP(A140,$A$5:$L$16,12)</f>
        <v>17006.62445384622</v>
      </c>
      <c r="E128" s="44">
        <f t="shared" si="9"/>
        <v>98</v>
      </c>
      <c r="F128" s="673">
        <f>C128*'Revenues &amp; Expenses'!N115</f>
        <v>8859.0334915949225</v>
      </c>
      <c r="I128" s="673">
        <f>F128*'Company Power Prices'!C128</f>
        <v>423468.84772783786</v>
      </c>
      <c r="J128" s="683"/>
      <c r="K128" s="688">
        <f>F128*'Company Gas Prices'!E128</f>
        <v>541665.62910567073</v>
      </c>
    </row>
    <row r="129" spans="1:12">
      <c r="A129" s="50">
        <v>2</v>
      </c>
      <c r="B129" s="54">
        <v>39845</v>
      </c>
      <c r="C129" s="47">
        <f t="shared" si="13"/>
        <v>699.60804490266662</v>
      </c>
      <c r="E129" s="44">
        <f t="shared" si="9"/>
        <v>99</v>
      </c>
      <c r="F129" s="673">
        <f>C129*'Revenues &amp; Expenses'!N116</f>
        <v>362.14328640377744</v>
      </c>
      <c r="I129" s="673">
        <f>F129*'Company Power Prices'!C129</f>
        <v>15123.063279352476</v>
      </c>
      <c r="J129" s="683"/>
      <c r="K129" s="688">
        <f>F129*'Company Gas Prices'!E129</f>
        <v>22162.077192841363</v>
      </c>
    </row>
    <row r="130" spans="1:12">
      <c r="A130" s="50">
        <v>3</v>
      </c>
      <c r="B130" s="54">
        <v>39873</v>
      </c>
      <c r="C130" s="47">
        <f t="shared" si="13"/>
        <v>699.60804490266662</v>
      </c>
      <c r="E130" s="44">
        <f t="shared" si="9"/>
        <v>100</v>
      </c>
      <c r="F130" s="673">
        <f>C130*'Revenues &amp; Expenses'!N117</f>
        <v>360.08278244664803</v>
      </c>
      <c r="I130" s="673">
        <f>F130*'Company Power Prices'!C130</f>
        <v>15037.016863745917</v>
      </c>
      <c r="J130" s="683"/>
      <c r="K130" s="688">
        <f>F130*'Company Gas Prices'!E130</f>
        <v>22055.554652907373</v>
      </c>
    </row>
    <row r="131" spans="1:12">
      <c r="A131" s="50">
        <v>4</v>
      </c>
      <c r="B131" s="54">
        <v>39904</v>
      </c>
      <c r="C131" s="47">
        <f t="shared" si="13"/>
        <v>9156.874316647556</v>
      </c>
      <c r="E131" s="44">
        <f t="shared" si="9"/>
        <v>101</v>
      </c>
      <c r="F131" s="673">
        <f>C131*'Revenues &amp; Expenses'!N118</f>
        <v>4683.2809271413898</v>
      </c>
      <c r="I131" s="673">
        <f>F131*'Company Power Prices'!C131</f>
        <v>216489.18804428459</v>
      </c>
      <c r="J131" s="683"/>
      <c r="K131" s="688">
        <f>F131*'Company Gas Prices'!E131</f>
        <v>293607.92366141267</v>
      </c>
    </row>
    <row r="132" spans="1:12">
      <c r="A132" s="50">
        <v>5</v>
      </c>
      <c r="B132" s="54">
        <v>39934</v>
      </c>
      <c r="C132" s="47">
        <f t="shared" si="13"/>
        <v>16891.36970430311</v>
      </c>
      <c r="E132" s="44">
        <f t="shared" si="9"/>
        <v>102</v>
      </c>
      <c r="F132" s="673">
        <f>C132*'Revenues &amp; Expenses'!N119</f>
        <v>8586.3925889943694</v>
      </c>
      <c r="I132" s="673">
        <f>F132*'Company Power Prices'!C132</f>
        <v>499601.74069789005</v>
      </c>
      <c r="J132" s="683"/>
      <c r="K132" s="688">
        <f>F132*'Company Gas Prices'!E132</f>
        <v>525408.22523859772</v>
      </c>
    </row>
    <row r="133" spans="1:12">
      <c r="A133" s="50">
        <v>6</v>
      </c>
      <c r="B133" s="54">
        <v>39965</v>
      </c>
      <c r="C133" s="47">
        <f t="shared" si="13"/>
        <v>32784.36806177556</v>
      </c>
      <c r="E133" s="44">
        <f t="shared" si="9"/>
        <v>103</v>
      </c>
      <c r="F133" s="673">
        <f>C133*'Revenues &amp; Expenses'!N120</f>
        <v>16560.215786841673</v>
      </c>
      <c r="I133" s="673">
        <f>F133*'Company Power Prices'!C133</f>
        <v>1775568.3174943663</v>
      </c>
      <c r="J133" s="683"/>
      <c r="K133" s="688">
        <f>F133*'Company Gas Prices'!E133</f>
        <v>1012917.149841941</v>
      </c>
    </row>
    <row r="134" spans="1:12">
      <c r="A134" s="50">
        <v>7</v>
      </c>
      <c r="B134" s="54">
        <v>39995</v>
      </c>
      <c r="C134" s="47">
        <f t="shared" si="13"/>
        <v>51579.897963987554</v>
      </c>
      <c r="E134" s="44">
        <f t="shared" si="9"/>
        <v>104</v>
      </c>
      <c r="F134" s="673">
        <f>C134*'Revenues &amp; Expenses'!N121</f>
        <v>25895.275972415784</v>
      </c>
      <c r="I134" s="673">
        <f>F134*'Company Power Prices'!C134</f>
        <v>4411019.8216740973</v>
      </c>
      <c r="J134" s="683"/>
      <c r="K134" s="688">
        <f>F134*'Company Gas Prices'!E134</f>
        <v>1576020.9338458993</v>
      </c>
    </row>
    <row r="135" spans="1:12">
      <c r="A135" s="50">
        <v>8</v>
      </c>
      <c r="B135" s="54">
        <v>40026</v>
      </c>
      <c r="C135" s="47">
        <f t="shared" si="13"/>
        <v>34386.598642987112</v>
      </c>
      <c r="E135" s="44">
        <f t="shared" si="9"/>
        <v>105</v>
      </c>
      <c r="F135" s="673">
        <f>C135*'Revenues &amp; Expenses'!N122</f>
        <v>17154.595845138385</v>
      </c>
      <c r="I135" s="673">
        <f>F135*'Company Power Prices'!C135</f>
        <v>2922126.1200814419</v>
      </c>
      <c r="J135" s="683"/>
      <c r="K135" s="688">
        <f>F135*'Company Gas Prices'!E135</f>
        <v>1044994.4498084626</v>
      </c>
    </row>
    <row r="136" spans="1:12">
      <c r="A136" s="50">
        <v>9</v>
      </c>
      <c r="B136" s="54">
        <v>40057</v>
      </c>
      <c r="C136" s="47">
        <f t="shared" si="13"/>
        <v>20645.007416260887</v>
      </c>
      <c r="E136" s="44">
        <f t="shared" si="9"/>
        <v>106</v>
      </c>
      <c r="F136" s="673">
        <f>C136*'Revenues &amp; Expenses'!N123</f>
        <v>10234.260232084587</v>
      </c>
      <c r="I136" s="673">
        <f>F136*'Company Power Prices'!C136</f>
        <v>595483.39698074397</v>
      </c>
      <c r="J136" s="683"/>
      <c r="K136" s="688">
        <f>F136*'Company Gas Prices'!E136</f>
        <v>628490.25079743634</v>
      </c>
    </row>
    <row r="137" spans="1:12">
      <c r="A137" s="50">
        <v>10</v>
      </c>
      <c r="B137" s="54">
        <v>40087</v>
      </c>
      <c r="C137" s="47">
        <f t="shared" si="13"/>
        <v>3645.9429178946666</v>
      </c>
      <c r="E137" s="44">
        <f t="shared" si="9"/>
        <v>107</v>
      </c>
      <c r="F137" s="673">
        <f>C137*'Revenues &amp; Expenses'!N124</f>
        <v>1796.3423573114508</v>
      </c>
      <c r="I137" s="673">
        <f>F137*'Company Power Prices'!C137</f>
        <v>86358.514785122636</v>
      </c>
      <c r="J137" s="683"/>
      <c r="K137" s="688">
        <f>F137*'Company Gas Prices'!E137</f>
        <v>109732.20588466869</v>
      </c>
    </row>
    <row r="138" spans="1:12">
      <c r="A138" s="50">
        <v>11</v>
      </c>
      <c r="B138" s="54">
        <v>40118</v>
      </c>
      <c r="C138" s="47">
        <f t="shared" si="13"/>
        <v>8230.2170141955557</v>
      </c>
      <c r="E138" s="44">
        <f t="shared" si="9"/>
        <v>108</v>
      </c>
      <c r="F138" s="673">
        <f>C138*'Revenues &amp; Expenses'!N125</f>
        <v>4029.383273950396</v>
      </c>
      <c r="I138" s="673">
        <f>F138*'Company Power Prices'!C138</f>
        <v>202675.97261094814</v>
      </c>
      <c r="J138" s="683"/>
      <c r="K138" s="688">
        <f>F138*'Company Gas Prices'!E138</f>
        <v>246363.74564868299</v>
      </c>
    </row>
    <row r="139" spans="1:12">
      <c r="A139" s="50">
        <v>12</v>
      </c>
      <c r="B139" s="54">
        <v>40148</v>
      </c>
      <c r="C139" s="47">
        <f t="shared" si="13"/>
        <v>8230.2170141955557</v>
      </c>
      <c r="D139" s="51">
        <f>SUM(C128:C139)</f>
        <v>203956.33359589908</v>
      </c>
      <c r="E139" s="44">
        <f t="shared" si="9"/>
        <v>109</v>
      </c>
      <c r="F139" s="673">
        <f>C139*'Revenues &amp; Expenses'!N126</f>
        <v>4004.740550830511</v>
      </c>
      <c r="G139" s="674">
        <f>SUM(F128:F139)</f>
        <v>102525.7470951539</v>
      </c>
      <c r="H139" s="51">
        <f>D139</f>
        <v>203956.33359589908</v>
      </c>
      <c r="I139" s="673">
        <f>F139*'Company Power Prices'!C139</f>
        <v>201436.45590664409</v>
      </c>
      <c r="J139" s="683">
        <f>SUM(I128:I139)/SUM(F128:F139)</f>
        <v>110.84423940455868</v>
      </c>
      <c r="K139" s="688">
        <f>F139*'Company Gas Prices'!E139</f>
        <v>245079.13644446657</v>
      </c>
      <c r="L139" s="683">
        <f>SUM(K128:K139)/SUM(F128:F139)</f>
        <v>61.140713037723195</v>
      </c>
    </row>
    <row r="140" spans="1:12">
      <c r="A140" s="50">
        <v>1</v>
      </c>
      <c r="B140" s="54">
        <v>40179</v>
      </c>
      <c r="C140" s="47">
        <f t="shared" ref="C140:C151" si="14">VLOOKUP(A152,$A$5:$M$16,13)</f>
        <v>16153.385273371108</v>
      </c>
      <c r="E140" s="44">
        <f t="shared" si="9"/>
        <v>110</v>
      </c>
      <c r="F140" s="673">
        <f>C140*'Revenues &amp; Expenses'!N127</f>
        <v>7810.3878782029951</v>
      </c>
      <c r="I140" s="673">
        <f>F140*'Company Power Prices'!C140</f>
        <v>372771.53282328061</v>
      </c>
      <c r="J140" s="683"/>
      <c r="K140" s="688">
        <f>F140*'Company Gas Prices'!E140</f>
        <v>482694.73451137909</v>
      </c>
    </row>
    <row r="141" spans="1:12">
      <c r="A141" s="50">
        <v>2</v>
      </c>
      <c r="B141" s="54">
        <v>40210</v>
      </c>
      <c r="C141" s="47">
        <f t="shared" si="14"/>
        <v>688.89185384444443</v>
      </c>
      <c r="E141" s="44">
        <f t="shared" si="9"/>
        <v>111</v>
      </c>
      <c r="F141" s="673">
        <f>C141*'Revenues &amp; Expenses'!N128</f>
        <v>330.98246631035778</v>
      </c>
      <c r="I141" s="673">
        <f>F141*'Company Power Prices'!C141</f>
        <v>13846.620157223031</v>
      </c>
      <c r="J141" s="683"/>
      <c r="K141" s="688">
        <f>F141*'Company Gas Prices'!E141</f>
        <v>20473.694313204353</v>
      </c>
    </row>
    <row r="142" spans="1:12">
      <c r="A142" s="50">
        <v>3</v>
      </c>
      <c r="B142" s="54">
        <v>40238</v>
      </c>
      <c r="C142" s="47">
        <f t="shared" si="14"/>
        <v>688.89185384444443</v>
      </c>
      <c r="E142" s="44">
        <f t="shared" si="9"/>
        <v>112</v>
      </c>
      <c r="F142" s="673">
        <f>C142*'Revenues &amp; Expenses'!N129</f>
        <v>329.090681029851</v>
      </c>
      <c r="I142" s="673">
        <f>F142*'Company Power Prices'!C142</f>
        <v>13767.477499032671</v>
      </c>
      <c r="J142" s="683"/>
      <c r="K142" s="688">
        <f>F142*'Company Gas Prices'!E142</f>
        <v>20375.04588395778</v>
      </c>
    </row>
    <row r="143" spans="1:12">
      <c r="A143" s="50">
        <v>4</v>
      </c>
      <c r="B143" s="54">
        <v>40269</v>
      </c>
      <c r="C143" s="47">
        <f t="shared" si="14"/>
        <v>9049.5044936551094</v>
      </c>
      <c r="E143" s="44">
        <f t="shared" si="9"/>
        <v>113</v>
      </c>
      <c r="F143" s="673">
        <f>C143*'Revenues &amp; Expenses'!N130</f>
        <v>4296.3417015809082</v>
      </c>
      <c r="I143" s="673">
        <f>F143*'Company Power Prices'!C143</f>
        <v>198686.41121465174</v>
      </c>
      <c r="J143" s="683"/>
      <c r="K143" s="688">
        <f>F143*'Company Gas Prices'!E143</f>
        <v>272199.35498806997</v>
      </c>
    </row>
    <row r="144" spans="1:12">
      <c r="A144" s="50">
        <v>5</v>
      </c>
      <c r="B144" s="54">
        <v>40299</v>
      </c>
      <c r="C144" s="47">
        <f t="shared" si="14"/>
        <v>16716.802065064887</v>
      </c>
      <c r="E144" s="44">
        <f t="shared" si="9"/>
        <v>114</v>
      </c>
      <c r="F144" s="673">
        <f>C144*'Revenues &amp; Expenses'!N131</f>
        <v>7889.3728793059181</v>
      </c>
      <c r="I144" s="673">
        <f>F144*'Company Power Prices'!C144</f>
        <v>459051.89617496054</v>
      </c>
      <c r="J144" s="683"/>
      <c r="K144" s="688">
        <f>F144*'Company Gas Prices'!E144</f>
        <v>488001.62070419872</v>
      </c>
    </row>
    <row r="145" spans="1:12">
      <c r="A145" s="50">
        <v>6</v>
      </c>
      <c r="B145" s="54">
        <v>40330</v>
      </c>
      <c r="C145" s="47">
        <f t="shared" si="14"/>
        <v>32682.876341182662</v>
      </c>
      <c r="E145" s="44">
        <f t="shared" si="9"/>
        <v>115</v>
      </c>
      <c r="F145" s="673">
        <f>C145*'Revenues &amp; Expenses'!N132</f>
        <v>15329.889526509263</v>
      </c>
      <c r="I145" s="673">
        <f>F145*'Company Power Prices'!C145</f>
        <v>1642367.1579475801</v>
      </c>
      <c r="J145" s="683"/>
      <c r="K145" s="688">
        <f>F145*'Company Gas Prices'!E145</f>
        <v>947876.82900850568</v>
      </c>
    </row>
    <row r="146" spans="1:12">
      <c r="A146" s="50">
        <v>7</v>
      </c>
      <c r="B146" s="54">
        <v>40360</v>
      </c>
      <c r="C146" s="47">
        <f t="shared" si="14"/>
        <v>51393.150848165766</v>
      </c>
      <c r="E146" s="44">
        <f t="shared" si="9"/>
        <v>116</v>
      </c>
      <c r="F146" s="673">
        <f>C146*'Revenues &amp; Expenses'!N133</f>
        <v>23962.932642930627</v>
      </c>
      <c r="I146" s="673">
        <f>F146*'Company Power Prices'!C146</f>
        <v>4074788.8363742344</v>
      </c>
      <c r="J146" s="683"/>
      <c r="K146" s="688">
        <f>F146*'Company Gas Prices'!E146</f>
        <v>1474416.5876536891</v>
      </c>
    </row>
    <row r="147" spans="1:12">
      <c r="A147" s="50">
        <v>8</v>
      </c>
      <c r="B147" s="54">
        <v>40391</v>
      </c>
      <c r="C147" s="47">
        <f t="shared" si="14"/>
        <v>34262.100565115106</v>
      </c>
      <c r="E147" s="44">
        <f t="shared" si="9"/>
        <v>117</v>
      </c>
      <c r="F147" s="673">
        <f>C147*'Revenues &amp; Expenses'!N134</f>
        <v>15877.382353394687</v>
      </c>
      <c r="I147" s="673">
        <f>F147*'Company Power Prices'!C147</f>
        <v>2699877.4035090557</v>
      </c>
      <c r="J147" s="683"/>
      <c r="K147" s="688">
        <f>F147*'Company Gas Prices'!E147</f>
        <v>977816.61565197026</v>
      </c>
    </row>
    <row r="148" spans="1:12">
      <c r="A148" s="50">
        <v>9</v>
      </c>
      <c r="B148" s="54">
        <v>40422</v>
      </c>
      <c r="C148" s="47">
        <f t="shared" si="14"/>
        <v>20431.646968522222</v>
      </c>
      <c r="E148" s="44">
        <f t="shared" si="9"/>
        <v>118</v>
      </c>
      <c r="F148" s="673">
        <f>C148*'Revenues &amp; Expenses'!N135</f>
        <v>9410.2000725610815</v>
      </c>
      <c r="I148" s="673">
        <f>F148*'Company Power Prices'!C148</f>
        <v>547542.91028958885</v>
      </c>
      <c r="J148" s="683"/>
      <c r="K148" s="688">
        <f>F148*'Company Gas Prices'!E148</f>
        <v>584195.75191202364</v>
      </c>
    </row>
    <row r="149" spans="1:12">
      <c r="A149" s="50">
        <v>10</v>
      </c>
      <c r="B149" s="54">
        <v>40452</v>
      </c>
      <c r="C149" s="47">
        <f t="shared" si="14"/>
        <v>3440.115039231111</v>
      </c>
      <c r="E149" s="44">
        <f t="shared" si="9"/>
        <v>119</v>
      </c>
      <c r="F149" s="673">
        <f>C149*'Revenues &amp; Expenses'!N136</f>
        <v>1575.0178182175257</v>
      </c>
      <c r="I149" s="673">
        <f>F149*'Company Power Prices'!C149</f>
        <v>75798.807892384342</v>
      </c>
      <c r="J149" s="683"/>
      <c r="K149" s="688">
        <f>F149*'Company Gas Prices'!E149</f>
        <v>97270.978150990981</v>
      </c>
    </row>
    <row r="150" spans="1:12">
      <c r="A150" s="50">
        <v>11</v>
      </c>
      <c r="B150" s="54">
        <v>40483</v>
      </c>
      <c r="C150" s="47">
        <f t="shared" si="14"/>
        <v>8417.2674012404441</v>
      </c>
      <c r="E150" s="44">
        <f t="shared" si="9"/>
        <v>120</v>
      </c>
      <c r="F150" s="673">
        <f>C150*'Revenues &amp; Expenses'!N137</f>
        <v>3830.1423625483858</v>
      </c>
      <c r="I150" s="673">
        <f>F150*'Company Power Prices'!C150</f>
        <v>192627.54507656474</v>
      </c>
      <c r="J150" s="683"/>
      <c r="K150" s="688">
        <f>F150*'Company Gas Prices'!E150</f>
        <v>236762.09106538966</v>
      </c>
    </row>
    <row r="151" spans="1:12">
      <c r="A151" s="50">
        <v>12</v>
      </c>
      <c r="B151" s="54">
        <v>40513</v>
      </c>
      <c r="C151" s="47">
        <f t="shared" si="14"/>
        <v>8417.2674012404441</v>
      </c>
      <c r="D151" s="51">
        <f>SUM(C140:C151)</f>
        <v>202341.90010447774</v>
      </c>
      <c r="E151" s="44">
        <f t="shared" si="9"/>
        <v>121</v>
      </c>
      <c r="F151" s="673">
        <f>C151*'Revenues &amp; Expenses'!N138</f>
        <v>3807.4362564387025</v>
      </c>
      <c r="G151" s="674">
        <f>SUM(F140:F151)</f>
        <v>94449.176639030309</v>
      </c>
      <c r="H151" s="51">
        <f>D151</f>
        <v>202341.90010447774</v>
      </c>
      <c r="I151" s="673">
        <f>F151*'Company Power Prices'!C151</f>
        <v>191485.59758110764</v>
      </c>
      <c r="J151" s="683">
        <f>SUM(I140:I151)/SUM(F140:F151)</f>
        <v>110.98680337471373</v>
      </c>
      <c r="K151" s="688">
        <f>F151*'Company Gas Prices'!E151</f>
        <v>235575.35255365956</v>
      </c>
      <c r="L151" s="683">
        <f>SUM(K140:K151)/SUM(F140:F151)</f>
        <v>61.807406524120793</v>
      </c>
    </row>
    <row r="152" spans="1:12">
      <c r="A152" s="50">
        <v>1</v>
      </c>
      <c r="B152" s="54">
        <v>40544</v>
      </c>
      <c r="C152" s="47">
        <f t="shared" ref="C152:C163" si="15">VLOOKUP(A164,$A$5:$N$16,14)</f>
        <v>16126.649219905776</v>
      </c>
      <c r="E152" s="44">
        <f t="shared" si="9"/>
        <v>122</v>
      </c>
      <c r="F152" s="673">
        <f>C152*'Revenues &amp; Expenses'!N139</f>
        <v>7249.9943329708258</v>
      </c>
      <c r="I152" s="673">
        <f>F152*'Company Power Prices'!C152</f>
        <v>345295.86325860198</v>
      </c>
      <c r="J152" s="683"/>
      <c r="K152" s="688">
        <f>F152*'Company Gas Prices'!E152</f>
        <v>452967.41511815216</v>
      </c>
    </row>
    <row r="153" spans="1:12">
      <c r="A153" s="50">
        <v>2</v>
      </c>
      <c r="B153" s="54">
        <v>40575</v>
      </c>
      <c r="C153" s="47">
        <f t="shared" si="15"/>
        <v>670.64373574177762</v>
      </c>
      <c r="E153" s="44">
        <f t="shared" si="9"/>
        <v>123</v>
      </c>
      <c r="F153" s="673">
        <f>C153*'Revenues &amp; Expenses'!N140</f>
        <v>299.65241237122115</v>
      </c>
      <c r="I153" s="673">
        <f>F153*'Company Power Prices'!C153</f>
        <v>12548.098163111303</v>
      </c>
      <c r="J153" s="683"/>
      <c r="K153" s="688">
        <f>F153*'Company Gas Prices'!E153</f>
        <v>18738.919689510978</v>
      </c>
    </row>
    <row r="154" spans="1:12">
      <c r="A154" s="50">
        <v>3</v>
      </c>
      <c r="B154" s="54">
        <v>40603</v>
      </c>
      <c r="C154" s="47">
        <f t="shared" si="15"/>
        <v>670.64373574177762</v>
      </c>
      <c r="E154" s="44">
        <f t="shared" si="9"/>
        <v>124</v>
      </c>
      <c r="F154" s="673">
        <f>C154*'Revenues &amp; Expenses'!N141</f>
        <v>297.99476162011842</v>
      </c>
      <c r="I154" s="673">
        <f>F154*'Company Power Prices'!C154</f>
        <v>12478.68318934088</v>
      </c>
      <c r="J154" s="683"/>
      <c r="K154" s="688">
        <f>F154*'Company Gas Prices'!E154</f>
        <v>18652.343177118775</v>
      </c>
    </row>
    <row r="155" spans="1:12">
      <c r="A155" s="50">
        <v>4</v>
      </c>
      <c r="B155" s="54">
        <v>40634</v>
      </c>
      <c r="C155" s="47">
        <f t="shared" si="15"/>
        <v>8508.9366325319988</v>
      </c>
      <c r="E155" s="44">
        <f t="shared" ref="E155:E218" si="16">E154+1</f>
        <v>125</v>
      </c>
      <c r="F155" s="673">
        <f>C155*'Revenues &amp; Expenses'!N142</f>
        <v>3757.7261338618032</v>
      </c>
      <c r="I155" s="673">
        <f>F155*'Company Power Prices'!C155</f>
        <v>173932.26606116543</v>
      </c>
      <c r="J155" s="683"/>
      <c r="K155" s="688">
        <f>F155*'Company Gas Prices'!E155</f>
        <v>240634.55194146998</v>
      </c>
    </row>
    <row r="156" spans="1:12">
      <c r="A156" s="50">
        <v>5</v>
      </c>
      <c r="B156" s="54">
        <v>40664</v>
      </c>
      <c r="C156" s="47">
        <f t="shared" si="15"/>
        <v>16689.445243883998</v>
      </c>
      <c r="E156" s="44">
        <f t="shared" si="16"/>
        <v>126</v>
      </c>
      <c r="F156" s="673">
        <f>C156*'Revenues &amp; Expenses'!N143</f>
        <v>7326.7469974207343</v>
      </c>
      <c r="I156" s="673">
        <f>F156*'Company Power Prices'!C156</f>
        <v>417762.29685886105</v>
      </c>
      <c r="J156" s="683"/>
      <c r="K156" s="688">
        <f>F156*'Company Gas Prices'!E156</f>
        <v>458202.15804068052</v>
      </c>
    </row>
    <row r="157" spans="1:12">
      <c r="A157" s="50">
        <v>6</v>
      </c>
      <c r="B157" s="54">
        <v>40695</v>
      </c>
      <c r="C157" s="47">
        <f t="shared" si="15"/>
        <v>31891.233976370222</v>
      </c>
      <c r="E157" s="44">
        <f t="shared" si="16"/>
        <v>127</v>
      </c>
      <c r="F157" s="673">
        <f>C157*'Revenues &amp; Expenses'!N144</f>
        <v>13914.718342201961</v>
      </c>
      <c r="I157" s="673">
        <f>F157*'Company Power Prices'!C157</f>
        <v>1452256.6351869255</v>
      </c>
      <c r="J157" s="683"/>
      <c r="K157" s="688">
        <f>F157*'Company Gas Prices'!E157</f>
        <v>869894.94759601483</v>
      </c>
    </row>
    <row r="158" spans="1:12">
      <c r="A158" s="50">
        <v>7</v>
      </c>
      <c r="B158" s="54">
        <v>40725</v>
      </c>
      <c r="C158" s="47">
        <f t="shared" si="15"/>
        <v>50841.031400671549</v>
      </c>
      <c r="E158" s="44">
        <f t="shared" si="16"/>
        <v>128</v>
      </c>
      <c r="F158" s="673">
        <f>C158*'Revenues &amp; Expenses'!N145</f>
        <v>22051.473109513816</v>
      </c>
      <c r="I158" s="673">
        <f>F158*'Company Power Prices'!C158</f>
        <v>3605963.8545637536</v>
      </c>
      <c r="J158" s="683"/>
      <c r="K158" s="688">
        <f>F158*'Company Gas Prices'!E158</f>
        <v>1371928.1564851187</v>
      </c>
    </row>
    <row r="159" spans="1:12">
      <c r="A159" s="50">
        <v>8</v>
      </c>
      <c r="B159" s="54">
        <v>40756</v>
      </c>
      <c r="C159" s="47">
        <f t="shared" si="15"/>
        <v>33894.020934109772</v>
      </c>
      <c r="E159" s="44">
        <f t="shared" si="16"/>
        <v>129</v>
      </c>
      <c r="F159" s="673">
        <f>C159*'Revenues &amp; Expenses'!N146</f>
        <v>14611.031387832129</v>
      </c>
      <c r="I159" s="673">
        <f>F159*'Company Power Prices'!C159</f>
        <v>2389266.7306515723</v>
      </c>
      <c r="J159" s="683"/>
      <c r="K159" s="688">
        <f>F159*'Company Gas Prices'!E159</f>
        <v>909869.58166626911</v>
      </c>
    </row>
    <row r="160" spans="1:12">
      <c r="A160" s="50">
        <v>9</v>
      </c>
      <c r="B160" s="54">
        <v>40787</v>
      </c>
      <c r="C160" s="47">
        <f t="shared" si="15"/>
        <v>20398.210853635999</v>
      </c>
      <c r="E160" s="44">
        <f t="shared" si="16"/>
        <v>130</v>
      </c>
      <c r="F160" s="673">
        <f>C160*'Revenues &amp; Expenses'!N147</f>
        <v>8739.4630511568648</v>
      </c>
      <c r="I160" s="673">
        <f>F160*'Company Power Prices'!C160</f>
        <v>498313.66619452334</v>
      </c>
      <c r="J160" s="683"/>
      <c r="K160" s="688">
        <f>F160*'Company Gas Prices'!E160</f>
        <v>548575.43157938553</v>
      </c>
    </row>
    <row r="161" spans="1:12">
      <c r="A161" s="50">
        <v>10</v>
      </c>
      <c r="B161" s="54">
        <v>40817</v>
      </c>
      <c r="C161" s="47">
        <f t="shared" si="15"/>
        <v>3391.096890362222</v>
      </c>
      <c r="E161" s="44">
        <f t="shared" si="16"/>
        <v>131</v>
      </c>
      <c r="F161" s="673">
        <f>C161*'Revenues &amp; Expenses'!N148</f>
        <v>1444.2889459943583</v>
      </c>
      <c r="I161" s="673">
        <f>F161*'Company Power Prices'!C161</f>
        <v>69623.95331471508</v>
      </c>
      <c r="J161" s="683"/>
      <c r="K161" s="688">
        <f>F161*'Company Gas Prices'!E161</f>
        <v>90194.383543366552</v>
      </c>
    </row>
    <row r="162" spans="1:12">
      <c r="A162" s="50">
        <v>11</v>
      </c>
      <c r="B162" s="54">
        <v>40848</v>
      </c>
      <c r="C162" s="47">
        <f t="shared" si="15"/>
        <v>8202.2082764564439</v>
      </c>
      <c r="E162" s="44">
        <f t="shared" si="16"/>
        <v>132</v>
      </c>
      <c r="F162" s="673">
        <f>C162*'Revenues &amp; Expenses'!N149</f>
        <v>3472.0046565021653</v>
      </c>
      <c r="I162" s="673">
        <f>F162*'Company Power Prices'!C162</f>
        <v>174735.1010860244</v>
      </c>
      <c r="J162" s="683"/>
      <c r="K162" s="688">
        <f>F162*'Company Gas Prices'!E162</f>
        <v>217025.81309686281</v>
      </c>
    </row>
    <row r="163" spans="1:12">
      <c r="A163" s="50">
        <v>12</v>
      </c>
      <c r="B163" s="54">
        <v>40878</v>
      </c>
      <c r="C163" s="47">
        <f t="shared" si="15"/>
        <v>8202.2082764564439</v>
      </c>
      <c r="D163" s="51">
        <f>SUM(C152:C163)</f>
        <v>199486.32917586798</v>
      </c>
      <c r="E163" s="44">
        <f t="shared" si="16"/>
        <v>133</v>
      </c>
      <c r="F163" s="673">
        <f>C163*'Revenues &amp; Expenses'!N150</f>
        <v>3451.4549900573802</v>
      </c>
      <c r="G163" s="674">
        <f>SUM(F152:F163)</f>
        <v>86616.549121503369</v>
      </c>
      <c r="H163" s="51">
        <f>D163</f>
        <v>199486.32917586798</v>
      </c>
      <c r="I163" s="673">
        <f>F163*'Company Power Prices'!C163</f>
        <v>173700.90084761483</v>
      </c>
      <c r="J163" s="683">
        <f>SUM(I152:I163)/SUM(F152:F163)</f>
        <v>107.66854768474001</v>
      </c>
      <c r="K163" s="688">
        <f>F163*'Company Gas Prices'!E163</f>
        <v>215943.19107141261</v>
      </c>
      <c r="L163" s="683">
        <f>SUM(K152:K163)/SUM(F152:F163)</f>
        <v>62.489523629170172</v>
      </c>
    </row>
    <row r="164" spans="1:12">
      <c r="A164" s="50">
        <v>1</v>
      </c>
      <c r="B164" s="54">
        <v>40909</v>
      </c>
      <c r="C164" s="47">
        <f t="shared" ref="C164:C175" si="17">VLOOKUP(A176,$A$5:$O$16,15)</f>
        <v>16838.565578504444</v>
      </c>
      <c r="E164" s="44">
        <f t="shared" si="16"/>
        <v>134</v>
      </c>
      <c r="F164" s="673">
        <f>C164*'Revenues &amp; Expenses'!N151</f>
        <v>7042.2729652417493</v>
      </c>
      <c r="I164" s="673">
        <f>F164*'Company Power Prices'!C164</f>
        <v>334810.86295290483</v>
      </c>
      <c r="J164" s="683"/>
      <c r="K164" s="688">
        <f>F164*'Company Gas Prices'!E164</f>
        <v>444883.35596873652</v>
      </c>
    </row>
    <row r="165" spans="1:12">
      <c r="A165" s="50">
        <v>2</v>
      </c>
      <c r="B165" s="54">
        <v>40940</v>
      </c>
      <c r="C165" s="47">
        <f t="shared" si="17"/>
        <v>670.64373574177762</v>
      </c>
      <c r="E165" s="44">
        <f t="shared" si="16"/>
        <v>135</v>
      </c>
      <c r="F165" s="673">
        <f>C165*'Revenues &amp; Expenses'!N152</f>
        <v>278.763778900597</v>
      </c>
      <c r="I165" s="673">
        <f>F165*'Company Power Prices'!C165</f>
        <v>11662.14573831035</v>
      </c>
      <c r="J165" s="683"/>
      <c r="K165" s="688">
        <f>F165*'Company Gas Prices'!E165</f>
        <v>17626.795343101185</v>
      </c>
    </row>
    <row r="166" spans="1:12">
      <c r="A166" s="50">
        <v>3</v>
      </c>
      <c r="B166" s="54">
        <v>40969</v>
      </c>
      <c r="C166" s="47">
        <f t="shared" si="17"/>
        <v>670.64373574177762</v>
      </c>
      <c r="E166" s="44">
        <f t="shared" si="16"/>
        <v>136</v>
      </c>
      <c r="F166" s="673">
        <f>C166*'Revenues &amp; Expenses'!N153</f>
        <v>277.16935428836115</v>
      </c>
      <c r="I166" s="673">
        <f>F166*'Company Power Prices'!C166</f>
        <v>11595.442624046447</v>
      </c>
      <c r="J166" s="683"/>
      <c r="K166" s="688">
        <f>F166*'Company Gas Prices'!E166</f>
        <v>17542.297248874889</v>
      </c>
    </row>
    <row r="167" spans="1:12">
      <c r="A167" s="50">
        <v>4</v>
      </c>
      <c r="B167" s="54">
        <v>41000</v>
      </c>
      <c r="C167" s="47">
        <f t="shared" si="17"/>
        <v>8401.9893426435556</v>
      </c>
      <c r="E167" s="44">
        <f t="shared" si="16"/>
        <v>137</v>
      </c>
      <c r="F167" s="673">
        <f>C167*'Revenues &amp; Expenses'!N154</f>
        <v>3451.2219079701849</v>
      </c>
      <c r="I167" s="673">
        <f>F167*'Company Power Prices'!C167</f>
        <v>159842.34174426139</v>
      </c>
      <c r="J167" s="683"/>
      <c r="K167" s="688">
        <f>F167*'Company Gas Prices'!E167</f>
        <v>223421.30735643487</v>
      </c>
    </row>
    <row r="168" spans="1:12">
      <c r="A168" s="50">
        <v>5</v>
      </c>
      <c r="B168" s="54">
        <v>41030</v>
      </c>
      <c r="C168" s="47">
        <f t="shared" si="17"/>
        <v>17184.95945211111</v>
      </c>
      <c r="E168" s="44">
        <f t="shared" si="16"/>
        <v>138</v>
      </c>
      <c r="F168" s="673">
        <f>C168*'Revenues &amp; Expenses'!N155</f>
        <v>7017.1850663520372</v>
      </c>
      <c r="I168" s="673">
        <f>F168*'Company Power Prices'!C168</f>
        <v>393098.42988136836</v>
      </c>
      <c r="J168" s="683"/>
      <c r="K168" s="688">
        <f>F168*'Company Gas Prices'!E168</f>
        <v>443762.77396060404</v>
      </c>
    </row>
    <row r="169" spans="1:12">
      <c r="A169" s="50">
        <v>6</v>
      </c>
      <c r="B169" s="54">
        <v>41061</v>
      </c>
      <c r="C169" s="47">
        <f t="shared" si="17"/>
        <v>31246.805776853333</v>
      </c>
      <c r="E169" s="44">
        <f t="shared" si="16"/>
        <v>139</v>
      </c>
      <c r="F169" s="673">
        <f>C169*'Revenues &amp; Expenses'!N156</f>
        <v>12681.136897180635</v>
      </c>
      <c r="I169" s="673">
        <f>F169*'Company Power Prices'!C169</f>
        <v>1281140.8035369825</v>
      </c>
      <c r="J169" s="683"/>
      <c r="K169" s="688">
        <f>F169*'Company Gas Prices'!E169</f>
        <v>801687.27445062576</v>
      </c>
    </row>
    <row r="170" spans="1:12">
      <c r="A170" s="50">
        <v>7</v>
      </c>
      <c r="B170" s="54">
        <v>41091</v>
      </c>
      <c r="C170" s="47">
        <f t="shared" si="17"/>
        <v>53690.513874557771</v>
      </c>
      <c r="E170" s="44">
        <f t="shared" si="16"/>
        <v>140</v>
      </c>
      <c r="F170" s="673">
        <f>C170*'Revenues &amp; Expenses'!N157</f>
        <v>21660.799601117022</v>
      </c>
      <c r="I170" s="673">
        <f>F170*'Company Power Prices'!C170</f>
        <v>3368595.9742710856</v>
      </c>
      <c r="J170" s="683"/>
      <c r="K170" s="688">
        <f>F170*'Company Gas Prices'!E170</f>
        <v>1362877.497264144</v>
      </c>
    </row>
    <row r="171" spans="1:12">
      <c r="A171" s="50">
        <v>8</v>
      </c>
      <c r="B171" s="54">
        <v>41122</v>
      </c>
      <c r="C171" s="47">
        <f t="shared" si="17"/>
        <v>35793.67591702933</v>
      </c>
      <c r="E171" s="44">
        <f t="shared" si="16"/>
        <v>141</v>
      </c>
      <c r="F171" s="673">
        <f>C171*'Revenues &amp; Expenses'!N158</f>
        <v>14352.319488763416</v>
      </c>
      <c r="I171" s="673">
        <f>F171*'Company Power Prices'!C171</f>
        <v>2232012.0467209197</v>
      </c>
      <c r="J171" s="683"/>
      <c r="K171" s="688">
        <f>F171*'Company Gas Prices'!E171</f>
        <v>903889.22378809249</v>
      </c>
    </row>
    <row r="172" spans="1:12">
      <c r="A172" s="50">
        <v>9</v>
      </c>
      <c r="B172" s="54">
        <v>41153</v>
      </c>
      <c r="C172" s="47">
        <f t="shared" si="17"/>
        <v>21003.83933024844</v>
      </c>
      <c r="E172" s="44">
        <f t="shared" si="16"/>
        <v>142</v>
      </c>
      <c r="F172" s="673">
        <f>C172*'Revenues &amp; Expenses'!N159</f>
        <v>8370.5446064467087</v>
      </c>
      <c r="I172" s="673">
        <f>F172*'Company Power Prices'!C172</f>
        <v>468912.80633656343</v>
      </c>
      <c r="J172" s="683"/>
      <c r="K172" s="688">
        <f>F172*'Company Gas Prices'!E172</f>
        <v>531339.79377180885</v>
      </c>
    </row>
    <row r="173" spans="1:12">
      <c r="A173" s="50">
        <v>10</v>
      </c>
      <c r="B173" s="54">
        <v>41183</v>
      </c>
      <c r="C173" s="47">
        <f t="shared" si="17"/>
        <v>3704.2983593871108</v>
      </c>
      <c r="E173" s="44">
        <f t="shared" si="16"/>
        <v>143</v>
      </c>
      <c r="F173" s="673">
        <f>C173*'Revenues &amp; Expenses'!N160</f>
        <v>1467.5280263399075</v>
      </c>
      <c r="I173" s="673">
        <f>F173*'Company Power Prices'!C173</f>
        <v>70694.281204048166</v>
      </c>
      <c r="J173" s="683"/>
      <c r="K173" s="688">
        <f>F173*'Company Gas Prices'!E173</f>
        <v>92686.081110083454</v>
      </c>
    </row>
    <row r="174" spans="1:12">
      <c r="A174" s="50">
        <v>11</v>
      </c>
      <c r="B174" s="54">
        <v>41214</v>
      </c>
      <c r="C174" s="47">
        <f t="shared" si="17"/>
        <v>8015.7944514759993</v>
      </c>
      <c r="E174" s="44">
        <f t="shared" si="16"/>
        <v>144</v>
      </c>
      <c r="F174" s="673">
        <f>C174*'Revenues &amp; Expenses'!N161</f>
        <v>3156.2178841572322</v>
      </c>
      <c r="I174" s="673">
        <f>F174*'Company Power Prices'!C174</f>
        <v>158821.94647154264</v>
      </c>
      <c r="J174" s="683"/>
      <c r="K174" s="688">
        <f>F174*'Company Gas Prices'!E174</f>
        <v>199529.4712637763</v>
      </c>
    </row>
    <row r="175" spans="1:12">
      <c r="A175" s="50">
        <v>12</v>
      </c>
      <c r="B175" s="54">
        <v>41244</v>
      </c>
      <c r="C175" s="47">
        <f t="shared" si="17"/>
        <v>8015.7944514759993</v>
      </c>
      <c r="D175" s="51">
        <f>SUM(C164:C175)</f>
        <v>205237.52400577063</v>
      </c>
      <c r="E175" s="44">
        <f t="shared" si="16"/>
        <v>145</v>
      </c>
      <c r="F175" s="673">
        <f>C175*'Revenues &amp; Expenses'!N162</f>
        <v>3137.5676162085329</v>
      </c>
      <c r="G175" s="674">
        <f>SUM(F164:F175)</f>
        <v>82892.727192966384</v>
      </c>
      <c r="H175" s="51">
        <f>D175</f>
        <v>205237.52400577063</v>
      </c>
      <c r="I175" s="673">
        <f>F175*'Company Power Prices'!C175</f>
        <v>157883.45870975137</v>
      </c>
      <c r="J175" s="683">
        <f>SUM(I164:I175)/SUM(F164:F175)</f>
        <v>104.34052338581611</v>
      </c>
      <c r="K175" s="688">
        <f>F175*'Company Gas Prices'!E175</f>
        <v>198538.91881108069</v>
      </c>
      <c r="L175" s="683">
        <f>SUM(K164:K175)/SUM(F164:F175)</f>
        <v>63.187507127667537</v>
      </c>
    </row>
    <row r="176" spans="1:12">
      <c r="A176" s="50">
        <v>1</v>
      </c>
      <c r="B176" s="54">
        <v>41275</v>
      </c>
      <c r="C176" s="47">
        <f t="shared" ref="C176:C187" si="18">VLOOKUP(A188,$A$5:$P$16,16)</f>
        <v>17438.018109661331</v>
      </c>
      <c r="E176" s="44">
        <f t="shared" si="16"/>
        <v>146</v>
      </c>
      <c r="F176" s="673">
        <f>C176*'Revenues &amp; Expenses'!N163</f>
        <v>6783.9764154747663</v>
      </c>
      <c r="I176" s="673">
        <f>F176*'Company Power Prices'!C176</f>
        <v>322334.28340594011</v>
      </c>
      <c r="J176" s="683"/>
      <c r="K176" s="688">
        <f>F176*'Company Gas Prices'!E176</f>
        <v>433407.73084062716</v>
      </c>
    </row>
    <row r="177" spans="1:12">
      <c r="A177" s="50">
        <v>2</v>
      </c>
      <c r="B177" s="54">
        <v>41306</v>
      </c>
      <c r="C177" s="47">
        <f t="shared" si="18"/>
        <v>626.40040543111115</v>
      </c>
      <c r="E177" s="44">
        <f t="shared" si="16"/>
        <v>147</v>
      </c>
      <c r="F177" s="673">
        <f>C177*'Revenues &amp; Expenses'!N164</f>
        <v>242.20342840456024</v>
      </c>
      <c r="I177" s="673">
        <f>F177*'Company Power Prices'!C177</f>
        <v>10138.142103456648</v>
      </c>
      <c r="J177" s="683"/>
      <c r="K177" s="688">
        <f>F177*'Company Gas Prices'!E177</f>
        <v>15488.258614339811</v>
      </c>
    </row>
    <row r="178" spans="1:12">
      <c r="A178" s="50">
        <v>3</v>
      </c>
      <c r="B178" s="54">
        <v>41334</v>
      </c>
      <c r="C178" s="47">
        <f t="shared" si="18"/>
        <v>626.40040543111115</v>
      </c>
      <c r="E178" s="44">
        <f t="shared" si="16"/>
        <v>148</v>
      </c>
      <c r="F178" s="673">
        <f>C178*'Revenues &amp; Expenses'!N165</f>
        <v>240.86792491347794</v>
      </c>
      <c r="I178" s="673">
        <f>F178*'Company Power Prices'!C178</f>
        <v>10082.24064796759</v>
      </c>
      <c r="J178" s="683"/>
      <c r="K178" s="688">
        <f>F178*'Company Gas Prices'!E178</f>
        <v>15417.422741975563</v>
      </c>
    </row>
    <row r="179" spans="1:12">
      <c r="A179" s="50">
        <v>4</v>
      </c>
      <c r="B179" s="54">
        <v>41365</v>
      </c>
      <c r="C179" s="47">
        <f t="shared" si="18"/>
        <v>8687.7101091417771</v>
      </c>
      <c r="E179" s="44">
        <f t="shared" si="16"/>
        <v>149</v>
      </c>
      <c r="F179" s="673">
        <f>C179*'Revenues &amp; Expenses'!N166</f>
        <v>3320.2746769335658</v>
      </c>
      <c r="I179" s="673">
        <f>F179*'Company Power Prices'!C179</f>
        <v>153886.27871981473</v>
      </c>
      <c r="J179" s="683"/>
      <c r="K179" s="688">
        <f>F179*'Company Gas Prices'!E179</f>
        <v>217329.75192730455</v>
      </c>
    </row>
    <row r="180" spans="1:12">
      <c r="A180" s="50">
        <v>5</v>
      </c>
      <c r="B180" s="54">
        <v>41395</v>
      </c>
      <c r="C180" s="47">
        <f t="shared" si="18"/>
        <v>16943.176548383559</v>
      </c>
      <c r="E180" s="44">
        <f t="shared" si="16"/>
        <v>150</v>
      </c>
      <c r="F180" s="673">
        <f>C180*'Revenues &amp; Expenses'!N167</f>
        <v>6437.1166562403487</v>
      </c>
      <c r="I180" s="673">
        <f>F180*'Company Power Prices'!C180</f>
        <v>352659.19514736731</v>
      </c>
      <c r="J180" s="683"/>
      <c r="K180" s="688">
        <f>F180*'Company Gas Prices'!E180</f>
        <v>411714.81305739167</v>
      </c>
    </row>
    <row r="181" spans="1:12">
      <c r="A181" s="50">
        <v>6</v>
      </c>
      <c r="B181" s="54">
        <v>41426</v>
      </c>
      <c r="C181" s="47">
        <f t="shared" si="18"/>
        <v>28830.05282636889</v>
      </c>
      <c r="E181" s="44">
        <f t="shared" si="16"/>
        <v>151</v>
      </c>
      <c r="F181" s="673">
        <f>C181*'Revenues &amp; Expenses'!N168</f>
        <v>10886.404233524701</v>
      </c>
      <c r="I181" s="673">
        <f>F181*'Company Power Prices'!C181</f>
        <v>1062032.5316637047</v>
      </c>
      <c r="J181" s="683"/>
      <c r="K181" s="688">
        <f>F181*'Company Gas Prices'!E181</f>
        <v>696082.78191318235</v>
      </c>
    </row>
    <row r="182" spans="1:12">
      <c r="A182" s="50">
        <v>7</v>
      </c>
      <c r="B182" s="54">
        <v>41456</v>
      </c>
      <c r="C182" s="47">
        <f t="shared" si="18"/>
        <v>52835.208145299999</v>
      </c>
      <c r="E182" s="44">
        <f t="shared" si="16"/>
        <v>152</v>
      </c>
      <c r="F182" s="673">
        <f>C182*'Revenues &amp; Expenses'!N169</f>
        <v>19833.117858773916</v>
      </c>
      <c r="I182" s="673">
        <f>F182*'Company Power Prices'!C182</f>
        <v>2895554.3993255878</v>
      </c>
      <c r="J182" s="683"/>
      <c r="K182" s="688">
        <f>F182*'Company Gas Prices'!E182</f>
        <v>1262226.4217268031</v>
      </c>
    </row>
    <row r="183" spans="1:12">
      <c r="A183" s="50">
        <v>8</v>
      </c>
      <c r="B183" s="54">
        <v>41487</v>
      </c>
      <c r="C183" s="47">
        <f t="shared" si="18"/>
        <v>35223.472096866666</v>
      </c>
      <c r="E183" s="44">
        <f t="shared" si="16"/>
        <v>153</v>
      </c>
      <c r="F183" s="673">
        <f>C183*'Revenues &amp; Expenses'!N170</f>
        <v>13141.43926590573</v>
      </c>
      <c r="I183" s="673">
        <f>F183*'Company Power Prices'!C183</f>
        <v>1918596.5893420915</v>
      </c>
      <c r="J183" s="683"/>
      <c r="K183" s="688">
        <f>F183*'Company Gas Prices'!E183</f>
        <v>837155.77765096305</v>
      </c>
    </row>
    <row r="184" spans="1:12">
      <c r="A184" s="50">
        <v>9</v>
      </c>
      <c r="B184" s="54">
        <v>41518</v>
      </c>
      <c r="C184" s="47">
        <f t="shared" si="18"/>
        <v>20708.326892907109</v>
      </c>
      <c r="E184" s="44">
        <f t="shared" si="16"/>
        <v>154</v>
      </c>
      <c r="F184" s="673">
        <f>C184*'Revenues &amp; Expenses'!N171</f>
        <v>7678.9059252868283</v>
      </c>
      <c r="I184" s="673">
        <f>F184*'Company Power Prices'!C184</f>
        <v>420690.95960825012</v>
      </c>
      <c r="J184" s="683"/>
      <c r="K184" s="688">
        <f>F184*'Company Gas Prices'!E184</f>
        <v>493015.16336287785</v>
      </c>
    </row>
    <row r="185" spans="1:12">
      <c r="A185" s="50">
        <v>10</v>
      </c>
      <c r="B185" s="54">
        <v>41548</v>
      </c>
      <c r="C185" s="47">
        <f t="shared" si="18"/>
        <v>3679.8951228697779</v>
      </c>
      <c r="E185" s="44">
        <f t="shared" si="16"/>
        <v>155</v>
      </c>
      <c r="F185" s="673">
        <f>C185*'Revenues &amp; Expenses'!N172</f>
        <v>1356.4987084843158</v>
      </c>
      <c r="I185" s="673">
        <f>F185*'Company Power Prices'!C185</f>
        <v>65354.882666530757</v>
      </c>
      <c r="J185" s="683"/>
      <c r="K185" s="688">
        <f>F185*'Company Gas Prices'!E185</f>
        <v>86661.385583310432</v>
      </c>
    </row>
    <row r="186" spans="1:12">
      <c r="A186" s="50">
        <v>11</v>
      </c>
      <c r="B186" s="54">
        <v>41579</v>
      </c>
      <c r="C186" s="47">
        <f t="shared" si="18"/>
        <v>7995.2636322937778</v>
      </c>
      <c r="E186" s="44">
        <f t="shared" si="16"/>
        <v>156</v>
      </c>
      <c r="F186" s="673">
        <f>C186*'Revenues &amp; Expenses'!N173</f>
        <v>2929.2809140958984</v>
      </c>
      <c r="I186" s="673">
        <f>F186*'Company Power Prices'!C186</f>
        <v>147474.48109053803</v>
      </c>
      <c r="J186" s="683"/>
      <c r="K186" s="688">
        <f>F186*'Company Gas Prices'!E186</f>
        <v>187320.59262801526</v>
      </c>
    </row>
    <row r="187" spans="1:12">
      <c r="A187" s="50">
        <v>12</v>
      </c>
      <c r="B187" s="54">
        <v>41609</v>
      </c>
      <c r="C187" s="47">
        <f t="shared" si="18"/>
        <v>7995.2636322937778</v>
      </c>
      <c r="D187" s="51">
        <f>SUM(C176:C187)</f>
        <v>201589.18792694894</v>
      </c>
      <c r="E187" s="44">
        <f t="shared" si="16"/>
        <v>157</v>
      </c>
      <c r="F187" s="673">
        <f>C187*'Revenues &amp; Expenses'!N174</f>
        <v>2911.9997303239502</v>
      </c>
      <c r="G187" s="674">
        <f>SUM(F176:F187)</f>
        <v>75762.085738362061</v>
      </c>
      <c r="H187" s="51">
        <f>D187</f>
        <v>201589.18792694894</v>
      </c>
      <c r="I187" s="673">
        <f>F187*'Company Power Prices'!C187</f>
        <v>146604.46087597459</v>
      </c>
      <c r="J187" s="683">
        <f>SUM(I176:I187)/SUM(F176:F187)</f>
        <v>99.06549392682399</v>
      </c>
      <c r="K187" s="688">
        <f>F187*'Company Gas Prices'!E187</f>
        <v>186395.15297198869</v>
      </c>
      <c r="L187" s="683">
        <f>SUM(K176:K187)/SUM(F176:F187)</f>
        <v>63.913436461358252</v>
      </c>
    </row>
    <row r="188" spans="1:12">
      <c r="A188" s="50">
        <v>1</v>
      </c>
      <c r="B188" s="54">
        <v>41640</v>
      </c>
      <c r="C188" s="47">
        <f t="shared" ref="C188:C199" si="19">VLOOKUP(A200,$A$5:$Q$16,17)</f>
        <v>17301.363640695556</v>
      </c>
      <c r="E188" s="44">
        <f t="shared" si="16"/>
        <v>158</v>
      </c>
      <c r="F188" s="673">
        <f>C188*'Revenues &amp; Expenses'!N175</f>
        <v>6263.0213202016603</v>
      </c>
      <c r="I188" s="673">
        <f>F188*'Company Power Prices'!C188</f>
        <v>297321.09204578475</v>
      </c>
      <c r="J188" s="683"/>
      <c r="K188" s="688">
        <f>F188*'Company Gas Prices'!E188</f>
        <v>404716.1739251723</v>
      </c>
    </row>
    <row r="189" spans="1:12">
      <c r="A189" s="50">
        <v>2</v>
      </c>
      <c r="B189" s="54">
        <v>41671</v>
      </c>
      <c r="C189" s="47">
        <f t="shared" si="19"/>
        <v>626.40040543111104</v>
      </c>
      <c r="E189" s="44">
        <f t="shared" si="16"/>
        <v>159</v>
      </c>
      <c r="F189" s="673">
        <f>C189*'Revenues &amp; Expenses'!N176</f>
        <v>225.3725236507147</v>
      </c>
      <c r="I189" s="673">
        <f>F189*'Company Power Prices'!C189</f>
        <v>9424.9109103341561</v>
      </c>
      <c r="J189" s="683"/>
      <c r="K189" s="688">
        <f>F189*'Company Gas Prices'!E189</f>
        <v>14577.528862452811</v>
      </c>
    </row>
    <row r="190" spans="1:12">
      <c r="A190" s="50">
        <v>3</v>
      </c>
      <c r="B190" s="54">
        <v>41699</v>
      </c>
      <c r="C190" s="47">
        <f t="shared" si="19"/>
        <v>626.40040543111104</v>
      </c>
      <c r="E190" s="44">
        <f t="shared" si="16"/>
        <v>160</v>
      </c>
      <c r="F190" s="673">
        <f>C190*'Revenues &amp; Expenses'!N177</f>
        <v>224.13184404997665</v>
      </c>
      <c r="I190" s="673">
        <f>F190*'Company Power Prices'!C190</f>
        <v>9373.0266144323741</v>
      </c>
      <c r="J190" s="683"/>
      <c r="K190" s="688">
        <f>F190*'Company Gas Prices'!E190</f>
        <v>14511.199180583377</v>
      </c>
    </row>
    <row r="191" spans="1:12">
      <c r="A191" s="50">
        <v>4</v>
      </c>
      <c r="B191" s="54">
        <v>41730</v>
      </c>
      <c r="C191" s="47">
        <f t="shared" si="19"/>
        <v>8599.0118575013312</v>
      </c>
      <c r="E191" s="44">
        <f t="shared" si="16"/>
        <v>161</v>
      </c>
      <c r="F191" s="673">
        <f>C191*'Revenues &amp; Expenses'!N178</f>
        <v>3058.0611386451301</v>
      </c>
      <c r="I191" s="673">
        <f>F191*'Company Power Prices'!C191</f>
        <v>141786.48512869401</v>
      </c>
      <c r="J191" s="683"/>
      <c r="K191" s="688">
        <f>F191*'Company Gas Prices'!E191</f>
        <v>202422.95832801628</v>
      </c>
    </row>
    <row r="192" spans="1:12">
      <c r="A192" s="50">
        <v>5</v>
      </c>
      <c r="B192" s="54">
        <v>41760</v>
      </c>
      <c r="C192" s="47">
        <f t="shared" si="19"/>
        <v>17483.117549896444</v>
      </c>
      <c r="E192" s="44">
        <f t="shared" si="16"/>
        <v>162</v>
      </c>
      <c r="F192" s="673">
        <f>C192*'Revenues &amp; Expenses'!N179</f>
        <v>6180.8547242442328</v>
      </c>
      <c r="I192" s="673">
        <f>F192*'Company Power Prices'!C192</f>
        <v>348280.11178663868</v>
      </c>
      <c r="J192" s="683"/>
      <c r="K192" s="688">
        <f>F192*'Company Gas Prices'!E192</f>
        <v>399895.30006075552</v>
      </c>
    </row>
    <row r="193" spans="1:12">
      <c r="A193" s="50">
        <v>6</v>
      </c>
      <c r="B193" s="54">
        <v>41791</v>
      </c>
      <c r="C193" s="47">
        <f t="shared" si="19"/>
        <v>31276.94676155466</v>
      </c>
      <c r="E193" s="44">
        <f t="shared" si="16"/>
        <v>163</v>
      </c>
      <c r="F193" s="673">
        <f>C193*'Revenues &amp; Expenses'!N180</f>
        <v>10990.079015658675</v>
      </c>
      <c r="I193" s="673">
        <f>F193*'Company Power Prices'!C193</f>
        <v>1121976.7875508682</v>
      </c>
      <c r="J193" s="683"/>
      <c r="K193" s="688">
        <f>F193*'Company Gas Prices'!E193</f>
        <v>710857.26780302858</v>
      </c>
    </row>
    <row r="194" spans="1:12">
      <c r="A194" s="50">
        <v>7</v>
      </c>
      <c r="B194" s="54">
        <v>41821</v>
      </c>
      <c r="C194" s="47">
        <f t="shared" si="19"/>
        <v>52286.286001649765</v>
      </c>
      <c r="E194" s="44">
        <f t="shared" si="16"/>
        <v>164</v>
      </c>
      <c r="F194" s="673">
        <f>C194*'Revenues &amp; Expenses'!N181</f>
        <v>18264.04636330303</v>
      </c>
      <c r="I194" s="673">
        <f>F194*'Company Power Prices'!C194</f>
        <v>2887724.3743284978</v>
      </c>
      <c r="J194" s="683"/>
      <c r="K194" s="688">
        <f>F194*'Company Gas Prices'!E194</f>
        <v>1175933.7686375771</v>
      </c>
    </row>
    <row r="195" spans="1:12">
      <c r="A195" s="50">
        <v>8</v>
      </c>
      <c r="B195" s="54">
        <v>41852</v>
      </c>
      <c r="C195" s="47">
        <f t="shared" si="19"/>
        <v>34857.524001757331</v>
      </c>
      <c r="E195" s="44">
        <f t="shared" si="16"/>
        <v>165</v>
      </c>
      <c r="F195" s="673">
        <f>C195*'Revenues &amp; Expenses'!N182</f>
        <v>12101.891957166117</v>
      </c>
      <c r="I195" s="673">
        <f>F195*'Company Power Prices'!C195</f>
        <v>1913427.4894535744</v>
      </c>
      <c r="J195" s="683"/>
      <c r="K195" s="688">
        <f>F195*'Company Gas Prices'!E195</f>
        <v>779942.38281524566</v>
      </c>
    </row>
    <row r="196" spans="1:12">
      <c r="A196" s="50">
        <v>9</v>
      </c>
      <c r="B196" s="54">
        <v>41883</v>
      </c>
      <c r="C196" s="47">
        <f t="shared" si="19"/>
        <v>21368.254783754663</v>
      </c>
      <c r="E196" s="44">
        <f t="shared" si="16"/>
        <v>166</v>
      </c>
      <c r="F196" s="673">
        <f>C196*'Revenues &amp; Expenses'!N183</f>
        <v>7373.5000387628843</v>
      </c>
      <c r="I196" s="673">
        <f>F196*'Company Power Prices'!C196</f>
        <v>415483.54270260426</v>
      </c>
      <c r="J196" s="683"/>
      <c r="K196" s="688">
        <f>F196*'Company Gas Prices'!E196</f>
        <v>478908.43732544326</v>
      </c>
    </row>
    <row r="197" spans="1:12">
      <c r="A197" s="50">
        <v>10</v>
      </c>
      <c r="B197" s="54">
        <v>41913</v>
      </c>
      <c r="C197" s="47">
        <f t="shared" si="19"/>
        <v>3645.732708572888</v>
      </c>
      <c r="E197" s="44">
        <f t="shared" si="16"/>
        <v>167</v>
      </c>
      <c r="F197" s="673">
        <f>C197*'Revenues &amp; Expenses'!N184</f>
        <v>1250.6139173245008</v>
      </c>
      <c r="I197" s="673">
        <f>F197*'Company Power Prices'!C197</f>
        <v>60297.298395063866</v>
      </c>
      <c r="J197" s="683"/>
      <c r="K197" s="688">
        <f>F197*'Company Gas Prices'!E197</f>
        <v>80832.000832971913</v>
      </c>
    </row>
    <row r="198" spans="1:12">
      <c r="A198" s="50">
        <v>11</v>
      </c>
      <c r="B198" s="54">
        <v>41944</v>
      </c>
      <c r="C198" s="47">
        <f t="shared" si="19"/>
        <v>7981.5768698804441</v>
      </c>
      <c r="E198" s="44">
        <f t="shared" si="16"/>
        <v>168</v>
      </c>
      <c r="F198" s="673">
        <f>C198*'Revenues &amp; Expenses'!N185</f>
        <v>2721.2958192411625</v>
      </c>
      <c r="I198" s="673">
        <f>F198*'Company Power Prices'!C198</f>
        <v>137042.97549370769</v>
      </c>
      <c r="J198" s="683"/>
      <c r="K198" s="688">
        <f>F198*'Company Gas Prices'!E198</f>
        <v>176059.8808514429</v>
      </c>
    </row>
    <row r="199" spans="1:12">
      <c r="A199" s="50">
        <v>12</v>
      </c>
      <c r="B199" s="54">
        <v>41974</v>
      </c>
      <c r="C199" s="47">
        <f t="shared" si="19"/>
        <v>7981.5768698804441</v>
      </c>
      <c r="D199" s="51">
        <f>SUM(C188:C199)</f>
        <v>204034.19185600572</v>
      </c>
      <c r="E199" s="44">
        <f t="shared" si="16"/>
        <v>169</v>
      </c>
      <c r="F199" s="673">
        <f>C199*'Revenues &amp; Expenses'!N186</f>
        <v>2705.2677429066098</v>
      </c>
      <c r="G199" s="674">
        <f>SUM(F188:F199)</f>
        <v>71358.136405154684</v>
      </c>
      <c r="H199" s="51">
        <f>D199</f>
        <v>204034.19185600572</v>
      </c>
      <c r="I199" s="673">
        <f>F199*'Company Power Prices'!C199</f>
        <v>136235.81029806944</v>
      </c>
      <c r="J199" s="683">
        <f>SUM(I188:I199)/SUM(F188:F199)</f>
        <v>104.80057750174171</v>
      </c>
      <c r="K199" s="688">
        <f>F199*'Company Gas Prices'!E199</f>
        <v>175194.31462125108</v>
      </c>
      <c r="L199" s="683">
        <f>SUM(K188:K199)/SUM(F188:F199)</f>
        <v>64.657675293642498</v>
      </c>
    </row>
    <row r="200" spans="1:12">
      <c r="A200" s="50">
        <v>1</v>
      </c>
      <c r="B200" s="54">
        <v>42005</v>
      </c>
      <c r="C200" s="47">
        <f t="shared" ref="C200:C211" si="20">VLOOKUP(A212,$A$5:$R$16,18)</f>
        <v>14630.45796802489</v>
      </c>
      <c r="E200" s="44">
        <f t="shared" si="16"/>
        <v>170</v>
      </c>
      <c r="F200" s="673">
        <f>C200*'Revenues &amp; Expenses'!N187</f>
        <v>4928.6595394065953</v>
      </c>
      <c r="I200" s="673">
        <f>F200*'Company Power Prices'!C200</f>
        <v>238111.46911186987</v>
      </c>
      <c r="J200" s="683"/>
      <c r="K200" s="688">
        <f>F200*'Company Gas Prices'!E200</f>
        <v>327019.4567329812</v>
      </c>
    </row>
    <row r="201" spans="1:12">
      <c r="A201" s="50">
        <v>2</v>
      </c>
      <c r="B201" s="54">
        <v>42036</v>
      </c>
      <c r="C201" s="47">
        <f t="shared" si="20"/>
        <v>450.0668593648889</v>
      </c>
      <c r="E201" s="44">
        <f t="shared" si="16"/>
        <v>171</v>
      </c>
      <c r="F201" s="673">
        <f>C201*'Revenues &amp; Expenses'!N188</f>
        <v>150.69458468676882</v>
      </c>
      <c r="I201" s="673">
        <f>F201*'Company Power Prices'!C201</f>
        <v>6429.0397508401966</v>
      </c>
      <c r="J201" s="683"/>
      <c r="K201" s="688">
        <f>F201*'Company Gas Prices'!E201</f>
        <v>10008.264617579573</v>
      </c>
    </row>
    <row r="202" spans="1:12">
      <c r="A202" s="50">
        <v>3</v>
      </c>
      <c r="B202" s="54">
        <v>42064</v>
      </c>
      <c r="C202" s="47">
        <f t="shared" si="20"/>
        <v>450.0668593648889</v>
      </c>
      <c r="E202" s="44">
        <f t="shared" si="16"/>
        <v>172</v>
      </c>
      <c r="F202" s="673">
        <f>C202*'Revenues &amp; Expenses'!N189</f>
        <v>149.86635829587888</v>
      </c>
      <c r="I202" s="673">
        <f>F202*'Company Power Prices'!C202</f>
        <v>6393.7053663910528</v>
      </c>
      <c r="J202" s="683"/>
      <c r="K202" s="688">
        <f>F202*'Company Gas Prices'!E202</f>
        <v>9962.8174589917307</v>
      </c>
    </row>
    <row r="203" spans="1:12">
      <c r="A203" s="50">
        <v>4</v>
      </c>
      <c r="B203" s="54">
        <v>42095</v>
      </c>
      <c r="C203" s="47">
        <f t="shared" si="20"/>
        <v>7389.9226365004442</v>
      </c>
      <c r="E203" s="44">
        <f t="shared" si="16"/>
        <v>173</v>
      </c>
      <c r="F203" s="673">
        <f>C203*'Revenues &amp; Expenses'!N190</f>
        <v>2445.7801955697123</v>
      </c>
      <c r="I203" s="673">
        <f>F203*'Company Power Prices'!C203</f>
        <v>115491.79497221466</v>
      </c>
      <c r="J203" s="683"/>
      <c r="K203" s="688">
        <f>F203*'Company Gas Prices'!E203</f>
        <v>166139.14612838556</v>
      </c>
    </row>
    <row r="204" spans="1:12">
      <c r="A204" s="50">
        <v>5</v>
      </c>
      <c r="B204" s="54">
        <v>42125</v>
      </c>
      <c r="C204" s="47">
        <f t="shared" si="20"/>
        <v>16992.538731998669</v>
      </c>
      <c r="E204" s="44">
        <f t="shared" si="16"/>
        <v>174</v>
      </c>
      <c r="F204" s="673">
        <f>C204*'Revenues &amp; Expenses'!N191</f>
        <v>5590.7752542157232</v>
      </c>
      <c r="I204" s="673">
        <f>F204*'Company Power Prices'!C204</f>
        <v>331413.59973945818</v>
      </c>
      <c r="J204" s="683"/>
      <c r="K204" s="688">
        <f>F204*'Company Gas Prices'!E204</f>
        <v>371430.8352163636</v>
      </c>
    </row>
    <row r="205" spans="1:12">
      <c r="A205" s="50">
        <v>6</v>
      </c>
      <c r="B205" s="54">
        <v>42156</v>
      </c>
      <c r="C205" s="47">
        <f t="shared" si="20"/>
        <v>33305.365392239109</v>
      </c>
      <c r="E205" s="44">
        <f t="shared" si="16"/>
        <v>175</v>
      </c>
      <c r="F205" s="673">
        <f>C205*'Revenues &amp; Expenses'!N192</f>
        <v>10891.284556436585</v>
      </c>
      <c r="I205" s="673">
        <f>F205*'Company Power Prices'!C205</f>
        <v>1171696.18239698</v>
      </c>
      <c r="J205" s="683"/>
      <c r="K205" s="688">
        <f>F205*'Company Gas Prices'!E205</f>
        <v>723516.04677542287</v>
      </c>
    </row>
    <row r="206" spans="1:12">
      <c r="A206" s="50">
        <v>7</v>
      </c>
      <c r="B206" s="54">
        <v>42186</v>
      </c>
      <c r="C206" s="47">
        <f t="shared" si="20"/>
        <v>51772.057010744</v>
      </c>
      <c r="E206" s="44">
        <f t="shared" si="16"/>
        <v>176</v>
      </c>
      <c r="F206" s="673">
        <f>C206*'Revenues &amp; Expenses'!N193</f>
        <v>16830.509260979714</v>
      </c>
      <c r="I206" s="673">
        <f>F206*'Company Power Prices'!C206</f>
        <v>2880433.8673370653</v>
      </c>
      <c r="J206" s="683"/>
      <c r="K206" s="688">
        <f>F206*'Company Gas Prices'!E206</f>
        <v>1112932.5156962441</v>
      </c>
    </row>
    <row r="207" spans="1:12">
      <c r="A207" s="50">
        <v>8</v>
      </c>
      <c r="B207" s="54">
        <v>42217</v>
      </c>
      <c r="C207" s="47">
        <f t="shared" si="20"/>
        <v>34514.704673829336</v>
      </c>
      <c r="E207" s="44">
        <f t="shared" si="16"/>
        <v>177</v>
      </c>
      <c r="F207" s="673">
        <f>C207*'Revenues &amp; Expenses'!N194</f>
        <v>11152.13090366683</v>
      </c>
      <c r="I207" s="673">
        <f>F207*'Company Power Prices'!C207</f>
        <v>1908615.7792249925</v>
      </c>
      <c r="J207" s="683"/>
      <c r="K207" s="688">
        <f>F207*'Company Gas Prices'!E207</f>
        <v>738163.90684609767</v>
      </c>
    </row>
    <row r="208" spans="1:12">
      <c r="A208" s="50">
        <v>9</v>
      </c>
      <c r="B208" s="54">
        <v>42248</v>
      </c>
      <c r="C208" s="47">
        <f t="shared" si="20"/>
        <v>20768.65844956311</v>
      </c>
      <c r="E208" s="44">
        <f t="shared" si="16"/>
        <v>178</v>
      </c>
      <c r="F208" s="673">
        <f>C208*'Revenues &amp; Expenses'!N195</f>
        <v>6669.8239266378869</v>
      </c>
      <c r="I208" s="673">
        <f>F208*'Company Power Prices'!C208</f>
        <v>395378.14643660112</v>
      </c>
      <c r="J208" s="683"/>
      <c r="K208" s="688">
        <f>F208*'Company Gas Prices'!E208</f>
        <v>444837.68122932524</v>
      </c>
    </row>
    <row r="209" spans="1:12">
      <c r="A209" s="50">
        <v>10</v>
      </c>
      <c r="B209" s="54">
        <v>42278</v>
      </c>
      <c r="C209" s="47">
        <f t="shared" si="20"/>
        <v>3006.3872695857776</v>
      </c>
      <c r="E209" s="44">
        <f t="shared" si="16"/>
        <v>179</v>
      </c>
      <c r="F209" s="673">
        <f>C209*'Revenues &amp; Expenses'!N196</f>
        <v>959.81788766967281</v>
      </c>
      <c r="I209" s="673">
        <f>F209*'Company Power Prices'!C209</f>
        <v>47617.276536365447</v>
      </c>
      <c r="J209" s="683"/>
      <c r="K209" s="688">
        <f>F209*'Company Gas Prices'!E209</f>
        <v>63712.403607472457</v>
      </c>
    </row>
    <row r="210" spans="1:12">
      <c r="A210" s="50">
        <v>11</v>
      </c>
      <c r="B210" s="54">
        <v>42309</v>
      </c>
      <c r="C210" s="47">
        <f t="shared" si="20"/>
        <v>7520.6351461640015</v>
      </c>
      <c r="E210" s="44">
        <f t="shared" si="16"/>
        <v>180</v>
      </c>
      <c r="F210" s="673">
        <f>C210*'Revenues &amp; Expenses'!N197</f>
        <v>2386.4447693405014</v>
      </c>
      <c r="I210" s="673">
        <f>F210*'Company Power Prices'!C210</f>
        <v>122519.38701866109</v>
      </c>
      <c r="J210" s="683"/>
      <c r="K210" s="688">
        <f>F210*'Company Gas Prices'!E210</f>
        <v>158566.37974045065</v>
      </c>
    </row>
    <row r="211" spans="1:12">
      <c r="A211" s="50">
        <v>12</v>
      </c>
      <c r="B211" s="54">
        <v>42339</v>
      </c>
      <c r="C211" s="47">
        <f t="shared" si="20"/>
        <v>7520.6351461640015</v>
      </c>
      <c r="D211" s="51">
        <f>SUM(C200:C211)</f>
        <v>198321.49614354313</v>
      </c>
      <c r="E211" s="44">
        <f t="shared" si="16"/>
        <v>181</v>
      </c>
      <c r="F211" s="673">
        <f>C211*'Revenues &amp; Expenses'!N198</f>
        <v>2372.4118177792211</v>
      </c>
      <c r="G211" s="674">
        <f>SUM(F200:F211)</f>
        <v>64528.199054685087</v>
      </c>
      <c r="H211" s="51">
        <f>D211</f>
        <v>198321.49614354313</v>
      </c>
      <c r="I211" s="673">
        <f>F211*'Company Power Prices'!C211</f>
        <v>121798.93932783698</v>
      </c>
      <c r="J211" s="683">
        <f>SUM(I200:I211)/SUM(F200:F211)</f>
        <v>113.84013957981252</v>
      </c>
      <c r="K211" s="688">
        <f>F211*'Company Gas Prices'!E211</f>
        <v>157788.33826458023</v>
      </c>
      <c r="L211" s="683">
        <f>SUM(K200:K211)/SUM(F200:F211)</f>
        <v>66.390785037767884</v>
      </c>
    </row>
    <row r="212" spans="1:12">
      <c r="A212" s="50">
        <v>1</v>
      </c>
      <c r="B212" s="54">
        <v>42370</v>
      </c>
      <c r="C212" s="47">
        <f t="shared" ref="C212:C223" si="21">VLOOKUP(A224,$A$5:$S$16,19)</f>
        <v>13836.209963666219</v>
      </c>
      <c r="E212" s="44">
        <f t="shared" si="16"/>
        <v>182</v>
      </c>
      <c r="F212" s="673">
        <f>C212*'Revenues &amp; Expenses'!N199</f>
        <v>4338.1681200325229</v>
      </c>
      <c r="I212" s="673">
        <f>F212*'Company Power Prices'!C212</f>
        <v>209438.78263144035</v>
      </c>
      <c r="J212" s="683"/>
      <c r="K212" s="688">
        <f>F212*'Company Gas Prices'!E212</f>
        <v>291193.83501699095</v>
      </c>
    </row>
    <row r="213" spans="1:12">
      <c r="A213" s="50">
        <v>2</v>
      </c>
      <c r="B213" s="54">
        <v>42401</v>
      </c>
      <c r="C213" s="47">
        <f t="shared" si="21"/>
        <v>462.16190842266661</v>
      </c>
      <c r="E213" s="44">
        <f t="shared" si="16"/>
        <v>183</v>
      </c>
      <c r="F213" s="673">
        <f>C213*'Revenues &amp; Expenses'!N200</f>
        <v>144.02484829002262</v>
      </c>
      <c r="I213" s="673">
        <f>F213*'Company Power Prices'!C213</f>
        <v>6147.1813331031417</v>
      </c>
      <c r="J213" s="683"/>
      <c r="K213" s="688">
        <f>F213*'Company Gas Prices'!E213</f>
        <v>9676.8920820969415</v>
      </c>
    </row>
    <row r="214" spans="1:12">
      <c r="A214" s="50">
        <v>3</v>
      </c>
      <c r="B214" s="54">
        <v>42430</v>
      </c>
      <c r="C214" s="47">
        <f t="shared" si="21"/>
        <v>462.16190842266661</v>
      </c>
      <c r="E214" s="44">
        <f t="shared" si="16"/>
        <v>184</v>
      </c>
      <c r="F214" s="673">
        <f>C214*'Revenues &amp; Expenses'!N201</f>
        <v>143.20642729198849</v>
      </c>
      <c r="I214" s="673">
        <f>F214*'Company Power Prices'!C214</f>
        <v>6112.2499838153844</v>
      </c>
      <c r="J214" s="683"/>
      <c r="K214" s="688">
        <f>F214*'Company Gas Prices'!E214</f>
        <v>9631.2838473643205</v>
      </c>
    </row>
    <row r="215" spans="1:12">
      <c r="A215" s="50">
        <v>4</v>
      </c>
      <c r="B215" s="54">
        <v>42461</v>
      </c>
      <c r="C215" s="47">
        <f t="shared" si="21"/>
        <v>6991.6304467022219</v>
      </c>
      <c r="E215" s="44">
        <f t="shared" si="16"/>
        <v>185</v>
      </c>
      <c r="F215" s="673">
        <f>C215*'Revenues &amp; Expenses'!N202</f>
        <v>2153.2853365774235</v>
      </c>
      <c r="I215" s="673">
        <f>F215*'Company Power Prices'!C215</f>
        <v>101711.61317505898</v>
      </c>
      <c r="J215" s="683"/>
      <c r="K215" s="688">
        <f>F215*'Company Gas Prices'!E215</f>
        <v>147946.11979338503</v>
      </c>
    </row>
    <row r="216" spans="1:12">
      <c r="A216" s="50">
        <v>5</v>
      </c>
      <c r="B216" s="54">
        <v>42491</v>
      </c>
      <c r="C216" s="47">
        <f t="shared" si="21"/>
        <v>17781.504892078661</v>
      </c>
      <c r="E216" s="44">
        <f t="shared" si="16"/>
        <v>186</v>
      </c>
      <c r="F216" s="673">
        <f>C216*'Revenues &amp; Expenses'!N203</f>
        <v>5444.1748896184172</v>
      </c>
      <c r="I216" s="673">
        <f>F216*'Company Power Prices'!C216</f>
        <v>327815.35734619718</v>
      </c>
      <c r="J216" s="683"/>
      <c r="K216" s="688">
        <f>F216*'Company Gas Prices'!E216</f>
        <v>365937.66568427137</v>
      </c>
    </row>
    <row r="217" spans="1:12">
      <c r="A217" s="50">
        <v>6</v>
      </c>
      <c r="B217" s="54">
        <v>42522</v>
      </c>
      <c r="C217" s="47">
        <f t="shared" si="21"/>
        <v>34009.045863302214</v>
      </c>
      <c r="E217" s="44">
        <f t="shared" si="16"/>
        <v>187</v>
      </c>
      <c r="F217" s="673">
        <f>C217*'Revenues &amp; Expenses'!N204</f>
        <v>10349.35971228931</v>
      </c>
      <c r="I217" s="673">
        <f>F217*'Company Power Prices'!C217</f>
        <v>1144197.9940794706</v>
      </c>
      <c r="J217" s="683"/>
      <c r="K217" s="688">
        <f>F217*'Company Gas Prices'!E217</f>
        <v>695605.96753215173</v>
      </c>
    </row>
    <row r="218" spans="1:12">
      <c r="A218" s="50">
        <v>7</v>
      </c>
      <c r="B218" s="54">
        <v>42552</v>
      </c>
      <c r="C218" s="47">
        <f t="shared" si="21"/>
        <v>52207.799391751098</v>
      </c>
      <c r="E218" s="44">
        <f t="shared" si="16"/>
        <v>188</v>
      </c>
      <c r="F218" s="673">
        <f>C218*'Revenues &amp; Expenses'!N205</f>
        <v>15794.124563182488</v>
      </c>
      <c r="I218" s="673">
        <f>F218*'Company Power Prices'!C218</f>
        <v>2858070.6277385475</v>
      </c>
      <c r="J218" s="683"/>
      <c r="K218" s="688">
        <f>F218*'Company Gas Prices'!E218</f>
        <v>1056774.8038537183</v>
      </c>
    </row>
    <row r="219" spans="1:12">
      <c r="A219" s="50">
        <v>8</v>
      </c>
      <c r="B219" s="54">
        <v>42583</v>
      </c>
      <c r="C219" s="47">
        <f t="shared" si="21"/>
        <v>34805.199594171994</v>
      </c>
      <c r="E219" s="44">
        <f t="shared" ref="E219:E259" si="22">E218+1</f>
        <v>189</v>
      </c>
      <c r="F219" s="673">
        <f>C219*'Revenues &amp; Expenses'!N206</f>
        <v>10465.512560542806</v>
      </c>
      <c r="I219" s="673">
        <f>F219*'Company Power Prices'!C219</f>
        <v>1893816.5223314653</v>
      </c>
      <c r="J219" s="683"/>
      <c r="K219" s="688">
        <f>F219*'Company Gas Prices'!E219</f>
        <v>700933.964866383</v>
      </c>
    </row>
    <row r="220" spans="1:12">
      <c r="A220" s="50">
        <v>9</v>
      </c>
      <c r="B220" s="54">
        <v>42614</v>
      </c>
      <c r="C220" s="47">
        <f t="shared" si="21"/>
        <v>21732.950422994218</v>
      </c>
      <c r="E220" s="44">
        <f t="shared" si="22"/>
        <v>190</v>
      </c>
      <c r="F220" s="673">
        <f>C220*'Revenues &amp; Expenses'!N207</f>
        <v>6495.1866432444031</v>
      </c>
      <c r="I220" s="673">
        <f>F220*'Company Power Prices'!C220</f>
        <v>391100.94250382326</v>
      </c>
      <c r="J220" s="683"/>
      <c r="K220" s="688">
        <f>F220*'Company Gas Prices'!E220</f>
        <v>438301.81281246507</v>
      </c>
    </row>
    <row r="221" spans="1:12">
      <c r="A221" s="50">
        <v>10</v>
      </c>
      <c r="B221" s="54">
        <v>42644</v>
      </c>
      <c r="C221" s="47">
        <f t="shared" si="21"/>
        <v>2847.4520869137777</v>
      </c>
      <c r="E221" s="44">
        <f t="shared" si="22"/>
        <v>191</v>
      </c>
      <c r="F221" s="673">
        <f>C221*'Revenues &amp; Expenses'!N208</f>
        <v>846.00234065618019</v>
      </c>
      <c r="I221" s="673">
        <f>F221*'Company Power Prices'!C221</f>
        <v>41991.617084834361</v>
      </c>
      <c r="J221" s="683"/>
      <c r="K221" s="688">
        <f>F221*'Company Gas Prices'!E221</f>
        <v>56824.607341275638</v>
      </c>
    </row>
    <row r="222" spans="1:12">
      <c r="A222" s="50">
        <v>11</v>
      </c>
      <c r="B222" s="54">
        <v>42675</v>
      </c>
      <c r="C222" s="47">
        <f t="shared" si="21"/>
        <v>7520.6351461639979</v>
      </c>
      <c r="E222" s="44">
        <f t="shared" si="22"/>
        <v>192</v>
      </c>
      <c r="F222" s="673">
        <f>C222*'Revenues &amp; Expenses'!N209</f>
        <v>2220.8895197949482</v>
      </c>
      <c r="I222" s="673">
        <f>F222*'Company Power Prices'!C222</f>
        <v>114009.18282931123</v>
      </c>
      <c r="J222" s="683"/>
      <c r="K222" s="688">
        <f>F222*'Company Gas Prices'!E222</f>
        <v>149321.63851645519</v>
      </c>
    </row>
    <row r="223" spans="1:12">
      <c r="A223" s="50">
        <v>12</v>
      </c>
      <c r="B223" s="54">
        <v>42705</v>
      </c>
      <c r="C223" s="47">
        <f t="shared" si="21"/>
        <v>7520.6351461639979</v>
      </c>
      <c r="D223" s="51">
        <f>SUM(C212:C223)</f>
        <v>200177.38677075368</v>
      </c>
      <c r="E223" s="44">
        <f t="shared" si="22"/>
        <v>193</v>
      </c>
      <c r="F223" s="673">
        <f>C223*'Revenues &amp; Expenses'!N210</f>
        <v>2207.8514456955045</v>
      </c>
      <c r="G223" s="674">
        <f>SUM(F212:F223)</f>
        <v>60601.786407216001</v>
      </c>
      <c r="H223" s="51">
        <f>D223</f>
        <v>200177.38677075368</v>
      </c>
      <c r="I223" s="673">
        <f>F223*'Company Power Prices'!C223</f>
        <v>113339.87435606361</v>
      </c>
      <c r="J223" s="683">
        <f>SUM(I212:I223)/SUM(F212:F223)</f>
        <v>118.93629499566842</v>
      </c>
      <c r="K223" s="688">
        <f>F223*'Company Gas Prices'!E223</f>
        <v>148592.56630327515</v>
      </c>
      <c r="L223" s="683">
        <f>SUM(K212:K223)/SUM(F212:F223)</f>
        <v>67.171966355848539</v>
      </c>
    </row>
    <row r="224" spans="1:12">
      <c r="A224" s="50">
        <v>1</v>
      </c>
      <c r="B224" s="54">
        <v>42736</v>
      </c>
      <c r="C224" s="47">
        <f t="shared" ref="C224:C235" si="23">VLOOKUP(A236,$A$5:$T$16,20)</f>
        <v>14369.033868843107</v>
      </c>
      <c r="E224" s="44">
        <f t="shared" si="22"/>
        <v>194</v>
      </c>
      <c r="F224" s="673">
        <f>C224*'Revenues &amp; Expenses'!N211</f>
        <v>4192.7688130856768</v>
      </c>
      <c r="I224" s="673">
        <f>F224*'Company Power Prices'!C224</f>
        <v>202264.7045556753</v>
      </c>
      <c r="J224" s="683"/>
      <c r="K224" s="688">
        <f>F224*'Company Gas Prices'!E224</f>
        <v>284763.03898490471</v>
      </c>
    </row>
    <row r="225" spans="1:12">
      <c r="A225" s="50">
        <v>2</v>
      </c>
      <c r="B225" s="54">
        <v>42767</v>
      </c>
      <c r="C225" s="47">
        <f t="shared" si="23"/>
        <v>451.6582285288888</v>
      </c>
      <c r="E225" s="44">
        <f t="shared" si="22"/>
        <v>195</v>
      </c>
      <c r="F225" s="673">
        <f>C225*'Revenues &amp; Expenses'!N212</f>
        <v>130.99106154569799</v>
      </c>
      <c r="I225" s="673">
        <f>F225*'Company Power Prices'!C225</f>
        <v>5585.8876032926437</v>
      </c>
      <c r="J225" s="683"/>
      <c r="K225" s="688">
        <f>F225*'Company Gas Prices'!E225</f>
        <v>8905.3987986433785</v>
      </c>
    </row>
    <row r="226" spans="1:12">
      <c r="A226" s="50">
        <v>3</v>
      </c>
      <c r="B226" s="54">
        <v>42795</v>
      </c>
      <c r="C226" s="47">
        <f t="shared" si="23"/>
        <v>451.6582285288888</v>
      </c>
      <c r="E226" s="44">
        <f t="shared" si="22"/>
        <v>196</v>
      </c>
      <c r="F226" s="673">
        <f>C226*'Revenues &amp; Expenses'!N213</f>
        <v>130.27347704882374</v>
      </c>
      <c r="I226" s="673">
        <f>F226*'Company Power Prices'!C226</f>
        <v>5555.2874516631637</v>
      </c>
      <c r="J226" s="683"/>
      <c r="K226" s="688">
        <f>F226*'Company Gas Prices'!E226</f>
        <v>8865.3779001448002</v>
      </c>
    </row>
    <row r="227" spans="1:12">
      <c r="A227" s="50">
        <v>4</v>
      </c>
      <c r="B227" s="54">
        <v>42826</v>
      </c>
      <c r="C227" s="47">
        <f t="shared" si="23"/>
        <v>6578.0621451097768</v>
      </c>
      <c r="E227" s="44">
        <f t="shared" si="22"/>
        <v>197</v>
      </c>
      <c r="F227" s="673">
        <f>C227*'Revenues &amp; Expenses'!N214</f>
        <v>1885.8325918669163</v>
      </c>
      <c r="I227" s="673">
        <f>F227*'Company Power Prices'!C227</f>
        <v>89146.372491027039</v>
      </c>
      <c r="J227" s="683"/>
      <c r="K227" s="688">
        <f>F227*'Company Gas Prices'!E227</f>
        <v>131077.50576740911</v>
      </c>
    </row>
    <row r="228" spans="1:12">
      <c r="A228" s="50">
        <v>5</v>
      </c>
      <c r="B228" s="54">
        <v>42856</v>
      </c>
      <c r="C228" s="47">
        <f t="shared" si="23"/>
        <v>17594.758442943108</v>
      </c>
      <c r="E228" s="44">
        <f t="shared" si="22"/>
        <v>198</v>
      </c>
      <c r="F228" s="673">
        <f>C228*'Revenues &amp; Expenses'!N215</f>
        <v>5014.5631165134355</v>
      </c>
      <c r="I228" s="673">
        <f>F228*'Company Power Prices'!C228</f>
        <v>301542.88827103475</v>
      </c>
      <c r="J228" s="683"/>
      <c r="K228" s="688">
        <f>F228*'Company Gas Prices'!E228</f>
        <v>341077.66062669276</v>
      </c>
    </row>
    <row r="229" spans="1:12">
      <c r="A229" s="50">
        <v>6</v>
      </c>
      <c r="B229" s="54">
        <v>42887</v>
      </c>
      <c r="C229" s="47">
        <f t="shared" si="23"/>
        <v>33747.421158630663</v>
      </c>
      <c r="E229" s="44">
        <f t="shared" si="22"/>
        <v>199</v>
      </c>
      <c r="F229" s="673">
        <f>C229*'Revenues &amp; Expenses'!N216</f>
        <v>9559.8305761677275</v>
      </c>
      <c r="I229" s="673">
        <f>F229*'Company Power Prices'!C229</f>
        <v>1053255.98471202</v>
      </c>
      <c r="J229" s="683"/>
      <c r="K229" s="688">
        <f>F229*'Company Gas Prices'!E229</f>
        <v>650214.73464349564</v>
      </c>
    </row>
    <row r="230" spans="1:12">
      <c r="A230" s="50">
        <v>7</v>
      </c>
      <c r="B230" s="54">
        <v>42917</v>
      </c>
      <c r="C230" s="47">
        <f t="shared" si="23"/>
        <v>51980.455053554215</v>
      </c>
      <c r="E230" s="44">
        <f t="shared" si="22"/>
        <v>200</v>
      </c>
      <c r="F230" s="673">
        <f>C230*'Revenues &amp; Expenses'!N217</f>
        <v>14638.447178355493</v>
      </c>
      <c r="I230" s="673">
        <f>F230*'Company Power Prices'!C230</f>
        <v>2636508.2542048786</v>
      </c>
      <c r="J230" s="683"/>
      <c r="K230" s="688">
        <f>F230*'Company Gas Prices'!E230</f>
        <v>991227.54432602134</v>
      </c>
    </row>
    <row r="231" spans="1:12">
      <c r="A231" s="50">
        <v>8</v>
      </c>
      <c r="B231" s="54">
        <v>42948</v>
      </c>
      <c r="C231" s="47">
        <f t="shared" si="23"/>
        <v>34653.636701711999</v>
      </c>
      <c r="E231" s="44">
        <f t="shared" si="22"/>
        <v>201</v>
      </c>
      <c r="F231" s="673">
        <f>C231*'Revenues &amp; Expenses'!N218</f>
        <v>9699.833638418364</v>
      </c>
      <c r="I231" s="673">
        <f>F231*'Company Power Prices'!C231</f>
        <v>1747022.1493108633</v>
      </c>
      <c r="J231" s="683"/>
      <c r="K231" s="688">
        <f>F231*'Company Gas Prices'!E231</f>
        <v>657474.18140158721</v>
      </c>
    </row>
    <row r="232" spans="1:12">
      <c r="A232" s="50">
        <v>9</v>
      </c>
      <c r="B232" s="54">
        <v>42979</v>
      </c>
      <c r="C232" s="47">
        <f t="shared" si="23"/>
        <v>21504.704764473772</v>
      </c>
      <c r="E232" s="44">
        <f t="shared" si="22"/>
        <v>202</v>
      </c>
      <c r="F232" s="673">
        <f>C232*'Revenues &amp; Expenses'!N219</f>
        <v>5982.8739772667477</v>
      </c>
      <c r="I232" s="673">
        <f>F232*'Company Power Prices'!C232</f>
        <v>359770.74320304743</v>
      </c>
      <c r="J232" s="683"/>
      <c r="K232" s="688">
        <f>F232*'Company Gas Prices'!E232</f>
        <v>408565.79104292893</v>
      </c>
    </row>
    <row r="233" spans="1:12">
      <c r="A233" s="50">
        <v>10</v>
      </c>
      <c r="B233" s="54">
        <v>43009</v>
      </c>
      <c r="C233" s="47">
        <f t="shared" si="23"/>
        <v>2945.6982172364442</v>
      </c>
      <c r="E233" s="44">
        <f t="shared" si="22"/>
        <v>203</v>
      </c>
      <c r="F233" s="673">
        <f>C233*'Revenues &amp; Expenses'!N220</f>
        <v>814.72493363038438</v>
      </c>
      <c r="I233" s="673">
        <f>F233*'Company Power Prices'!C233</f>
        <v>40501.230996808212</v>
      </c>
      <c r="J233" s="683"/>
      <c r="K233" s="688">
        <f>F233*'Company Gas Prices'!E233</f>
        <v>55383.678787219251</v>
      </c>
    </row>
    <row r="234" spans="1:12">
      <c r="A234" s="50">
        <v>11</v>
      </c>
      <c r="B234" s="54">
        <v>43040</v>
      </c>
      <c r="C234" s="47">
        <f t="shared" si="23"/>
        <v>7349.7116207199988</v>
      </c>
      <c r="E234" s="44">
        <f t="shared" si="22"/>
        <v>204</v>
      </c>
      <c r="F234" s="673">
        <f>C234*'Revenues &amp; Expenses'!N221</f>
        <v>2020.4805838853781</v>
      </c>
      <c r="I234" s="673">
        <f>F234*'Company Power Prices'!C234</f>
        <v>103711.73611209162</v>
      </c>
      <c r="J234" s="683"/>
      <c r="K234" s="688">
        <f>F234*'Company Gas Prices'!E234</f>
        <v>137487.3512595057</v>
      </c>
    </row>
    <row r="235" spans="1:12">
      <c r="A235" s="50">
        <v>12</v>
      </c>
      <c r="B235" s="54">
        <v>43070</v>
      </c>
      <c r="C235" s="47">
        <f t="shared" si="23"/>
        <v>7349.7116207199988</v>
      </c>
      <c r="D235" s="51">
        <f>SUM(C224:C235)</f>
        <v>198976.51005100083</v>
      </c>
      <c r="E235" s="44">
        <f t="shared" si="22"/>
        <v>205</v>
      </c>
      <c r="F235" s="673">
        <f>C235*'Revenues &amp; Expenses'!N222</f>
        <v>2008.6384281911442</v>
      </c>
      <c r="G235" s="674">
        <f>SUM(F224:F235)</f>
        <v>56079.258375975791</v>
      </c>
      <c r="H235" s="51">
        <f>D235</f>
        <v>198976.51005100083</v>
      </c>
      <c r="I235" s="673">
        <f>F235*'Company Power Prices'!C235</f>
        <v>103103.87551884755</v>
      </c>
      <c r="J235" s="683">
        <f>SUM(I224:I235)/SUM(F224:F235)</f>
        <v>118.54595276315607</v>
      </c>
      <c r="K235" s="688">
        <f>F235*'Company Gas Prices'!E235</f>
        <v>136819.38474526888</v>
      </c>
      <c r="L235" s="683">
        <f>SUM(K224:K235)/SUM(F224:F235)</f>
        <v>67.972754253055768</v>
      </c>
    </row>
    <row r="236" spans="1:12">
      <c r="A236" s="50">
        <v>1</v>
      </c>
      <c r="B236" s="54">
        <v>43101</v>
      </c>
      <c r="C236" s="47">
        <f t="shared" ref="C236:C247" si="24">VLOOKUP(A248,$A$5:$U$16,21)</f>
        <v>14846.473856573333</v>
      </c>
      <c r="E236" s="44">
        <f t="shared" si="22"/>
        <v>206</v>
      </c>
      <c r="F236" s="673">
        <f>C236*'Revenues &amp; Expenses'!N223</f>
        <v>4032.8970572747917</v>
      </c>
      <c r="I236" s="673">
        <f>F236*'Company Power Prices'!C236</f>
        <v>194512.40372989862</v>
      </c>
      <c r="J236" s="683"/>
      <c r="K236" s="688">
        <f>F236*'Company Gas Prices'!E236</f>
        <v>277193.38562318106</v>
      </c>
    </row>
    <row r="237" spans="1:12">
      <c r="A237" s="50">
        <v>2</v>
      </c>
      <c r="B237" s="54">
        <v>43132</v>
      </c>
      <c r="C237" s="47">
        <f t="shared" si="24"/>
        <v>436.6979534151111</v>
      </c>
      <c r="E237" s="44">
        <f t="shared" si="22"/>
        <v>207</v>
      </c>
      <c r="F237" s="673">
        <f>C237*'Revenues &amp; Expenses'!N224</f>
        <v>117.90648531539991</v>
      </c>
      <c r="I237" s="673">
        <f>F237*'Company Power Prices'!C237</f>
        <v>5026.9145364383903</v>
      </c>
      <c r="J237" s="683"/>
      <c r="K237" s="688">
        <f>F237*'Company Gas Prices'!E237</f>
        <v>8112.2024689797536</v>
      </c>
    </row>
    <row r="238" spans="1:12">
      <c r="A238" s="50">
        <v>3</v>
      </c>
      <c r="B238" s="54">
        <v>43160</v>
      </c>
      <c r="C238" s="47">
        <f t="shared" si="24"/>
        <v>436.6979534151111</v>
      </c>
      <c r="E238" s="44">
        <f t="shared" si="22"/>
        <v>208</v>
      </c>
      <c r="F238" s="673">
        <f>C238*'Revenues &amp; Expenses'!N225</f>
        <v>117.26163601117608</v>
      </c>
      <c r="I238" s="673">
        <f>F238*'Company Power Prices'!C238</f>
        <v>4999.4215420323271</v>
      </c>
      <c r="J238" s="683"/>
      <c r="K238" s="688">
        <f>F238*'Company Gas Prices'!E238</f>
        <v>8075.9371139382001</v>
      </c>
    </row>
    <row r="239" spans="1:12">
      <c r="A239" s="50">
        <v>4</v>
      </c>
      <c r="B239" s="54">
        <v>43191</v>
      </c>
      <c r="C239" s="47">
        <f t="shared" si="24"/>
        <v>6815.6151663817773</v>
      </c>
      <c r="E239" s="44">
        <f t="shared" si="22"/>
        <v>209</v>
      </c>
      <c r="F239" s="673">
        <f>C239*'Revenues &amp; Expenses'!N226</f>
        <v>1819.0442831932849</v>
      </c>
      <c r="I239" s="673">
        <f>F239*'Company Power Prices'!C239</f>
        <v>86070.214180138893</v>
      </c>
      <c r="J239" s="683"/>
      <c r="K239" s="688">
        <f>F239*'Company Gas Prices'!E239</f>
        <v>127928.46626837549</v>
      </c>
    </row>
    <row r="240" spans="1:12">
      <c r="A240" s="50">
        <v>5</v>
      </c>
      <c r="B240" s="54">
        <v>43221</v>
      </c>
      <c r="C240" s="47">
        <f t="shared" si="24"/>
        <v>17179.008032965328</v>
      </c>
      <c r="E240" s="44">
        <f t="shared" si="22"/>
        <v>210</v>
      </c>
      <c r="F240" s="673">
        <f>C240*'Revenues &amp; Expenses'!N227</f>
        <v>4558.1132750617289</v>
      </c>
      <c r="I240" s="673">
        <f>F240*'Company Power Prices'!C240</f>
        <v>274570.48592927982</v>
      </c>
      <c r="J240" s="683"/>
      <c r="K240" s="688">
        <f>F240*'Company Gas Prices'!E240</f>
        <v>313781.00072349946</v>
      </c>
    </row>
    <row r="241" spans="1:12">
      <c r="A241" s="50">
        <v>6</v>
      </c>
      <c r="B241" s="54">
        <v>43252</v>
      </c>
      <c r="C241" s="47">
        <f t="shared" si="24"/>
        <v>32295.255862834219</v>
      </c>
      <c r="E241" s="44">
        <f t="shared" si="22"/>
        <v>211</v>
      </c>
      <c r="F241" s="673">
        <f>C241*'Revenues &amp; Expenses'!N228</f>
        <v>8517.0638525280265</v>
      </c>
      <c r="I241" s="673">
        <f>F241*'Company Power Prices'!C241</f>
        <v>940619.60134493106</v>
      </c>
      <c r="J241" s="683"/>
      <c r="K241" s="688">
        <f>F241*'Company Gas Prices'!E241</f>
        <v>586313.06093675061</v>
      </c>
    </row>
    <row r="242" spans="1:12">
      <c r="A242" s="50">
        <v>7</v>
      </c>
      <c r="B242" s="54">
        <v>43282</v>
      </c>
      <c r="C242" s="47">
        <f t="shared" si="24"/>
        <v>53178.437641077777</v>
      </c>
      <c r="E242" s="44">
        <f t="shared" si="22"/>
        <v>212</v>
      </c>
      <c r="F242" s="673">
        <f>C242*'Revenues &amp; Expenses'!N229</f>
        <v>13942.359214055617</v>
      </c>
      <c r="I242" s="673">
        <f>F242*'Company Power Prices'!C242</f>
        <v>2519896.2803813699</v>
      </c>
      <c r="J242" s="683"/>
      <c r="K242" s="688">
        <f>F242*'Company Gas Prices'!E242</f>
        <v>955613.84210631542</v>
      </c>
    </row>
    <row r="243" spans="1:12">
      <c r="A243" s="50">
        <v>8</v>
      </c>
      <c r="B243" s="54">
        <v>43313</v>
      </c>
      <c r="C243" s="47">
        <f t="shared" si="24"/>
        <v>35452.291761376</v>
      </c>
      <c r="E243" s="44">
        <f t="shared" si="22"/>
        <v>213</v>
      </c>
      <c r="F243" s="673">
        <f>C243*'Revenues &amp; Expenses'!N230</f>
        <v>9238.6789467096023</v>
      </c>
      <c r="I243" s="673">
        <f>F243*'Company Power Prices'!C243</f>
        <v>1669768.5345806878</v>
      </c>
      <c r="J243" s="683"/>
      <c r="K243" s="688">
        <f>F243*'Company Gas Prices'!E243</f>
        <v>633867.48690329574</v>
      </c>
    </row>
    <row r="244" spans="1:12">
      <c r="A244" s="50">
        <v>9</v>
      </c>
      <c r="B244" s="54">
        <v>43344</v>
      </c>
      <c r="C244" s="47">
        <f t="shared" si="24"/>
        <v>20996.565374281774</v>
      </c>
      <c r="E244" s="44">
        <f t="shared" si="22"/>
        <v>214</v>
      </c>
      <c r="F244" s="673">
        <f>C244*'Revenues &amp; Expenses'!N231</f>
        <v>5438.4990034749453</v>
      </c>
      <c r="I244" s="673">
        <f>F244*'Company Power Prices'!C244</f>
        <v>327602.94095363334</v>
      </c>
      <c r="J244" s="683"/>
      <c r="K244" s="688">
        <f>F244*'Company Gas Prices'!E244</f>
        <v>375904.91999723279</v>
      </c>
    </row>
    <row r="245" spans="1:12">
      <c r="A245" s="50">
        <v>10</v>
      </c>
      <c r="B245" s="54">
        <v>43374</v>
      </c>
      <c r="C245" s="47">
        <f t="shared" si="24"/>
        <v>3064.9533809657773</v>
      </c>
      <c r="E245" s="44">
        <f t="shared" si="22"/>
        <v>215</v>
      </c>
      <c r="F245" s="673">
        <f>C245*'Revenues &amp; Expenses'!N232</f>
        <v>789.23301634083919</v>
      </c>
      <c r="I245" s="673">
        <f>F245*'Company Power Prices'!C245</f>
        <v>39230.386546415386</v>
      </c>
      <c r="J245" s="683"/>
      <c r="K245" s="688">
        <f>F245*'Company Gas Prices'!E245</f>
        <v>54307.315938740037</v>
      </c>
    </row>
    <row r="246" spans="1:12">
      <c r="A246" s="50">
        <v>11</v>
      </c>
      <c r="B246" s="54">
        <v>43405</v>
      </c>
      <c r="C246" s="47">
        <f t="shared" si="24"/>
        <v>7342.8675639511112</v>
      </c>
      <c r="E246" s="44">
        <f t="shared" si="22"/>
        <v>216</v>
      </c>
      <c r="F246" s="673">
        <f>C246*'Revenues &amp; Expenses'!N233</f>
        <v>1879.3731826230355</v>
      </c>
      <c r="I246" s="673">
        <f>F246*'Company Power Prices'!C246</f>
        <v>96481.246118530529</v>
      </c>
      <c r="J246" s="683"/>
      <c r="K246" s="688">
        <f>F246*'Company Gas Prices'!E246</f>
        <v>129452.29822086883</v>
      </c>
    </row>
    <row r="247" spans="1:12">
      <c r="A247" s="50">
        <v>12</v>
      </c>
      <c r="B247" s="54">
        <v>43435</v>
      </c>
      <c r="C247" s="47">
        <f t="shared" si="24"/>
        <v>7342.8675639511112</v>
      </c>
      <c r="D247" s="51">
        <f>SUM(C236:C247)</f>
        <v>199387.73211118847</v>
      </c>
      <c r="E247" s="44">
        <f t="shared" si="22"/>
        <v>217</v>
      </c>
      <c r="F247" s="673">
        <f>C247*'Revenues &amp; Expenses'!N234</f>
        <v>1868.3760996051731</v>
      </c>
      <c r="G247" s="674">
        <f>SUM(F236:F247)</f>
        <v>52318.80605219362</v>
      </c>
      <c r="H247" s="51">
        <f>D247</f>
        <v>199387.73211118847</v>
      </c>
      <c r="I247" s="673">
        <f>F247*'Company Power Prices'!C247</f>
        <v>95916.689657343057</v>
      </c>
      <c r="J247" s="683">
        <f>SUM(I236:I247)/SUM(F236:F247)</f>
        <v>119.54965320234889</v>
      </c>
      <c r="K247" s="688">
        <f>F247*'Company Gas Prices'!E247</f>
        <v>128826.50363254745</v>
      </c>
      <c r="L247" s="683">
        <f>SUM(K236:K247)/SUM(F236:F247)</f>
        <v>68.796990824732518</v>
      </c>
    </row>
    <row r="248" spans="1:12">
      <c r="A248" s="50">
        <v>1</v>
      </c>
      <c r="B248" s="54">
        <v>43466</v>
      </c>
      <c r="C248" s="47">
        <f t="shared" ref="C248:C259" si="25">VLOOKUP(A260,$A$5:$V$16,22)</f>
        <v>14724.461522225774</v>
      </c>
      <c r="E248" s="44">
        <f t="shared" si="22"/>
        <v>218</v>
      </c>
      <c r="F248" s="673">
        <f>C248*'Revenues &amp; Expenses'!N235</f>
        <v>3723.957461904678</v>
      </c>
      <c r="I248" s="673">
        <f>F248*'Company Power Prices'!C248</f>
        <v>179469.34303850078</v>
      </c>
      <c r="J248" s="683"/>
      <c r="K248" s="688">
        <f>F248*'Company Gas Prices'!E248</f>
        <v>259077.55607425398</v>
      </c>
    </row>
    <row r="249" spans="1:12">
      <c r="A249" s="50">
        <v>2</v>
      </c>
      <c r="B249" s="54">
        <v>43497</v>
      </c>
      <c r="C249" s="47">
        <f t="shared" si="25"/>
        <v>421.95075555733325</v>
      </c>
      <c r="E249" s="44">
        <f t="shared" si="22"/>
        <v>219</v>
      </c>
      <c r="F249" s="673">
        <f>C249*'Revenues &amp; Expenses'!N236</f>
        <v>106.07037615517771</v>
      </c>
      <c r="I249" s="673">
        <f>F249*'Company Power Prices'!C249</f>
        <v>4521.4478095818049</v>
      </c>
      <c r="J249" s="683"/>
      <c r="K249" s="688">
        <f>F249*'Company Gas Prices'!E249</f>
        <v>7386.8778924402213</v>
      </c>
    </row>
    <row r="250" spans="1:12">
      <c r="A250" s="50">
        <v>3</v>
      </c>
      <c r="B250" s="54">
        <v>43525</v>
      </c>
      <c r="C250" s="47">
        <f t="shared" si="25"/>
        <v>421.95075555733325</v>
      </c>
      <c r="E250" s="44">
        <f t="shared" si="22"/>
        <v>220</v>
      </c>
      <c r="F250" s="673">
        <f>C250*'Revenues &amp; Expenses'!N237</f>
        <v>105.49121076153102</v>
      </c>
      <c r="I250" s="673">
        <f>F250*'Company Power Prices'!C250</f>
        <v>4496.7598034163666</v>
      </c>
      <c r="J250" s="683"/>
      <c r="K250" s="688">
        <f>F250*'Company Gas Prices'!E250</f>
        <v>7354.0292068909657</v>
      </c>
    </row>
    <row r="251" spans="1:12">
      <c r="A251" s="50">
        <v>4</v>
      </c>
      <c r="B251" s="54">
        <v>43556</v>
      </c>
      <c r="C251" s="47">
        <f t="shared" si="25"/>
        <v>7063.139749375111</v>
      </c>
      <c r="E251" s="44">
        <f t="shared" si="22"/>
        <v>221</v>
      </c>
      <c r="F251" s="673">
        <f>C251*'Revenues &amp; Expenses'!N238</f>
        <v>1755.1735174213422</v>
      </c>
      <c r="I251" s="673">
        <f>F251*'Company Power Prices'!C251</f>
        <v>83102.00770598567</v>
      </c>
      <c r="J251" s="683"/>
      <c r="K251" s="688">
        <f>F251*'Company Gas Prices'!E251</f>
        <v>124916.25728900247</v>
      </c>
    </row>
    <row r="252" spans="1:12">
      <c r="A252" s="50">
        <v>5</v>
      </c>
      <c r="B252" s="54">
        <v>43586</v>
      </c>
      <c r="C252" s="47">
        <f t="shared" si="25"/>
        <v>16567.654377571111</v>
      </c>
      <c r="E252" s="44">
        <f t="shared" si="22"/>
        <v>222</v>
      </c>
      <c r="F252" s="673">
        <f>C252*'Revenues &amp; Expenses'!N239</f>
        <v>4092.9486522922052</v>
      </c>
      <c r="I252" s="673">
        <f>F252*'Company Power Prices'!C252</f>
        <v>236356.55239088836</v>
      </c>
      <c r="J252" s="683"/>
      <c r="K252" s="688">
        <f>F252*'Company Gas Prices'!E252</f>
        <v>285217.13222652674</v>
      </c>
    </row>
    <row r="253" spans="1:12">
      <c r="A253" s="50">
        <v>6</v>
      </c>
      <c r="B253" s="54">
        <v>43617</v>
      </c>
      <c r="C253" s="47">
        <f t="shared" si="25"/>
        <v>29151.958772611109</v>
      </c>
      <c r="E253" s="44">
        <f t="shared" si="22"/>
        <v>223</v>
      </c>
      <c r="F253" s="673">
        <f>C253*'Revenues &amp; Expenses'!N240</f>
        <v>7158.3262097824172</v>
      </c>
      <c r="I253" s="673">
        <f>F253*'Company Power Prices'!C253</f>
        <v>745126.73811143602</v>
      </c>
      <c r="J253" s="683"/>
      <c r="K253" s="688">
        <f>F253*'Company Gas Prices'!E253</f>
        <v>498839.29848456959</v>
      </c>
    </row>
    <row r="254" spans="1:12">
      <c r="A254" s="50">
        <v>7</v>
      </c>
      <c r="B254" s="54">
        <v>43647</v>
      </c>
      <c r="C254" s="47">
        <f t="shared" si="25"/>
        <v>51855.341118367105</v>
      </c>
      <c r="E254" s="44">
        <f t="shared" si="22"/>
        <v>224</v>
      </c>
      <c r="F254" s="673">
        <f>C254*'Revenues &amp; Expenses'!N241</f>
        <v>12658.753774828287</v>
      </c>
      <c r="I254" s="673">
        <f>F254*'Company Power Prices'!C254</f>
        <v>2055267.6271208439</v>
      </c>
      <c r="J254" s="683"/>
      <c r="K254" s="688">
        <f>F254*'Company Gas Prices'!E254</f>
        <v>878378.02604557015</v>
      </c>
    </row>
    <row r="255" spans="1:12">
      <c r="A255" s="50">
        <v>8</v>
      </c>
      <c r="B255" s="54">
        <v>43678</v>
      </c>
      <c r="C255" s="47">
        <f t="shared" si="25"/>
        <v>34570.227411915999</v>
      </c>
      <c r="E255" s="44">
        <f t="shared" si="22"/>
        <v>225</v>
      </c>
      <c r="F255" s="673">
        <f>C255*'Revenues &amp; Expenses'!N242</f>
        <v>8388.2022180277272</v>
      </c>
      <c r="I255" s="673">
        <f>F255*'Company Power Prices'!C255</f>
        <v>1361903.4523554039</v>
      </c>
      <c r="J255" s="683"/>
      <c r="K255" s="688">
        <f>F255*'Company Gas Prices'!E255</f>
        <v>582650.63453312288</v>
      </c>
    </row>
    <row r="256" spans="1:12">
      <c r="A256" s="50">
        <v>9</v>
      </c>
      <c r="B256" s="54">
        <v>43709</v>
      </c>
      <c r="C256" s="47">
        <f t="shared" si="25"/>
        <v>20249.355351241335</v>
      </c>
      <c r="E256" s="44">
        <f t="shared" si="22"/>
        <v>226</v>
      </c>
      <c r="F256" s="673">
        <f>C256*'Revenues &amp; Expenses'!N243</f>
        <v>4883.68251616418</v>
      </c>
      <c r="I256" s="673">
        <f>F256*'Company Power Prices'!C256</f>
        <v>282019.26301855227</v>
      </c>
      <c r="J256" s="683"/>
      <c r="K256" s="688">
        <f>F256*'Company Gas Prices'!E256</f>
        <v>341719.43314826756</v>
      </c>
    </row>
    <row r="257" spans="1:12">
      <c r="A257" s="50">
        <v>10</v>
      </c>
      <c r="B257" s="54">
        <v>43739</v>
      </c>
      <c r="C257" s="47">
        <f t="shared" si="25"/>
        <v>3045.4302136284446</v>
      </c>
      <c r="E257" s="44">
        <f t="shared" si="22"/>
        <v>227</v>
      </c>
      <c r="F257" s="673">
        <f>C257*'Revenues &amp; Expenses'!N244</f>
        <v>730.19632437615348</v>
      </c>
      <c r="I257" s="673">
        <f>F257*'Company Power Prices'!C257</f>
        <v>36305.72798908627</v>
      </c>
      <c r="J257" s="683"/>
      <c r="K257" s="688">
        <f>F257*'Company Gas Prices'!E257</f>
        <v>50868.812976087313</v>
      </c>
    </row>
    <row r="258" spans="1:12">
      <c r="A258" s="50">
        <v>11</v>
      </c>
      <c r="B258" s="54">
        <v>43770</v>
      </c>
      <c r="C258" s="47">
        <f t="shared" si="25"/>
        <v>7342.8675639511112</v>
      </c>
      <c r="E258" s="44">
        <f t="shared" si="22"/>
        <v>228</v>
      </c>
      <c r="F258" s="673">
        <f>C258*'Revenues &amp; Expenses'!N245</f>
        <v>1749.9553823735469</v>
      </c>
      <c r="I258" s="673">
        <f>F258*'Company Power Prices'!C258</f>
        <v>89829.583773212842</v>
      </c>
      <c r="J258" s="683"/>
      <c r="K258" s="688">
        <f>F258*'Company Gas Prices'!E258</f>
        <v>122036.282645119</v>
      </c>
    </row>
    <row r="259" spans="1:12">
      <c r="A259" s="50">
        <v>12</v>
      </c>
      <c r="B259" s="54">
        <v>43800</v>
      </c>
      <c r="C259" s="47">
        <f t="shared" si="25"/>
        <v>7342.8675639511112</v>
      </c>
      <c r="D259" s="51">
        <f>SUM(C248:C259)</f>
        <v>192757.20515595292</v>
      </c>
      <c r="E259" s="44">
        <f t="shared" si="22"/>
        <v>229</v>
      </c>
      <c r="F259" s="673">
        <f>C259*'Revenues &amp; Expenses'!N246</f>
        <v>1739.7323757867061</v>
      </c>
      <c r="G259" s="674">
        <f>SUM(F248:F259)</f>
        <v>47092.490019873956</v>
      </c>
      <c r="H259" s="51">
        <f>D259</f>
        <v>192757.20515595292</v>
      </c>
      <c r="I259" s="673">
        <f>F259*'Company Power Prices'!C259</f>
        <v>89304.811292807572</v>
      </c>
      <c r="J259" s="683">
        <f>SUM(I248:I259)/SUM(F248:F259)</f>
        <v>109.73518945863431</v>
      </c>
      <c r="K259" s="688">
        <f>F259*'Company Gas Prices'!E259</f>
        <v>121449.29718278302</v>
      </c>
      <c r="L259" s="683">
        <f>SUM(K248:K259)/SUM(F248:F259)</f>
        <v>69.647912784404781</v>
      </c>
    </row>
    <row r="260" spans="1:12">
      <c r="A260" s="50">
        <v>1</v>
      </c>
      <c r="B260" s="54">
        <v>43831</v>
      </c>
      <c r="G260" s="678">
        <f>SUM(G25:G259)</f>
        <v>2024948.2074460902</v>
      </c>
      <c r="H260" s="678">
        <f>SUM(H25:H259)</f>
        <v>3915555.7561831716</v>
      </c>
      <c r="J260" s="683"/>
    </row>
    <row r="261" spans="1:12">
      <c r="A261" s="50">
        <v>2</v>
      </c>
      <c r="B261" s="54">
        <v>43862</v>
      </c>
      <c r="H261" s="673">
        <f>SUM(D25:D259)</f>
        <v>3915555.7561831716</v>
      </c>
      <c r="J261" s="683"/>
    </row>
    <row r="262" spans="1:12">
      <c r="A262" s="50">
        <v>3</v>
      </c>
      <c r="B262" s="54">
        <v>43891</v>
      </c>
      <c r="J262" s="683"/>
    </row>
    <row r="263" spans="1:12">
      <c r="A263" s="50">
        <v>4</v>
      </c>
      <c r="B263" s="54">
        <v>43922</v>
      </c>
      <c r="J263" s="683"/>
    </row>
    <row r="264" spans="1:12">
      <c r="A264" s="50">
        <v>5</v>
      </c>
      <c r="B264" s="54">
        <v>43952</v>
      </c>
      <c r="J264" s="683"/>
    </row>
    <row r="265" spans="1:12">
      <c r="A265" s="50">
        <v>6</v>
      </c>
      <c r="B265" s="54">
        <v>43983</v>
      </c>
      <c r="J265" s="683"/>
    </row>
    <row r="266" spans="1:12">
      <c r="A266" s="50">
        <v>7</v>
      </c>
      <c r="B266" s="54">
        <v>44013</v>
      </c>
      <c r="J266" s="683"/>
    </row>
    <row r="267" spans="1:12">
      <c r="A267" s="50">
        <v>8</v>
      </c>
      <c r="B267" s="54">
        <v>44044</v>
      </c>
      <c r="J267" s="683"/>
    </row>
    <row r="268" spans="1:12">
      <c r="A268" s="50">
        <v>9</v>
      </c>
      <c r="B268" s="54">
        <v>44075</v>
      </c>
      <c r="J268" s="683"/>
    </row>
    <row r="269" spans="1:12">
      <c r="A269" s="50">
        <v>10</v>
      </c>
      <c r="B269" s="54">
        <v>44105</v>
      </c>
      <c r="J269" s="683"/>
    </row>
    <row r="270" spans="1:12">
      <c r="A270" s="50">
        <v>11</v>
      </c>
      <c r="B270" s="54">
        <v>44136</v>
      </c>
      <c r="J270" s="683"/>
    </row>
    <row r="271" spans="1:12">
      <c r="A271" s="50">
        <v>12</v>
      </c>
      <c r="B271" s="54">
        <v>44166</v>
      </c>
      <c r="G271" s="674"/>
      <c r="H271" s="51"/>
      <c r="J271" s="683"/>
      <c r="L271" s="683"/>
    </row>
    <row r="272" spans="1:12">
      <c r="A272" s="50">
        <v>1</v>
      </c>
      <c r="B272" s="54">
        <v>44197</v>
      </c>
      <c r="C272" s="47">
        <f>VLOOKUP(A272,$A$5:$W$16,23)</f>
        <v>0</v>
      </c>
      <c r="J272" s="683"/>
    </row>
    <row r="273" spans="1:12">
      <c r="A273" s="50">
        <v>2</v>
      </c>
      <c r="B273" s="54">
        <v>44228</v>
      </c>
      <c r="C273" s="47">
        <f t="shared" ref="C273:C283" si="26">VLOOKUP(A273,$A$5:$W$16,23)</f>
        <v>0</v>
      </c>
      <c r="J273" s="683"/>
    </row>
    <row r="274" spans="1:12">
      <c r="A274" s="50">
        <v>3</v>
      </c>
      <c r="B274" s="54">
        <v>44256</v>
      </c>
      <c r="C274" s="47">
        <f t="shared" si="26"/>
        <v>0</v>
      </c>
      <c r="J274" s="683"/>
    </row>
    <row r="275" spans="1:12">
      <c r="A275" s="50">
        <v>4</v>
      </c>
      <c r="B275" s="54">
        <v>44287</v>
      </c>
      <c r="C275" s="47">
        <f t="shared" si="26"/>
        <v>0</v>
      </c>
      <c r="J275" s="683"/>
    </row>
    <row r="276" spans="1:12">
      <c r="A276" s="50">
        <v>5</v>
      </c>
      <c r="B276" s="54">
        <v>44317</v>
      </c>
      <c r="C276" s="47">
        <f t="shared" si="26"/>
        <v>0</v>
      </c>
      <c r="J276" s="683"/>
    </row>
    <row r="277" spans="1:12">
      <c r="A277" s="50">
        <v>6</v>
      </c>
      <c r="B277" s="54">
        <v>44348</v>
      </c>
      <c r="C277" s="47">
        <f t="shared" si="26"/>
        <v>0</v>
      </c>
      <c r="J277" s="683"/>
    </row>
    <row r="278" spans="1:12">
      <c r="A278" s="50">
        <v>7</v>
      </c>
      <c r="B278" s="54">
        <v>44378</v>
      </c>
      <c r="C278" s="47">
        <f t="shared" si="26"/>
        <v>0</v>
      </c>
      <c r="J278" s="683"/>
    </row>
    <row r="279" spans="1:12">
      <c r="A279" s="50">
        <v>8</v>
      </c>
      <c r="B279" s="54">
        <v>44409</v>
      </c>
      <c r="C279" s="47">
        <f t="shared" si="26"/>
        <v>0</v>
      </c>
      <c r="J279" s="683"/>
    </row>
    <row r="280" spans="1:12">
      <c r="A280" s="50">
        <v>9</v>
      </c>
      <c r="B280" s="54">
        <v>44440</v>
      </c>
      <c r="C280" s="47">
        <f t="shared" si="26"/>
        <v>0</v>
      </c>
      <c r="J280" s="683"/>
    </row>
    <row r="281" spans="1:12">
      <c r="A281" s="50">
        <v>10</v>
      </c>
      <c r="B281" s="54">
        <v>44470</v>
      </c>
      <c r="C281" s="47">
        <f t="shared" si="26"/>
        <v>0</v>
      </c>
      <c r="J281" s="683"/>
    </row>
    <row r="282" spans="1:12">
      <c r="A282" s="50">
        <v>11</v>
      </c>
      <c r="B282" s="54">
        <v>44501</v>
      </c>
      <c r="C282" s="47">
        <f t="shared" si="26"/>
        <v>0</v>
      </c>
      <c r="J282" s="683"/>
    </row>
    <row r="283" spans="1:12">
      <c r="A283" s="50">
        <v>12</v>
      </c>
      <c r="B283" s="54">
        <v>44531</v>
      </c>
      <c r="C283" s="47">
        <f t="shared" si="26"/>
        <v>0</v>
      </c>
      <c r="D283" s="51">
        <f>SUM(C272:C283)</f>
        <v>0</v>
      </c>
      <c r="G283" s="674"/>
      <c r="H283" s="51"/>
      <c r="J283" s="683"/>
      <c r="L283" s="683"/>
    </row>
    <row r="284" spans="1:12">
      <c r="A284" s="50">
        <v>1</v>
      </c>
      <c r="B284" s="54">
        <v>44562</v>
      </c>
      <c r="J284" s="683"/>
    </row>
    <row r="285" spans="1:12">
      <c r="A285" s="50">
        <v>2</v>
      </c>
      <c r="B285" s="54">
        <v>44593</v>
      </c>
      <c r="J285" s="683"/>
    </row>
    <row r="286" spans="1:12">
      <c r="A286" s="50">
        <v>3</v>
      </c>
      <c r="B286" s="54">
        <v>44621</v>
      </c>
      <c r="J286" s="683"/>
    </row>
    <row r="287" spans="1:12">
      <c r="A287" s="50">
        <v>4</v>
      </c>
      <c r="B287" s="54">
        <v>44652</v>
      </c>
      <c r="J287" s="683"/>
    </row>
    <row r="288" spans="1:12">
      <c r="A288" s="50">
        <v>5</v>
      </c>
      <c r="B288" s="54">
        <v>44682</v>
      </c>
      <c r="J288" s="683"/>
    </row>
    <row r="289" spans="1:12">
      <c r="A289" s="50">
        <v>6</v>
      </c>
      <c r="B289" s="54">
        <v>44713</v>
      </c>
      <c r="J289" s="683"/>
    </row>
    <row r="290" spans="1:12">
      <c r="A290" s="50">
        <v>7</v>
      </c>
      <c r="B290" s="54">
        <v>44743</v>
      </c>
      <c r="J290" s="683"/>
    </row>
    <row r="291" spans="1:12">
      <c r="A291" s="50">
        <v>8</v>
      </c>
      <c r="B291" s="54">
        <v>44774</v>
      </c>
      <c r="J291" s="683"/>
    </row>
    <row r="292" spans="1:12">
      <c r="A292" s="50">
        <v>9</v>
      </c>
      <c r="B292" s="54">
        <v>44805</v>
      </c>
      <c r="J292" s="683"/>
    </row>
    <row r="293" spans="1:12">
      <c r="A293" s="50">
        <v>10</v>
      </c>
      <c r="B293" s="54">
        <v>44835</v>
      </c>
      <c r="J293" s="683"/>
    </row>
    <row r="294" spans="1:12">
      <c r="A294" s="50">
        <v>11</v>
      </c>
      <c r="B294" s="54">
        <v>44866</v>
      </c>
      <c r="J294" s="683"/>
    </row>
    <row r="295" spans="1:12">
      <c r="A295" s="50">
        <v>12</v>
      </c>
      <c r="B295" s="54">
        <v>44896</v>
      </c>
      <c r="G295" s="674"/>
      <c r="H295" s="51"/>
      <c r="J295" s="683"/>
      <c r="L295" s="683"/>
    </row>
    <row r="296" spans="1:12">
      <c r="A296" s="50">
        <v>1</v>
      </c>
      <c r="B296" s="54">
        <v>44927</v>
      </c>
      <c r="J296" s="683"/>
    </row>
    <row r="297" spans="1:12">
      <c r="A297" s="50">
        <v>2</v>
      </c>
      <c r="B297" s="54">
        <v>44958</v>
      </c>
      <c r="J297" s="683"/>
    </row>
    <row r="298" spans="1:12">
      <c r="A298" s="50">
        <v>3</v>
      </c>
      <c r="B298" s="54">
        <v>44986</v>
      </c>
      <c r="J298" s="683"/>
    </row>
    <row r="299" spans="1:12">
      <c r="A299" s="50">
        <v>4</v>
      </c>
      <c r="B299" s="54">
        <v>45017</v>
      </c>
      <c r="J299" s="683"/>
    </row>
    <row r="300" spans="1:12">
      <c r="A300" s="50">
        <v>5</v>
      </c>
      <c r="B300" s="54">
        <v>45047</v>
      </c>
      <c r="J300" s="683"/>
    </row>
    <row r="301" spans="1:12">
      <c r="A301" s="50">
        <v>6</v>
      </c>
      <c r="B301" s="54">
        <v>45078</v>
      </c>
      <c r="J301" s="683"/>
    </row>
    <row r="302" spans="1:12">
      <c r="A302" s="50">
        <v>7</v>
      </c>
      <c r="B302" s="54">
        <v>45108</v>
      </c>
      <c r="J302" s="683"/>
    </row>
    <row r="303" spans="1:12">
      <c r="A303" s="50">
        <v>8</v>
      </c>
      <c r="B303" s="54">
        <v>45139</v>
      </c>
      <c r="J303" s="683"/>
    </row>
    <row r="304" spans="1:12">
      <c r="A304" s="50">
        <v>9</v>
      </c>
      <c r="B304" s="54">
        <v>45170</v>
      </c>
      <c r="J304" s="683"/>
    </row>
    <row r="305" spans="1:12">
      <c r="A305" s="50">
        <v>10</v>
      </c>
      <c r="B305" s="54">
        <v>45200</v>
      </c>
      <c r="J305" s="683"/>
    </row>
    <row r="306" spans="1:12">
      <c r="A306" s="50">
        <v>11</v>
      </c>
      <c r="B306" s="54">
        <v>45231</v>
      </c>
      <c r="J306" s="683"/>
    </row>
    <row r="307" spans="1:12">
      <c r="A307" s="50">
        <v>12</v>
      </c>
      <c r="B307" s="54">
        <v>45261</v>
      </c>
      <c r="G307" s="674"/>
      <c r="H307" s="51"/>
      <c r="J307" s="683"/>
      <c r="L307" s="683"/>
    </row>
    <row r="308" spans="1:12">
      <c r="A308" s="50">
        <v>1</v>
      </c>
      <c r="B308" s="54">
        <v>45292</v>
      </c>
      <c r="J308" s="683"/>
    </row>
    <row r="309" spans="1:12">
      <c r="A309" s="50">
        <v>2</v>
      </c>
      <c r="B309" s="54">
        <v>45323</v>
      </c>
      <c r="J309" s="683"/>
    </row>
    <row r="310" spans="1:12">
      <c r="A310" s="50">
        <v>3</v>
      </c>
      <c r="B310" s="54">
        <v>45352</v>
      </c>
      <c r="J310" s="683"/>
    </row>
    <row r="311" spans="1:12">
      <c r="A311" s="50">
        <v>4</v>
      </c>
      <c r="B311" s="54">
        <v>45383</v>
      </c>
      <c r="J311" s="683"/>
    </row>
    <row r="312" spans="1:12">
      <c r="A312" s="50">
        <v>5</v>
      </c>
      <c r="B312" s="54">
        <v>45413</v>
      </c>
      <c r="J312" s="683"/>
    </row>
    <row r="313" spans="1:12">
      <c r="A313" s="50">
        <v>6</v>
      </c>
      <c r="B313" s="54">
        <v>45444</v>
      </c>
      <c r="J313" s="683"/>
    </row>
    <row r="314" spans="1:12">
      <c r="A314" s="50">
        <v>7</v>
      </c>
      <c r="B314" s="54">
        <v>45474</v>
      </c>
      <c r="J314" s="683"/>
    </row>
    <row r="315" spans="1:12">
      <c r="A315" s="50">
        <v>8</v>
      </c>
      <c r="B315" s="54">
        <v>45505</v>
      </c>
      <c r="J315" s="683"/>
    </row>
    <row r="316" spans="1:12">
      <c r="A316" s="50">
        <v>9</v>
      </c>
      <c r="B316" s="54">
        <v>45536</v>
      </c>
      <c r="J316" s="683"/>
    </row>
    <row r="317" spans="1:12">
      <c r="A317" s="50">
        <v>10</v>
      </c>
      <c r="B317" s="54">
        <v>45566</v>
      </c>
      <c r="J317" s="683"/>
    </row>
    <row r="318" spans="1:12">
      <c r="A318" s="50">
        <v>11</v>
      </c>
      <c r="B318" s="54">
        <v>45597</v>
      </c>
      <c r="J318" s="683"/>
    </row>
    <row r="319" spans="1:12">
      <c r="A319" s="50">
        <v>12</v>
      </c>
      <c r="B319" s="54">
        <v>45627</v>
      </c>
      <c r="G319" s="674"/>
      <c r="H319" s="51"/>
      <c r="J319" s="683"/>
      <c r="L319" s="683"/>
    </row>
    <row r="320" spans="1:12">
      <c r="A320" s="50">
        <v>1</v>
      </c>
      <c r="B320" s="54">
        <v>45658</v>
      </c>
      <c r="J320" s="683"/>
    </row>
    <row r="321" spans="1:10">
      <c r="A321" s="50">
        <v>2</v>
      </c>
      <c r="B321" s="54">
        <v>45689</v>
      </c>
      <c r="J321" s="683"/>
    </row>
    <row r="322" spans="1:10">
      <c r="A322" s="50">
        <v>3</v>
      </c>
      <c r="B322" s="54">
        <v>45717</v>
      </c>
      <c r="J322" s="683"/>
    </row>
    <row r="323" spans="1:10">
      <c r="A323" s="50">
        <v>4</v>
      </c>
      <c r="B323" s="54">
        <v>45748</v>
      </c>
      <c r="J323" s="683"/>
    </row>
    <row r="324" spans="1:10">
      <c r="A324" s="50">
        <v>5</v>
      </c>
      <c r="B324" s="54">
        <v>45778</v>
      </c>
      <c r="J324" s="683"/>
    </row>
    <row r="325" spans="1:10">
      <c r="A325" s="50">
        <v>6</v>
      </c>
      <c r="B325" s="54">
        <v>45809</v>
      </c>
      <c r="J325" s="683"/>
    </row>
    <row r="326" spans="1:10">
      <c r="A326" s="50">
        <v>7</v>
      </c>
      <c r="B326" s="54">
        <v>45839</v>
      </c>
      <c r="J326" s="683"/>
    </row>
    <row r="327" spans="1:10">
      <c r="A327" s="50">
        <v>8</v>
      </c>
      <c r="B327" s="54">
        <v>45870</v>
      </c>
      <c r="J327" s="683"/>
    </row>
    <row r="328" spans="1:10">
      <c r="A328" s="50">
        <v>9</v>
      </c>
      <c r="B328" s="54">
        <v>45901</v>
      </c>
      <c r="J328" s="683"/>
    </row>
    <row r="329" spans="1:10">
      <c r="A329" s="50">
        <v>10</v>
      </c>
      <c r="B329" s="54">
        <v>45931</v>
      </c>
      <c r="J329" s="683"/>
    </row>
    <row r="330" spans="1:10">
      <c r="A330" s="50">
        <v>11</v>
      </c>
      <c r="B330" s="54">
        <v>45962</v>
      </c>
      <c r="J330" s="683"/>
    </row>
    <row r="331" spans="1:10">
      <c r="A331" s="50">
        <v>12</v>
      </c>
      <c r="B331" s="54">
        <v>45992</v>
      </c>
      <c r="J331" s="683"/>
    </row>
    <row r="332" spans="1:10">
      <c r="A332" s="50">
        <v>1</v>
      </c>
      <c r="B332" s="54">
        <v>46023</v>
      </c>
      <c r="J332" s="683"/>
    </row>
    <row r="333" spans="1:10">
      <c r="A333" s="50">
        <v>2</v>
      </c>
      <c r="B333" s="54">
        <v>46054</v>
      </c>
      <c r="J333" s="683"/>
    </row>
    <row r="334" spans="1:10">
      <c r="A334" s="50">
        <v>3</v>
      </c>
      <c r="B334" s="54">
        <v>46082</v>
      </c>
      <c r="J334" s="683"/>
    </row>
    <row r="335" spans="1:10">
      <c r="A335" s="50">
        <v>4</v>
      </c>
      <c r="B335" s="54">
        <v>46113</v>
      </c>
      <c r="J335" s="683"/>
    </row>
    <row r="336" spans="1:10">
      <c r="A336" s="50">
        <v>5</v>
      </c>
      <c r="B336" s="54">
        <v>46143</v>
      </c>
      <c r="J336" s="683"/>
    </row>
    <row r="337" spans="1:10">
      <c r="A337" s="50">
        <v>6</v>
      </c>
      <c r="B337" s="54">
        <v>46174</v>
      </c>
      <c r="J337" s="683"/>
    </row>
    <row r="338" spans="1:10">
      <c r="A338" s="50">
        <v>7</v>
      </c>
      <c r="B338" s="54">
        <v>46204</v>
      </c>
      <c r="J338" s="683"/>
    </row>
    <row r="339" spans="1:10">
      <c r="A339" s="50">
        <v>8</v>
      </c>
      <c r="B339" s="54">
        <v>46235</v>
      </c>
      <c r="J339" s="683"/>
    </row>
    <row r="340" spans="1:10">
      <c r="A340" s="50">
        <v>9</v>
      </c>
      <c r="B340" s="54">
        <v>46266</v>
      </c>
      <c r="J340" s="683"/>
    </row>
    <row r="341" spans="1:10">
      <c r="A341" s="50">
        <v>10</v>
      </c>
      <c r="B341" s="54">
        <v>46296</v>
      </c>
      <c r="J341" s="683"/>
    </row>
    <row r="342" spans="1:10">
      <c r="A342" s="50">
        <v>11</v>
      </c>
      <c r="B342" s="54">
        <v>46327</v>
      </c>
      <c r="J342" s="683"/>
    </row>
    <row r="343" spans="1:10">
      <c r="A343" s="50">
        <v>12</v>
      </c>
      <c r="B343" s="54">
        <v>46357</v>
      </c>
      <c r="J343" s="683"/>
    </row>
    <row r="344" spans="1:10">
      <c r="A344" s="50">
        <v>1</v>
      </c>
      <c r="B344" s="54">
        <v>46388</v>
      </c>
      <c r="J344" s="683"/>
    </row>
    <row r="345" spans="1:10">
      <c r="A345" s="50">
        <v>2</v>
      </c>
      <c r="B345" s="54">
        <v>46419</v>
      </c>
      <c r="J345" s="683"/>
    </row>
    <row r="346" spans="1:10">
      <c r="A346" s="50">
        <v>3</v>
      </c>
      <c r="B346" s="54">
        <v>46447</v>
      </c>
      <c r="J346" s="683"/>
    </row>
    <row r="347" spans="1:10">
      <c r="A347" s="50">
        <v>4</v>
      </c>
      <c r="B347" s="54">
        <v>46478</v>
      </c>
      <c r="J347" s="683"/>
    </row>
    <row r="348" spans="1:10">
      <c r="A348" s="50">
        <v>5</v>
      </c>
      <c r="B348" s="54">
        <v>46508</v>
      </c>
      <c r="J348" s="683"/>
    </row>
    <row r="349" spans="1:10">
      <c r="A349" s="50">
        <v>6</v>
      </c>
      <c r="B349" s="54">
        <v>46539</v>
      </c>
      <c r="J349" s="683"/>
    </row>
    <row r="350" spans="1:10">
      <c r="A350" s="50">
        <v>7</v>
      </c>
      <c r="B350" s="54">
        <v>46569</v>
      </c>
      <c r="J350" s="683"/>
    </row>
    <row r="351" spans="1:10">
      <c r="A351" s="50">
        <v>8</v>
      </c>
      <c r="B351" s="54">
        <v>46600</v>
      </c>
      <c r="J351" s="683"/>
    </row>
    <row r="352" spans="1:10">
      <c r="A352" s="50">
        <v>9</v>
      </c>
      <c r="B352" s="54">
        <v>46631</v>
      </c>
      <c r="J352" s="683"/>
    </row>
    <row r="353" spans="1:10">
      <c r="A353" s="50">
        <v>10</v>
      </c>
      <c r="B353" s="54">
        <v>46661</v>
      </c>
      <c r="J353" s="683"/>
    </row>
    <row r="354" spans="1:10">
      <c r="A354" s="50">
        <v>11</v>
      </c>
      <c r="B354" s="54">
        <v>46692</v>
      </c>
      <c r="J354" s="683"/>
    </row>
    <row r="355" spans="1:10">
      <c r="A355" s="50">
        <v>12</v>
      </c>
      <c r="B355" s="54">
        <v>46722</v>
      </c>
      <c r="J355" s="683"/>
    </row>
    <row r="356" spans="1:10">
      <c r="A356" s="50">
        <v>1</v>
      </c>
      <c r="B356" s="54">
        <v>46753</v>
      </c>
      <c r="J356" s="683"/>
    </row>
    <row r="357" spans="1:10">
      <c r="A357" s="50">
        <v>2</v>
      </c>
      <c r="B357" s="54">
        <v>46784</v>
      </c>
      <c r="J357" s="683"/>
    </row>
    <row r="358" spans="1:10">
      <c r="A358" s="50">
        <v>3</v>
      </c>
      <c r="B358" s="54">
        <v>46813</v>
      </c>
      <c r="J358" s="683"/>
    </row>
    <row r="359" spans="1:10">
      <c r="A359" s="50">
        <v>4</v>
      </c>
      <c r="B359" s="54">
        <v>46844</v>
      </c>
      <c r="J359" s="683"/>
    </row>
    <row r="360" spans="1:10">
      <c r="A360" s="50">
        <v>5</v>
      </c>
      <c r="B360" s="54">
        <v>46874</v>
      </c>
      <c r="J360" s="683"/>
    </row>
    <row r="361" spans="1:10">
      <c r="A361" s="50">
        <v>6</v>
      </c>
      <c r="B361" s="54">
        <v>46905</v>
      </c>
      <c r="J361" s="683"/>
    </row>
    <row r="362" spans="1:10">
      <c r="A362" s="50">
        <v>7</v>
      </c>
      <c r="B362" s="54">
        <v>46935</v>
      </c>
      <c r="J362" s="683"/>
    </row>
    <row r="363" spans="1:10">
      <c r="A363" s="50">
        <v>8</v>
      </c>
      <c r="B363" s="54">
        <v>46966</v>
      </c>
      <c r="J363" s="683"/>
    </row>
    <row r="364" spans="1:10">
      <c r="A364" s="50">
        <v>9</v>
      </c>
      <c r="B364" s="54">
        <v>46997</v>
      </c>
      <c r="J364" s="683"/>
    </row>
    <row r="365" spans="1:10">
      <c r="A365" s="50">
        <v>10</v>
      </c>
      <c r="B365" s="54">
        <v>47027</v>
      </c>
      <c r="J365" s="683"/>
    </row>
    <row r="366" spans="1:10">
      <c r="A366" s="50">
        <v>11</v>
      </c>
      <c r="B366" s="54">
        <v>47058</v>
      </c>
      <c r="J366" s="683"/>
    </row>
    <row r="367" spans="1:10">
      <c r="A367" s="50">
        <v>12</v>
      </c>
      <c r="B367" s="54">
        <v>47088</v>
      </c>
      <c r="J367" s="683"/>
    </row>
    <row r="368" spans="1:10">
      <c r="A368" s="50">
        <v>1</v>
      </c>
      <c r="B368" s="54">
        <v>47119</v>
      </c>
      <c r="J368" s="683"/>
    </row>
    <row r="369" spans="1:10">
      <c r="A369" s="50">
        <v>2</v>
      </c>
      <c r="B369" s="54">
        <v>47150</v>
      </c>
      <c r="J369" s="683"/>
    </row>
    <row r="370" spans="1:10">
      <c r="A370" s="50">
        <v>3</v>
      </c>
      <c r="B370" s="54">
        <v>47178</v>
      </c>
      <c r="J370" s="683"/>
    </row>
    <row r="371" spans="1:10">
      <c r="A371" s="50">
        <v>4</v>
      </c>
      <c r="B371" s="54">
        <v>47209</v>
      </c>
      <c r="J371" s="683"/>
    </row>
    <row r="372" spans="1:10">
      <c r="A372" s="50">
        <v>5</v>
      </c>
      <c r="B372" s="54">
        <v>47239</v>
      </c>
      <c r="J372" s="683"/>
    </row>
    <row r="373" spans="1:10">
      <c r="A373" s="50">
        <v>6</v>
      </c>
      <c r="B373" s="54">
        <v>47270</v>
      </c>
      <c r="J373" s="683"/>
    </row>
    <row r="374" spans="1:10">
      <c r="A374" s="50">
        <v>7</v>
      </c>
      <c r="B374" s="54">
        <v>47300</v>
      </c>
      <c r="J374" s="683"/>
    </row>
    <row r="375" spans="1:10">
      <c r="A375" s="50">
        <v>8</v>
      </c>
      <c r="B375" s="54">
        <v>47331</v>
      </c>
      <c r="J375" s="683"/>
    </row>
    <row r="376" spans="1:10">
      <c r="A376" s="50">
        <v>9</v>
      </c>
      <c r="B376" s="54">
        <v>47362</v>
      </c>
      <c r="J376" s="683"/>
    </row>
    <row r="377" spans="1:10">
      <c r="A377" s="50">
        <v>10</v>
      </c>
      <c r="B377" s="54">
        <v>47392</v>
      </c>
      <c r="J377" s="683"/>
    </row>
    <row r="378" spans="1:10">
      <c r="A378" s="50">
        <v>11</v>
      </c>
      <c r="B378" s="54">
        <v>47423</v>
      </c>
      <c r="J378" s="683"/>
    </row>
    <row r="379" spans="1:10">
      <c r="A379" s="50">
        <v>12</v>
      </c>
      <c r="B379" s="54">
        <v>47453</v>
      </c>
      <c r="J379" s="683"/>
    </row>
    <row r="380" spans="1:10">
      <c r="A380" s="50">
        <v>1</v>
      </c>
      <c r="B380" s="54">
        <v>47484</v>
      </c>
      <c r="J380" s="683"/>
    </row>
    <row r="381" spans="1:10">
      <c r="A381" s="50">
        <v>2</v>
      </c>
      <c r="B381" s="54">
        <v>47515</v>
      </c>
      <c r="J381" s="683"/>
    </row>
    <row r="382" spans="1:10">
      <c r="A382" s="50">
        <v>3</v>
      </c>
      <c r="B382" s="54">
        <v>47543</v>
      </c>
      <c r="J382" s="683"/>
    </row>
    <row r="383" spans="1:10">
      <c r="A383" s="50">
        <v>4</v>
      </c>
      <c r="B383" s="54">
        <v>47574</v>
      </c>
      <c r="J383" s="683"/>
    </row>
    <row r="384" spans="1:10">
      <c r="A384" s="50">
        <v>5</v>
      </c>
      <c r="B384" s="54">
        <v>47604</v>
      </c>
      <c r="J384" s="683"/>
    </row>
    <row r="385" spans="1:10">
      <c r="A385" s="50">
        <v>6</v>
      </c>
      <c r="B385" s="54">
        <v>47635</v>
      </c>
      <c r="J385" s="683"/>
    </row>
    <row r="386" spans="1:10">
      <c r="A386" s="50">
        <v>7</v>
      </c>
      <c r="B386" s="54">
        <v>47665</v>
      </c>
      <c r="J386" s="683"/>
    </row>
    <row r="387" spans="1:10">
      <c r="A387" s="50">
        <v>8</v>
      </c>
      <c r="B387" s="54">
        <v>47696</v>
      </c>
      <c r="J387" s="683"/>
    </row>
    <row r="388" spans="1:10">
      <c r="A388" s="50">
        <v>9</v>
      </c>
      <c r="B388" s="54">
        <v>47727</v>
      </c>
      <c r="J388" s="683"/>
    </row>
    <row r="389" spans="1:10">
      <c r="A389" s="50">
        <v>10</v>
      </c>
      <c r="B389" s="54">
        <v>47757</v>
      </c>
      <c r="J389" s="683"/>
    </row>
    <row r="390" spans="1:10">
      <c r="A390" s="50">
        <v>11</v>
      </c>
      <c r="B390" s="54">
        <v>47788</v>
      </c>
      <c r="J390" s="683"/>
    </row>
    <row r="391" spans="1:10">
      <c r="A391" s="50">
        <v>12</v>
      </c>
      <c r="B391" s="54">
        <v>47818</v>
      </c>
      <c r="J391" s="683"/>
    </row>
    <row r="392" spans="1:10">
      <c r="A392" s="50">
        <v>1</v>
      </c>
      <c r="B392" s="54">
        <v>47849</v>
      </c>
      <c r="J392" s="683"/>
    </row>
    <row r="393" spans="1:10">
      <c r="A393" s="50">
        <v>2</v>
      </c>
      <c r="B393" s="54">
        <v>47880</v>
      </c>
      <c r="J393" s="683"/>
    </row>
    <row r="394" spans="1:10">
      <c r="A394" s="50">
        <v>3</v>
      </c>
      <c r="B394" s="54">
        <v>47908</v>
      </c>
      <c r="J394" s="683"/>
    </row>
    <row r="395" spans="1:10">
      <c r="A395" s="50">
        <v>4</v>
      </c>
      <c r="B395" s="54">
        <v>47939</v>
      </c>
      <c r="J395" s="683"/>
    </row>
    <row r="396" spans="1:10">
      <c r="A396" s="50">
        <v>5</v>
      </c>
      <c r="B396" s="54">
        <v>47969</v>
      </c>
      <c r="J396" s="683"/>
    </row>
    <row r="397" spans="1:10">
      <c r="A397" s="50">
        <v>6</v>
      </c>
      <c r="B397" s="54">
        <v>48000</v>
      </c>
      <c r="J397" s="683"/>
    </row>
    <row r="398" spans="1:10">
      <c r="A398" s="50">
        <v>7</v>
      </c>
      <c r="B398" s="54">
        <v>48030</v>
      </c>
      <c r="J398" s="683"/>
    </row>
    <row r="399" spans="1:10">
      <c r="A399" s="50">
        <v>8</v>
      </c>
      <c r="B399" s="54">
        <v>48061</v>
      </c>
      <c r="J399" s="683"/>
    </row>
    <row r="400" spans="1:10">
      <c r="A400" s="50">
        <v>9</v>
      </c>
      <c r="B400" s="54">
        <v>48092</v>
      </c>
      <c r="J400" s="683"/>
    </row>
    <row r="401" spans="1:10">
      <c r="A401" s="50">
        <v>10</v>
      </c>
      <c r="B401" s="54">
        <v>48122</v>
      </c>
      <c r="J401" s="683"/>
    </row>
    <row r="402" spans="1:10">
      <c r="A402" s="50">
        <v>11</v>
      </c>
      <c r="B402" s="54">
        <v>48153</v>
      </c>
      <c r="J402" s="683"/>
    </row>
    <row r="403" spans="1:10">
      <c r="A403" s="50">
        <v>12</v>
      </c>
      <c r="B403" s="54">
        <v>48183</v>
      </c>
      <c r="J403" s="683"/>
    </row>
    <row r="404" spans="1:10">
      <c r="A404" s="50">
        <v>1</v>
      </c>
      <c r="B404" s="54">
        <v>48214</v>
      </c>
      <c r="J404" s="683"/>
    </row>
    <row r="405" spans="1:10">
      <c r="A405" s="50">
        <v>2</v>
      </c>
      <c r="B405" s="54">
        <v>48245</v>
      </c>
      <c r="J405" s="683"/>
    </row>
    <row r="406" spans="1:10">
      <c r="A406" s="50">
        <v>3</v>
      </c>
      <c r="B406" s="54">
        <v>48274</v>
      </c>
      <c r="J406" s="683"/>
    </row>
    <row r="407" spans="1:10">
      <c r="A407" s="50">
        <v>4</v>
      </c>
      <c r="B407" s="54">
        <v>48305</v>
      </c>
      <c r="J407" s="683"/>
    </row>
    <row r="408" spans="1:10">
      <c r="A408" s="50">
        <v>5</v>
      </c>
      <c r="B408" s="54">
        <v>48335</v>
      </c>
      <c r="J408" s="683"/>
    </row>
    <row r="409" spans="1:10">
      <c r="A409" s="50">
        <v>6</v>
      </c>
      <c r="B409" s="54">
        <v>48366</v>
      </c>
      <c r="J409" s="683"/>
    </row>
    <row r="410" spans="1:10">
      <c r="A410" s="50">
        <v>7</v>
      </c>
      <c r="B410" s="54">
        <v>48396</v>
      </c>
      <c r="J410" s="683"/>
    </row>
    <row r="411" spans="1:10">
      <c r="A411" s="50">
        <v>8</v>
      </c>
      <c r="B411" s="54">
        <v>48427</v>
      </c>
      <c r="J411" s="683"/>
    </row>
    <row r="412" spans="1:10">
      <c r="A412" s="50">
        <v>9</v>
      </c>
      <c r="B412" s="54">
        <v>48458</v>
      </c>
      <c r="J412" s="683"/>
    </row>
    <row r="413" spans="1:10">
      <c r="A413" s="50">
        <v>10</v>
      </c>
      <c r="B413" s="54">
        <v>48488</v>
      </c>
      <c r="J413" s="683"/>
    </row>
    <row r="414" spans="1:10">
      <c r="A414" s="50">
        <v>11</v>
      </c>
      <c r="B414" s="54">
        <v>48519</v>
      </c>
      <c r="J414" s="683"/>
    </row>
    <row r="415" spans="1:10">
      <c r="A415" s="50">
        <v>12</v>
      </c>
      <c r="B415" s="54">
        <v>48549</v>
      </c>
      <c r="J415" s="683"/>
    </row>
    <row r="416" spans="1:10">
      <c r="A416" s="50">
        <v>1</v>
      </c>
      <c r="B416" s="54">
        <v>48580</v>
      </c>
    </row>
    <row r="417" spans="1:2">
      <c r="A417" s="50">
        <v>2</v>
      </c>
      <c r="B417" s="54">
        <v>48611</v>
      </c>
    </row>
    <row r="418" spans="1:2">
      <c r="A418" s="50">
        <v>3</v>
      </c>
      <c r="B418" s="54">
        <v>48639</v>
      </c>
    </row>
    <row r="419" spans="1:2">
      <c r="A419" s="50">
        <v>4</v>
      </c>
      <c r="B419" s="54">
        <v>48670</v>
      </c>
    </row>
    <row r="420" spans="1:2">
      <c r="A420" s="50">
        <v>5</v>
      </c>
      <c r="B420" s="54">
        <v>48700</v>
      </c>
    </row>
    <row r="421" spans="1:2">
      <c r="A421" s="50">
        <v>6</v>
      </c>
      <c r="B421" s="54">
        <v>48731</v>
      </c>
    </row>
    <row r="422" spans="1:2">
      <c r="A422" s="50">
        <v>7</v>
      </c>
      <c r="B422" s="54">
        <v>48761</v>
      </c>
    </row>
    <row r="423" spans="1:2">
      <c r="A423" s="50">
        <v>8</v>
      </c>
      <c r="B423" s="54">
        <v>48792</v>
      </c>
    </row>
    <row r="424" spans="1:2">
      <c r="A424" s="50">
        <v>9</v>
      </c>
      <c r="B424" s="54">
        <v>48823</v>
      </c>
    </row>
    <row r="425" spans="1:2">
      <c r="A425" s="50">
        <v>10</v>
      </c>
      <c r="B425" s="54">
        <v>48853</v>
      </c>
    </row>
    <row r="426" spans="1:2">
      <c r="A426" s="50">
        <v>11</v>
      </c>
      <c r="B426" s="54">
        <v>48884</v>
      </c>
    </row>
    <row r="427" spans="1:2">
      <c r="A427" s="50">
        <v>12</v>
      </c>
      <c r="B427" s="54">
        <v>48914</v>
      </c>
    </row>
    <row r="428" spans="1:2">
      <c r="A428" s="50">
        <v>1</v>
      </c>
      <c r="B428" s="54">
        <v>48945</v>
      </c>
    </row>
    <row r="429" spans="1:2">
      <c r="A429" s="50">
        <v>2</v>
      </c>
      <c r="B429" s="54">
        <v>48976</v>
      </c>
    </row>
    <row r="430" spans="1:2">
      <c r="A430" s="50">
        <v>3</v>
      </c>
      <c r="B430" s="54">
        <v>49004</v>
      </c>
    </row>
    <row r="431" spans="1:2">
      <c r="A431" s="50">
        <v>4</v>
      </c>
      <c r="B431" s="54">
        <v>49035</v>
      </c>
    </row>
    <row r="432" spans="1:2">
      <c r="A432" s="50">
        <v>5</v>
      </c>
      <c r="B432" s="54">
        <v>49065</v>
      </c>
    </row>
    <row r="433" spans="1:2">
      <c r="A433" s="50">
        <v>6</v>
      </c>
      <c r="B433" s="54">
        <v>49096</v>
      </c>
    </row>
    <row r="434" spans="1:2">
      <c r="A434" s="50">
        <v>7</v>
      </c>
      <c r="B434" s="54">
        <v>49126</v>
      </c>
    </row>
    <row r="435" spans="1:2">
      <c r="A435" s="50">
        <v>8</v>
      </c>
      <c r="B435" s="54">
        <v>49157</v>
      </c>
    </row>
    <row r="436" spans="1:2">
      <c r="A436" s="50">
        <v>9</v>
      </c>
      <c r="B436" s="54">
        <v>49188</v>
      </c>
    </row>
    <row r="437" spans="1:2">
      <c r="A437" s="50">
        <v>10</v>
      </c>
      <c r="B437" s="54">
        <v>49218</v>
      </c>
    </row>
    <row r="438" spans="1:2">
      <c r="A438" s="50">
        <v>11</v>
      </c>
      <c r="B438" s="54">
        <v>49249</v>
      </c>
    </row>
    <row r="439" spans="1:2">
      <c r="A439" s="50">
        <v>12</v>
      </c>
      <c r="B439" s="54">
        <v>49279</v>
      </c>
    </row>
    <row r="440" spans="1:2">
      <c r="A440" s="50">
        <v>1</v>
      </c>
      <c r="B440" s="54">
        <v>49310</v>
      </c>
    </row>
    <row r="441" spans="1:2">
      <c r="A441" s="50">
        <v>2</v>
      </c>
      <c r="B441" s="54">
        <v>49341</v>
      </c>
    </row>
    <row r="442" spans="1:2">
      <c r="A442" s="50">
        <v>3</v>
      </c>
      <c r="B442" s="54">
        <v>49369</v>
      </c>
    </row>
    <row r="443" spans="1:2">
      <c r="A443" s="50">
        <v>4</v>
      </c>
      <c r="B443" s="54">
        <v>49400</v>
      </c>
    </row>
    <row r="444" spans="1:2">
      <c r="A444" s="50">
        <v>5</v>
      </c>
      <c r="B444" s="54">
        <v>49430</v>
      </c>
    </row>
    <row r="445" spans="1:2">
      <c r="A445" s="50">
        <v>6</v>
      </c>
      <c r="B445" s="54">
        <v>49461</v>
      </c>
    </row>
    <row r="446" spans="1:2">
      <c r="A446" s="50">
        <v>7</v>
      </c>
      <c r="B446" s="54">
        <v>49491</v>
      </c>
    </row>
    <row r="447" spans="1:2">
      <c r="A447" s="50">
        <v>8</v>
      </c>
      <c r="B447" s="54">
        <v>49522</v>
      </c>
    </row>
    <row r="448" spans="1:2">
      <c r="A448" s="50">
        <v>9</v>
      </c>
      <c r="B448" s="54">
        <v>49553</v>
      </c>
    </row>
    <row r="449" spans="1:2">
      <c r="A449" s="50">
        <v>10</v>
      </c>
      <c r="B449" s="54">
        <v>49583</v>
      </c>
    </row>
    <row r="450" spans="1:2">
      <c r="A450" s="50">
        <v>11</v>
      </c>
      <c r="B450" s="54">
        <v>49614</v>
      </c>
    </row>
    <row r="451" spans="1:2">
      <c r="A451" s="50">
        <v>12</v>
      </c>
      <c r="B451" s="54">
        <v>49644</v>
      </c>
    </row>
    <row r="452" spans="1:2">
      <c r="A452" s="50">
        <v>1</v>
      </c>
      <c r="B452" s="54">
        <v>49675</v>
      </c>
    </row>
    <row r="453" spans="1:2">
      <c r="A453" s="50">
        <v>2</v>
      </c>
      <c r="B453" s="54">
        <v>49706</v>
      </c>
    </row>
    <row r="454" spans="1:2">
      <c r="A454" s="50">
        <v>3</v>
      </c>
      <c r="B454" s="54">
        <v>49735</v>
      </c>
    </row>
    <row r="455" spans="1:2">
      <c r="A455" s="50">
        <v>4</v>
      </c>
      <c r="B455" s="54">
        <v>49766</v>
      </c>
    </row>
    <row r="456" spans="1:2">
      <c r="A456" s="50">
        <v>5</v>
      </c>
      <c r="B456" s="54">
        <v>49796</v>
      </c>
    </row>
    <row r="457" spans="1:2">
      <c r="A457" s="50">
        <v>6</v>
      </c>
      <c r="B457" s="54">
        <v>49827</v>
      </c>
    </row>
    <row r="458" spans="1:2">
      <c r="A458" s="50">
        <v>7</v>
      </c>
      <c r="B458" s="54">
        <v>49857</v>
      </c>
    </row>
    <row r="459" spans="1:2">
      <c r="A459" s="50">
        <v>8</v>
      </c>
      <c r="B459" s="54">
        <v>49888</v>
      </c>
    </row>
    <row r="460" spans="1:2">
      <c r="A460" s="50">
        <v>9</v>
      </c>
      <c r="B460" s="54">
        <v>49919</v>
      </c>
    </row>
    <row r="461" spans="1:2">
      <c r="A461" s="50">
        <v>10</v>
      </c>
      <c r="B461" s="54">
        <v>49949</v>
      </c>
    </row>
    <row r="462" spans="1:2">
      <c r="A462" s="50">
        <v>11</v>
      </c>
      <c r="B462" s="54">
        <v>49980</v>
      </c>
    </row>
    <row r="463" spans="1:2">
      <c r="A463" s="50">
        <v>12</v>
      </c>
      <c r="B463" s="54">
        <v>50010</v>
      </c>
    </row>
    <row r="464" spans="1:2">
      <c r="A464" s="50">
        <v>1</v>
      </c>
      <c r="B464" s="54">
        <v>50041</v>
      </c>
    </row>
    <row r="465" spans="1:2">
      <c r="A465" s="50">
        <v>2</v>
      </c>
      <c r="B465" s="54">
        <v>50072</v>
      </c>
    </row>
    <row r="466" spans="1:2">
      <c r="A466" s="50">
        <v>3</v>
      </c>
      <c r="B466" s="54">
        <v>50100</v>
      </c>
    </row>
    <row r="467" spans="1:2">
      <c r="A467" s="50">
        <v>4</v>
      </c>
      <c r="B467" s="54">
        <v>50131</v>
      </c>
    </row>
    <row r="468" spans="1:2">
      <c r="A468" s="50">
        <v>5</v>
      </c>
      <c r="B468" s="54">
        <v>50161</v>
      </c>
    </row>
    <row r="469" spans="1:2">
      <c r="A469" s="50">
        <v>6</v>
      </c>
      <c r="B469" s="54">
        <v>50192</v>
      </c>
    </row>
    <row r="470" spans="1:2">
      <c r="A470" s="50">
        <v>7</v>
      </c>
      <c r="B470" s="54">
        <v>50222</v>
      </c>
    </row>
    <row r="471" spans="1:2">
      <c r="A471" s="50">
        <v>8</v>
      </c>
      <c r="B471" s="54">
        <v>50253</v>
      </c>
    </row>
    <row r="472" spans="1:2">
      <c r="A472" s="50">
        <v>9</v>
      </c>
      <c r="B472" s="54">
        <v>50284</v>
      </c>
    </row>
    <row r="473" spans="1:2">
      <c r="A473" s="50">
        <v>10</v>
      </c>
      <c r="B473" s="54">
        <v>50314</v>
      </c>
    </row>
    <row r="474" spans="1:2">
      <c r="A474" s="50">
        <v>11</v>
      </c>
      <c r="B474" s="54">
        <v>50345</v>
      </c>
    </row>
    <row r="475" spans="1:2">
      <c r="A475" s="50">
        <v>12</v>
      </c>
      <c r="B475" s="54">
        <v>50375</v>
      </c>
    </row>
    <row r="476" spans="1:2">
      <c r="A476" s="50">
        <v>1</v>
      </c>
      <c r="B476" s="54">
        <v>50406</v>
      </c>
    </row>
    <row r="477" spans="1:2">
      <c r="A477" s="50">
        <v>2</v>
      </c>
      <c r="B477" s="54">
        <v>50437</v>
      </c>
    </row>
    <row r="478" spans="1:2">
      <c r="A478" s="50">
        <v>3</v>
      </c>
      <c r="B478" s="54">
        <v>50465</v>
      </c>
    </row>
    <row r="479" spans="1:2">
      <c r="A479" s="50">
        <v>4</v>
      </c>
      <c r="B479" s="54">
        <v>50496</v>
      </c>
    </row>
    <row r="480" spans="1:2">
      <c r="A480" s="50">
        <v>5</v>
      </c>
      <c r="B480" s="54">
        <v>50526</v>
      </c>
    </row>
    <row r="481" spans="1:2">
      <c r="A481" s="50">
        <v>6</v>
      </c>
      <c r="B481" s="54">
        <v>50557</v>
      </c>
    </row>
    <row r="482" spans="1:2">
      <c r="A482" s="50">
        <v>7</v>
      </c>
      <c r="B482" s="54">
        <v>50587</v>
      </c>
    </row>
    <row r="483" spans="1:2">
      <c r="A483" s="50">
        <v>8</v>
      </c>
      <c r="B483" s="54">
        <v>50618</v>
      </c>
    </row>
    <row r="484" spans="1:2">
      <c r="A484" s="50">
        <v>9</v>
      </c>
      <c r="B484" s="54">
        <v>50649</v>
      </c>
    </row>
    <row r="485" spans="1:2">
      <c r="A485" s="50">
        <v>10</v>
      </c>
      <c r="B485" s="54">
        <v>50679</v>
      </c>
    </row>
    <row r="486" spans="1:2">
      <c r="A486" s="50">
        <v>11</v>
      </c>
      <c r="B486" s="54">
        <v>50710</v>
      </c>
    </row>
    <row r="487" spans="1:2">
      <c r="A487" s="50">
        <v>12</v>
      </c>
      <c r="B487" s="54">
        <v>50740</v>
      </c>
    </row>
    <row r="488" spans="1:2">
      <c r="A488" s="50">
        <v>1</v>
      </c>
      <c r="B488" s="54">
        <v>50771</v>
      </c>
    </row>
    <row r="489" spans="1:2">
      <c r="A489" s="50">
        <v>2</v>
      </c>
      <c r="B489" s="54">
        <v>50802</v>
      </c>
    </row>
    <row r="490" spans="1:2">
      <c r="A490" s="50">
        <v>3</v>
      </c>
      <c r="B490" s="54">
        <v>50830</v>
      </c>
    </row>
    <row r="491" spans="1:2">
      <c r="A491" s="50">
        <v>4</v>
      </c>
      <c r="B491" s="54">
        <v>50861</v>
      </c>
    </row>
    <row r="492" spans="1:2">
      <c r="A492" s="50">
        <v>5</v>
      </c>
      <c r="B492" s="54">
        <v>50891</v>
      </c>
    </row>
    <row r="493" spans="1:2">
      <c r="A493" s="50">
        <v>6</v>
      </c>
      <c r="B493" s="54">
        <v>50922</v>
      </c>
    </row>
    <row r="494" spans="1:2">
      <c r="A494" s="50">
        <v>7</v>
      </c>
      <c r="B494" s="54">
        <v>50952</v>
      </c>
    </row>
    <row r="495" spans="1:2">
      <c r="A495" s="50">
        <v>8</v>
      </c>
      <c r="B495" s="54">
        <v>50983</v>
      </c>
    </row>
    <row r="496" spans="1:2">
      <c r="A496" s="50">
        <v>9</v>
      </c>
      <c r="B496" s="54">
        <v>51014</v>
      </c>
    </row>
    <row r="497" spans="1:2">
      <c r="A497" s="50">
        <v>10</v>
      </c>
      <c r="B497" s="54">
        <v>51044</v>
      </c>
    </row>
    <row r="498" spans="1:2">
      <c r="A498" s="50">
        <v>11</v>
      </c>
      <c r="B498" s="54">
        <v>51075</v>
      </c>
    </row>
    <row r="499" spans="1:2">
      <c r="A499" s="50">
        <v>12</v>
      </c>
      <c r="B499" s="54">
        <v>51105</v>
      </c>
    </row>
    <row r="500" spans="1:2">
      <c r="A500" s="50">
        <v>1</v>
      </c>
      <c r="B500" s="54">
        <v>51136</v>
      </c>
    </row>
    <row r="501" spans="1:2">
      <c r="A501" s="50">
        <v>2</v>
      </c>
      <c r="B501" s="54">
        <v>51167</v>
      </c>
    </row>
    <row r="502" spans="1:2">
      <c r="A502" s="50">
        <v>3</v>
      </c>
      <c r="B502" s="54">
        <v>51196</v>
      </c>
    </row>
    <row r="503" spans="1:2">
      <c r="A503" s="50">
        <v>4</v>
      </c>
      <c r="B503" s="54">
        <v>51227</v>
      </c>
    </row>
    <row r="504" spans="1:2">
      <c r="A504" s="50">
        <v>5</v>
      </c>
      <c r="B504" s="54">
        <v>51257</v>
      </c>
    </row>
    <row r="505" spans="1:2">
      <c r="A505" s="50">
        <v>6</v>
      </c>
      <c r="B505" s="54">
        <v>51288</v>
      </c>
    </row>
    <row r="506" spans="1:2">
      <c r="A506" s="50">
        <v>7</v>
      </c>
      <c r="B506" s="54">
        <v>51318</v>
      </c>
    </row>
    <row r="507" spans="1:2">
      <c r="A507" s="50">
        <v>8</v>
      </c>
      <c r="B507" s="54">
        <v>51349</v>
      </c>
    </row>
    <row r="508" spans="1:2">
      <c r="A508" s="50">
        <v>9</v>
      </c>
      <c r="B508" s="54">
        <v>51380</v>
      </c>
    </row>
    <row r="509" spans="1:2">
      <c r="A509" s="50">
        <v>10</v>
      </c>
      <c r="B509" s="54">
        <v>51410</v>
      </c>
    </row>
    <row r="510" spans="1:2">
      <c r="A510" s="50">
        <v>11</v>
      </c>
      <c r="B510" s="54">
        <v>51441</v>
      </c>
    </row>
    <row r="511" spans="1:2">
      <c r="A511" s="50">
        <v>12</v>
      </c>
      <c r="B511" s="54">
        <v>51471</v>
      </c>
    </row>
    <row r="512" spans="1:2">
      <c r="A512" s="50">
        <v>1</v>
      </c>
      <c r="B512" s="54">
        <v>51502</v>
      </c>
    </row>
    <row r="513" spans="1:2">
      <c r="A513" s="50">
        <v>2</v>
      </c>
      <c r="B513" s="54">
        <v>51533</v>
      </c>
    </row>
    <row r="514" spans="1:2">
      <c r="A514" s="50">
        <v>3</v>
      </c>
      <c r="B514" s="54">
        <v>51561</v>
      </c>
    </row>
    <row r="515" spans="1:2">
      <c r="A515" s="50">
        <v>4</v>
      </c>
      <c r="B515" s="54">
        <v>51592</v>
      </c>
    </row>
    <row r="516" spans="1:2">
      <c r="A516" s="50">
        <v>5</v>
      </c>
      <c r="B516" s="54">
        <v>51622</v>
      </c>
    </row>
    <row r="517" spans="1:2">
      <c r="A517" s="50">
        <v>6</v>
      </c>
      <c r="B517" s="54">
        <v>51653</v>
      </c>
    </row>
    <row r="518" spans="1:2">
      <c r="A518" s="50">
        <v>7</v>
      </c>
      <c r="B518" s="54">
        <v>51683</v>
      </c>
    </row>
    <row r="519" spans="1:2">
      <c r="A519" s="50">
        <v>8</v>
      </c>
      <c r="B519" s="54">
        <v>51714</v>
      </c>
    </row>
    <row r="520" spans="1:2">
      <c r="A520" s="50">
        <v>9</v>
      </c>
      <c r="B520" s="54">
        <v>51745</v>
      </c>
    </row>
    <row r="521" spans="1:2">
      <c r="A521" s="50">
        <v>10</v>
      </c>
      <c r="B521" s="54">
        <v>51775</v>
      </c>
    </row>
    <row r="522" spans="1:2">
      <c r="A522" s="50">
        <v>11</v>
      </c>
      <c r="B522" s="54">
        <v>51806</v>
      </c>
    </row>
    <row r="523" spans="1:2">
      <c r="A523" s="50">
        <v>12</v>
      </c>
      <c r="B523" s="54">
        <v>51836</v>
      </c>
    </row>
    <row r="524" spans="1:2">
      <c r="A524" s="50">
        <v>1</v>
      </c>
      <c r="B524" s="54">
        <v>51867</v>
      </c>
    </row>
    <row r="525" spans="1:2">
      <c r="A525" s="50">
        <v>2</v>
      </c>
      <c r="B525" s="54">
        <v>51898</v>
      </c>
    </row>
    <row r="526" spans="1:2">
      <c r="A526" s="50">
        <v>3</v>
      </c>
      <c r="B526" s="54">
        <v>51926</v>
      </c>
    </row>
    <row r="527" spans="1:2">
      <c r="A527" s="50">
        <v>4</v>
      </c>
      <c r="B527" s="54">
        <v>51957</v>
      </c>
    </row>
    <row r="528" spans="1:2">
      <c r="A528" s="50">
        <v>5</v>
      </c>
      <c r="B528" s="54">
        <v>51987</v>
      </c>
    </row>
    <row r="529" spans="1:2">
      <c r="A529" s="50">
        <v>6</v>
      </c>
      <c r="B529" s="54">
        <v>52018</v>
      </c>
    </row>
    <row r="530" spans="1:2">
      <c r="A530" s="50">
        <v>7</v>
      </c>
      <c r="B530" s="54">
        <v>52048</v>
      </c>
    </row>
    <row r="531" spans="1:2">
      <c r="A531" s="50">
        <v>8</v>
      </c>
      <c r="B531" s="54">
        <v>52079</v>
      </c>
    </row>
    <row r="532" spans="1:2">
      <c r="A532" s="50">
        <v>9</v>
      </c>
      <c r="B532" s="54">
        <v>52110</v>
      </c>
    </row>
    <row r="533" spans="1:2">
      <c r="A533" s="50">
        <v>10</v>
      </c>
      <c r="B533" s="54">
        <v>52140</v>
      </c>
    </row>
    <row r="534" spans="1:2">
      <c r="A534" s="50">
        <v>11</v>
      </c>
      <c r="B534" s="54">
        <v>52171</v>
      </c>
    </row>
    <row r="535" spans="1:2">
      <c r="A535" s="50">
        <v>12</v>
      </c>
      <c r="B535" s="54">
        <v>52201</v>
      </c>
    </row>
    <row r="536" spans="1:2">
      <c r="A536" s="50">
        <v>1</v>
      </c>
      <c r="B536" s="54">
        <v>52232</v>
      </c>
    </row>
    <row r="537" spans="1:2">
      <c r="A537" s="50">
        <v>2</v>
      </c>
      <c r="B537" s="54">
        <v>52263</v>
      </c>
    </row>
    <row r="538" spans="1:2">
      <c r="A538" s="50">
        <v>3</v>
      </c>
      <c r="B538" s="54">
        <v>52291</v>
      </c>
    </row>
    <row r="539" spans="1:2">
      <c r="A539" s="50">
        <v>4</v>
      </c>
      <c r="B539" s="54">
        <v>52322</v>
      </c>
    </row>
    <row r="540" spans="1:2">
      <c r="A540" s="50">
        <v>5</v>
      </c>
      <c r="B540" s="54">
        <v>52352</v>
      </c>
    </row>
    <row r="541" spans="1:2">
      <c r="A541" s="50">
        <v>6</v>
      </c>
      <c r="B541" s="54">
        <v>52383</v>
      </c>
    </row>
    <row r="542" spans="1:2">
      <c r="A542" s="50">
        <v>7</v>
      </c>
      <c r="B542" s="54">
        <v>52413</v>
      </c>
    </row>
    <row r="543" spans="1:2">
      <c r="A543" s="50">
        <v>8</v>
      </c>
      <c r="B543" s="54">
        <v>52444</v>
      </c>
    </row>
    <row r="544" spans="1:2">
      <c r="A544" s="50">
        <v>9</v>
      </c>
      <c r="B544" s="54">
        <v>52475</v>
      </c>
    </row>
    <row r="545" spans="1:2">
      <c r="A545" s="50">
        <v>10</v>
      </c>
      <c r="B545" s="54">
        <v>52505</v>
      </c>
    </row>
    <row r="546" spans="1:2">
      <c r="A546" s="50">
        <v>11</v>
      </c>
      <c r="B546" s="54">
        <v>52536</v>
      </c>
    </row>
    <row r="547" spans="1:2">
      <c r="A547" s="50">
        <v>12</v>
      </c>
      <c r="B547" s="54">
        <v>52566</v>
      </c>
    </row>
    <row r="548" spans="1:2">
      <c r="A548" s="50">
        <v>1</v>
      </c>
      <c r="B548" s="54">
        <v>52597</v>
      </c>
    </row>
    <row r="549" spans="1:2">
      <c r="A549" s="50">
        <v>2</v>
      </c>
      <c r="B549" s="54">
        <v>52628</v>
      </c>
    </row>
    <row r="550" spans="1:2">
      <c r="A550" s="50">
        <v>3</v>
      </c>
      <c r="B550" s="54">
        <v>52657</v>
      </c>
    </row>
    <row r="551" spans="1:2">
      <c r="A551" s="50">
        <v>4</v>
      </c>
      <c r="B551" s="54">
        <v>52688</v>
      </c>
    </row>
    <row r="552" spans="1:2">
      <c r="A552" s="50">
        <v>5</v>
      </c>
      <c r="B552" s="54">
        <v>52718</v>
      </c>
    </row>
    <row r="553" spans="1:2">
      <c r="A553" s="50">
        <v>6</v>
      </c>
      <c r="B553" s="54">
        <v>52749</v>
      </c>
    </row>
    <row r="554" spans="1:2">
      <c r="A554" s="50">
        <v>7</v>
      </c>
      <c r="B554" s="54">
        <v>52779</v>
      </c>
    </row>
    <row r="555" spans="1:2">
      <c r="A555" s="50">
        <v>8</v>
      </c>
      <c r="B555" s="54">
        <v>52810</v>
      </c>
    </row>
    <row r="556" spans="1:2">
      <c r="A556" s="50">
        <v>9</v>
      </c>
      <c r="B556" s="54">
        <v>52841</v>
      </c>
    </row>
    <row r="557" spans="1:2">
      <c r="A557" s="50">
        <v>10</v>
      </c>
      <c r="B557" s="54">
        <v>52871</v>
      </c>
    </row>
    <row r="558" spans="1:2">
      <c r="A558" s="50">
        <v>11</v>
      </c>
      <c r="B558" s="54">
        <v>52902</v>
      </c>
    </row>
    <row r="559" spans="1:2">
      <c r="A559" s="50">
        <v>12</v>
      </c>
      <c r="B559" s="54">
        <v>52932</v>
      </c>
    </row>
    <row r="560" spans="1:2">
      <c r="A560" s="50">
        <v>1</v>
      </c>
      <c r="B560" s="54">
        <v>52963</v>
      </c>
    </row>
    <row r="561" spans="1:2">
      <c r="A561" s="50">
        <v>2</v>
      </c>
      <c r="B561" s="54">
        <v>52994</v>
      </c>
    </row>
    <row r="562" spans="1:2">
      <c r="A562" s="50">
        <v>3</v>
      </c>
      <c r="B562" s="54">
        <v>53022</v>
      </c>
    </row>
    <row r="563" spans="1:2">
      <c r="A563" s="50">
        <v>4</v>
      </c>
      <c r="B563" s="54">
        <v>53053</v>
      </c>
    </row>
    <row r="564" spans="1:2">
      <c r="A564" s="50">
        <v>5</v>
      </c>
      <c r="B564" s="54">
        <v>53083</v>
      </c>
    </row>
    <row r="565" spans="1:2">
      <c r="A565" s="50">
        <v>6</v>
      </c>
      <c r="B565" s="54">
        <v>53114</v>
      </c>
    </row>
    <row r="566" spans="1:2">
      <c r="A566" s="50">
        <v>7</v>
      </c>
      <c r="B566" s="54">
        <v>53144</v>
      </c>
    </row>
    <row r="567" spans="1:2">
      <c r="A567" s="50">
        <v>8</v>
      </c>
      <c r="B567" s="54">
        <v>53175</v>
      </c>
    </row>
    <row r="568" spans="1:2">
      <c r="A568" s="50">
        <v>9</v>
      </c>
      <c r="B568" s="54">
        <v>53206</v>
      </c>
    </row>
    <row r="569" spans="1:2">
      <c r="A569" s="50">
        <v>10</v>
      </c>
      <c r="B569" s="54">
        <v>53236</v>
      </c>
    </row>
    <row r="570" spans="1:2">
      <c r="A570" s="50">
        <v>11</v>
      </c>
      <c r="B570" s="54">
        <v>53267</v>
      </c>
    </row>
    <row r="571" spans="1:2">
      <c r="A571" s="50">
        <v>12</v>
      </c>
      <c r="B571" s="54">
        <v>53297</v>
      </c>
    </row>
    <row r="572" spans="1:2">
      <c r="A572" s="50">
        <v>1</v>
      </c>
      <c r="B572" s="54">
        <v>53328</v>
      </c>
    </row>
    <row r="573" spans="1:2">
      <c r="A573" s="50">
        <v>2</v>
      </c>
      <c r="B573" s="54">
        <v>53359</v>
      </c>
    </row>
    <row r="574" spans="1:2">
      <c r="A574" s="50">
        <v>3</v>
      </c>
      <c r="B574" s="54">
        <v>53387</v>
      </c>
    </row>
    <row r="575" spans="1:2">
      <c r="A575" s="50">
        <v>4</v>
      </c>
      <c r="B575" s="54">
        <v>53418</v>
      </c>
    </row>
    <row r="576" spans="1:2">
      <c r="A576" s="50">
        <v>5</v>
      </c>
      <c r="B576" s="54">
        <v>53448</v>
      </c>
    </row>
    <row r="577" spans="1:2">
      <c r="A577" s="50">
        <v>6</v>
      </c>
      <c r="B577" s="54">
        <v>53479</v>
      </c>
    </row>
    <row r="578" spans="1:2">
      <c r="A578" s="50">
        <v>7</v>
      </c>
      <c r="B578" s="54">
        <v>53509</v>
      </c>
    </row>
    <row r="579" spans="1:2">
      <c r="A579" s="50">
        <v>8</v>
      </c>
      <c r="B579" s="54">
        <v>53540</v>
      </c>
    </row>
    <row r="580" spans="1:2">
      <c r="A580" s="50">
        <v>9</v>
      </c>
      <c r="B580" s="54">
        <v>53571</v>
      </c>
    </row>
    <row r="581" spans="1:2">
      <c r="A581" s="50">
        <v>10</v>
      </c>
      <c r="B581" s="54">
        <v>53601</v>
      </c>
    </row>
    <row r="582" spans="1:2">
      <c r="A582" s="50">
        <v>11</v>
      </c>
      <c r="B582" s="54">
        <v>53632</v>
      </c>
    </row>
    <row r="583" spans="1:2">
      <c r="A583" s="50">
        <v>12</v>
      </c>
      <c r="B583" s="54">
        <v>53662</v>
      </c>
    </row>
    <row r="584" spans="1:2">
      <c r="A584" s="50">
        <v>1</v>
      </c>
      <c r="B584" s="54">
        <v>53693</v>
      </c>
    </row>
    <row r="585" spans="1:2">
      <c r="A585" s="50">
        <v>2</v>
      </c>
      <c r="B585" s="54">
        <v>53724</v>
      </c>
    </row>
    <row r="586" spans="1:2">
      <c r="A586" s="50">
        <v>3</v>
      </c>
      <c r="B586" s="54">
        <v>53752</v>
      </c>
    </row>
    <row r="587" spans="1:2">
      <c r="A587" s="50">
        <v>4</v>
      </c>
      <c r="B587" s="54">
        <v>53783</v>
      </c>
    </row>
    <row r="588" spans="1:2">
      <c r="A588" s="50">
        <v>5</v>
      </c>
      <c r="B588" s="54">
        <v>53813</v>
      </c>
    </row>
    <row r="589" spans="1:2">
      <c r="A589" s="50">
        <v>6</v>
      </c>
      <c r="B589" s="54">
        <v>53844</v>
      </c>
    </row>
    <row r="590" spans="1:2">
      <c r="A590" s="50">
        <v>7</v>
      </c>
      <c r="B590" s="54">
        <v>53874</v>
      </c>
    </row>
    <row r="591" spans="1:2">
      <c r="A591" s="50">
        <v>8</v>
      </c>
      <c r="B591" s="54">
        <v>53905</v>
      </c>
    </row>
    <row r="592" spans="1:2">
      <c r="A592" s="50">
        <v>9</v>
      </c>
      <c r="B592" s="54">
        <v>53936</v>
      </c>
    </row>
    <row r="593" spans="1:2">
      <c r="A593" s="50">
        <v>10</v>
      </c>
      <c r="B593" s="54">
        <v>53966</v>
      </c>
    </row>
    <row r="594" spans="1:2">
      <c r="A594" s="50">
        <v>11</v>
      </c>
      <c r="B594" s="54">
        <v>53997</v>
      </c>
    </row>
    <row r="595" spans="1:2">
      <c r="A595" s="50">
        <v>12</v>
      </c>
      <c r="B595" s="54">
        <v>54027</v>
      </c>
    </row>
    <row r="596" spans="1:2">
      <c r="A596" s="50">
        <v>1</v>
      </c>
      <c r="B596" s="54">
        <v>54058</v>
      </c>
    </row>
    <row r="597" spans="1:2">
      <c r="A597" s="50">
        <v>2</v>
      </c>
      <c r="B597" s="54">
        <v>54089</v>
      </c>
    </row>
    <row r="598" spans="1:2">
      <c r="A598" s="50">
        <v>3</v>
      </c>
      <c r="B598" s="54">
        <v>54118</v>
      </c>
    </row>
    <row r="599" spans="1:2">
      <c r="A599" s="50">
        <v>4</v>
      </c>
      <c r="B599" s="54">
        <v>54149</v>
      </c>
    </row>
    <row r="600" spans="1:2">
      <c r="A600" s="50">
        <v>5</v>
      </c>
      <c r="B600" s="54">
        <v>54179</v>
      </c>
    </row>
    <row r="601" spans="1:2">
      <c r="A601" s="50">
        <v>6</v>
      </c>
      <c r="B601" s="54">
        <v>54210</v>
      </c>
    </row>
    <row r="602" spans="1:2">
      <c r="A602" s="50">
        <v>7</v>
      </c>
      <c r="B602" s="54">
        <v>54240</v>
      </c>
    </row>
    <row r="603" spans="1:2">
      <c r="A603" s="50">
        <v>8</v>
      </c>
      <c r="B603" s="54">
        <v>54271</v>
      </c>
    </row>
    <row r="604" spans="1:2">
      <c r="A604" s="50">
        <v>9</v>
      </c>
      <c r="B604" s="54">
        <v>54302</v>
      </c>
    </row>
    <row r="605" spans="1:2">
      <c r="A605" s="50">
        <v>10</v>
      </c>
      <c r="B605" s="54">
        <v>54332</v>
      </c>
    </row>
    <row r="606" spans="1:2">
      <c r="A606" s="50">
        <v>11</v>
      </c>
      <c r="B606" s="54">
        <v>54363</v>
      </c>
    </row>
    <row r="607" spans="1:2">
      <c r="A607" s="50">
        <v>12</v>
      </c>
      <c r="B607" s="54">
        <v>54393</v>
      </c>
    </row>
    <row r="608" spans="1:2">
      <c r="A608" s="50">
        <v>1</v>
      </c>
      <c r="B608" s="54">
        <v>54424</v>
      </c>
    </row>
    <row r="609" spans="1:2">
      <c r="A609" s="50">
        <v>2</v>
      </c>
      <c r="B609" s="54">
        <v>54455</v>
      </c>
    </row>
    <row r="610" spans="1:2">
      <c r="A610" s="50">
        <v>3</v>
      </c>
      <c r="B610" s="54">
        <v>54483</v>
      </c>
    </row>
    <row r="611" spans="1:2">
      <c r="A611" s="50">
        <v>4</v>
      </c>
      <c r="B611" s="54">
        <v>54514</v>
      </c>
    </row>
    <row r="612" spans="1:2">
      <c r="A612" s="50">
        <v>5</v>
      </c>
      <c r="B612" s="54">
        <v>54544</v>
      </c>
    </row>
    <row r="613" spans="1:2">
      <c r="A613" s="50">
        <v>6</v>
      </c>
      <c r="B613" s="54">
        <v>54575</v>
      </c>
    </row>
    <row r="614" spans="1:2">
      <c r="A614" s="50">
        <v>7</v>
      </c>
      <c r="B614" s="54">
        <v>54605</v>
      </c>
    </row>
    <row r="615" spans="1:2">
      <c r="A615" s="50">
        <v>8</v>
      </c>
      <c r="B615" s="54">
        <v>54636</v>
      </c>
    </row>
    <row r="616" spans="1:2">
      <c r="A616" s="50">
        <v>9</v>
      </c>
      <c r="B616" s="54">
        <v>54667</v>
      </c>
    </row>
    <row r="617" spans="1:2">
      <c r="A617" s="50">
        <v>10</v>
      </c>
      <c r="B617" s="54">
        <v>54697</v>
      </c>
    </row>
    <row r="618" spans="1:2">
      <c r="A618" s="50">
        <v>11</v>
      </c>
      <c r="B618" s="54">
        <v>54728</v>
      </c>
    </row>
    <row r="619" spans="1:2">
      <c r="A619" s="50">
        <v>12</v>
      </c>
      <c r="B619" s="54">
        <v>54758</v>
      </c>
    </row>
    <row r="620" spans="1:2">
      <c r="A620" s="50">
        <v>1</v>
      </c>
      <c r="B620" s="54">
        <v>54789</v>
      </c>
    </row>
    <row r="621" spans="1:2">
      <c r="A621" s="50">
        <v>2</v>
      </c>
      <c r="B621" s="54">
        <v>54820</v>
      </c>
    </row>
    <row r="622" spans="1:2">
      <c r="A622" s="50">
        <v>3</v>
      </c>
      <c r="B622" s="54">
        <v>54848</v>
      </c>
    </row>
    <row r="623" spans="1:2">
      <c r="A623" s="50">
        <v>4</v>
      </c>
      <c r="B623" s="54">
        <v>54879</v>
      </c>
    </row>
    <row r="624" spans="1:2">
      <c r="A624" s="50">
        <v>5</v>
      </c>
      <c r="B624" s="54">
        <v>54909</v>
      </c>
    </row>
    <row r="625" spans="1:2">
      <c r="A625" s="50">
        <v>6</v>
      </c>
      <c r="B625" s="54">
        <v>54940</v>
      </c>
    </row>
    <row r="626" spans="1:2">
      <c r="A626" s="50">
        <v>7</v>
      </c>
      <c r="B626" s="54">
        <v>54970</v>
      </c>
    </row>
    <row r="627" spans="1:2">
      <c r="A627" s="50">
        <v>8</v>
      </c>
      <c r="B627" s="54">
        <v>55001</v>
      </c>
    </row>
    <row r="628" spans="1:2">
      <c r="A628" s="50">
        <v>9</v>
      </c>
      <c r="B628" s="54">
        <v>55032</v>
      </c>
    </row>
    <row r="629" spans="1:2">
      <c r="A629" s="50">
        <v>10</v>
      </c>
      <c r="B629" s="54">
        <v>55062</v>
      </c>
    </row>
    <row r="630" spans="1:2">
      <c r="A630" s="50">
        <v>11</v>
      </c>
      <c r="B630" s="54">
        <v>55093</v>
      </c>
    </row>
    <row r="631" spans="1:2">
      <c r="A631" s="50">
        <v>12</v>
      </c>
      <c r="B631" s="54">
        <v>55123</v>
      </c>
    </row>
    <row r="632" spans="1:2">
      <c r="A632" s="50">
        <v>1</v>
      </c>
      <c r="B632" s="54">
        <v>55154</v>
      </c>
    </row>
    <row r="633" spans="1:2">
      <c r="A633" s="50">
        <v>2</v>
      </c>
      <c r="B633" s="54">
        <v>55185</v>
      </c>
    </row>
    <row r="634" spans="1:2">
      <c r="A634" s="50">
        <v>3</v>
      </c>
      <c r="B634" s="54">
        <v>55213</v>
      </c>
    </row>
    <row r="635" spans="1:2">
      <c r="A635" s="50">
        <v>4</v>
      </c>
      <c r="B635" s="54">
        <v>55244</v>
      </c>
    </row>
    <row r="636" spans="1:2">
      <c r="A636" s="50">
        <v>5</v>
      </c>
      <c r="B636" s="54">
        <v>55274</v>
      </c>
    </row>
    <row r="637" spans="1:2">
      <c r="A637" s="50">
        <v>6</v>
      </c>
      <c r="B637" s="54">
        <v>55305</v>
      </c>
    </row>
    <row r="638" spans="1:2">
      <c r="A638" s="50">
        <v>7</v>
      </c>
      <c r="B638" s="54">
        <v>55335</v>
      </c>
    </row>
    <row r="639" spans="1:2">
      <c r="A639" s="50">
        <v>8</v>
      </c>
      <c r="B639" s="54">
        <v>55366</v>
      </c>
    </row>
    <row r="640" spans="1:2">
      <c r="A640" s="50">
        <v>9</v>
      </c>
      <c r="B640" s="54">
        <v>55397</v>
      </c>
    </row>
    <row r="641" spans="1:2">
      <c r="A641" s="50">
        <v>10</v>
      </c>
      <c r="B641" s="54">
        <v>55427</v>
      </c>
    </row>
    <row r="642" spans="1:2">
      <c r="A642" s="50">
        <v>11</v>
      </c>
      <c r="B642" s="54">
        <v>55458</v>
      </c>
    </row>
    <row r="643" spans="1:2">
      <c r="A643" s="50">
        <v>12</v>
      </c>
      <c r="B643" s="54">
        <v>55488</v>
      </c>
    </row>
    <row r="644" spans="1:2">
      <c r="A644" s="50">
        <v>1</v>
      </c>
      <c r="B644" s="54">
        <v>55519</v>
      </c>
    </row>
    <row r="645" spans="1:2">
      <c r="A645" s="50">
        <v>2</v>
      </c>
      <c r="B645" s="54">
        <v>55550</v>
      </c>
    </row>
    <row r="646" spans="1:2">
      <c r="A646" s="50">
        <v>3</v>
      </c>
      <c r="B646" s="54">
        <v>55579</v>
      </c>
    </row>
    <row r="647" spans="1:2">
      <c r="A647" s="50">
        <v>4</v>
      </c>
      <c r="B647" s="54">
        <v>55610</v>
      </c>
    </row>
    <row r="648" spans="1:2">
      <c r="A648" s="50">
        <v>5</v>
      </c>
      <c r="B648" s="54">
        <v>55640</v>
      </c>
    </row>
    <row r="649" spans="1:2">
      <c r="A649" s="50">
        <v>6</v>
      </c>
      <c r="B649" s="54">
        <v>55671</v>
      </c>
    </row>
    <row r="650" spans="1:2">
      <c r="A650" s="50">
        <v>7</v>
      </c>
      <c r="B650" s="54">
        <v>55701</v>
      </c>
    </row>
    <row r="651" spans="1:2">
      <c r="A651" s="50">
        <v>8</v>
      </c>
      <c r="B651" s="54">
        <v>55732</v>
      </c>
    </row>
    <row r="652" spans="1:2">
      <c r="A652" s="50">
        <v>9</v>
      </c>
      <c r="B652" s="54">
        <v>55763</v>
      </c>
    </row>
    <row r="653" spans="1:2">
      <c r="A653" s="50">
        <v>10</v>
      </c>
      <c r="B653" s="54">
        <v>55793</v>
      </c>
    </row>
    <row r="654" spans="1:2">
      <c r="A654" s="50">
        <v>11</v>
      </c>
      <c r="B654" s="54">
        <v>55824</v>
      </c>
    </row>
    <row r="655" spans="1:2">
      <c r="A655" s="50">
        <v>12</v>
      </c>
      <c r="B655" s="54">
        <v>55854</v>
      </c>
    </row>
    <row r="656" spans="1:2">
      <c r="A656" s="50">
        <v>1</v>
      </c>
      <c r="B656" s="54">
        <v>55885</v>
      </c>
    </row>
    <row r="657" spans="1:2">
      <c r="A657" s="50">
        <v>2</v>
      </c>
      <c r="B657" s="54">
        <v>55916</v>
      </c>
    </row>
    <row r="658" spans="1:2">
      <c r="A658" s="50">
        <v>3</v>
      </c>
      <c r="B658" s="54">
        <v>55944</v>
      </c>
    </row>
    <row r="659" spans="1:2">
      <c r="A659" s="50">
        <v>4</v>
      </c>
      <c r="B659" s="54">
        <v>55975</v>
      </c>
    </row>
    <row r="660" spans="1:2">
      <c r="A660" s="50">
        <v>5</v>
      </c>
      <c r="B660" s="54">
        <v>56005</v>
      </c>
    </row>
    <row r="661" spans="1:2">
      <c r="A661" s="50">
        <v>6</v>
      </c>
      <c r="B661" s="54">
        <v>56036</v>
      </c>
    </row>
    <row r="662" spans="1:2">
      <c r="A662" s="50">
        <v>7</v>
      </c>
      <c r="B662" s="54">
        <v>56066</v>
      </c>
    </row>
    <row r="663" spans="1:2">
      <c r="A663" s="50">
        <v>8</v>
      </c>
      <c r="B663" s="54">
        <v>56097</v>
      </c>
    </row>
    <row r="664" spans="1:2">
      <c r="A664" s="50">
        <v>9</v>
      </c>
      <c r="B664" s="54">
        <v>56128</v>
      </c>
    </row>
    <row r="665" spans="1:2">
      <c r="A665" s="50">
        <v>10</v>
      </c>
      <c r="B665" s="54">
        <v>56158</v>
      </c>
    </row>
    <row r="666" spans="1:2">
      <c r="A666" s="50">
        <v>11</v>
      </c>
      <c r="B666" s="54">
        <v>56189</v>
      </c>
    </row>
    <row r="667" spans="1:2">
      <c r="A667" s="50">
        <v>12</v>
      </c>
      <c r="B667" s="54">
        <v>56219</v>
      </c>
    </row>
    <row r="668" spans="1:2">
      <c r="A668" s="50">
        <v>1</v>
      </c>
      <c r="B668" s="54">
        <v>56250</v>
      </c>
    </row>
    <row r="669" spans="1:2">
      <c r="A669" s="50">
        <v>2</v>
      </c>
      <c r="B669" s="54">
        <v>56281</v>
      </c>
    </row>
    <row r="670" spans="1:2">
      <c r="A670" s="50">
        <v>3</v>
      </c>
      <c r="B670" s="54">
        <v>56309</v>
      </c>
    </row>
    <row r="671" spans="1:2">
      <c r="A671" s="50">
        <v>4</v>
      </c>
      <c r="B671" s="54">
        <v>56340</v>
      </c>
    </row>
    <row r="672" spans="1:2">
      <c r="A672" s="50">
        <v>5</v>
      </c>
      <c r="B672" s="54">
        <v>56370</v>
      </c>
    </row>
    <row r="673" spans="1:2">
      <c r="A673" s="50">
        <v>6</v>
      </c>
      <c r="B673" s="54">
        <v>56401</v>
      </c>
    </row>
    <row r="674" spans="1:2">
      <c r="A674" s="50">
        <v>7</v>
      </c>
      <c r="B674" s="54">
        <v>56431</v>
      </c>
    </row>
    <row r="675" spans="1:2">
      <c r="A675" s="50">
        <v>8</v>
      </c>
      <c r="B675" s="54">
        <v>56462</v>
      </c>
    </row>
    <row r="676" spans="1:2">
      <c r="A676" s="50">
        <v>9</v>
      </c>
      <c r="B676" s="54">
        <v>56493</v>
      </c>
    </row>
    <row r="677" spans="1:2">
      <c r="A677" s="50">
        <v>10</v>
      </c>
      <c r="B677" s="54">
        <v>56523</v>
      </c>
    </row>
    <row r="678" spans="1:2">
      <c r="A678" s="50">
        <v>11</v>
      </c>
      <c r="B678" s="54">
        <v>56554</v>
      </c>
    </row>
    <row r="679" spans="1:2">
      <c r="A679" s="50">
        <v>12</v>
      </c>
      <c r="B679" s="54">
        <v>56584</v>
      </c>
    </row>
    <row r="680" spans="1:2">
      <c r="A680" s="50">
        <v>1</v>
      </c>
      <c r="B680" s="54">
        <v>56615</v>
      </c>
    </row>
    <row r="681" spans="1:2">
      <c r="A681" s="50">
        <v>2</v>
      </c>
      <c r="B681" s="54">
        <v>56646</v>
      </c>
    </row>
    <row r="682" spans="1:2">
      <c r="A682" s="50">
        <v>3</v>
      </c>
      <c r="B682" s="54">
        <v>56674</v>
      </c>
    </row>
    <row r="683" spans="1:2">
      <c r="A683" s="50">
        <v>4</v>
      </c>
      <c r="B683" s="54">
        <v>56705</v>
      </c>
    </row>
    <row r="684" spans="1:2">
      <c r="A684" s="50">
        <v>5</v>
      </c>
      <c r="B684" s="54">
        <v>56735</v>
      </c>
    </row>
    <row r="685" spans="1:2">
      <c r="A685" s="50">
        <v>6</v>
      </c>
      <c r="B685" s="54">
        <v>56766</v>
      </c>
    </row>
    <row r="686" spans="1:2">
      <c r="A686" s="50">
        <v>7</v>
      </c>
      <c r="B686" s="54">
        <v>56796</v>
      </c>
    </row>
    <row r="687" spans="1:2">
      <c r="A687" s="50">
        <v>8</v>
      </c>
      <c r="B687" s="54">
        <v>56827</v>
      </c>
    </row>
    <row r="688" spans="1:2">
      <c r="A688" s="50">
        <v>9</v>
      </c>
      <c r="B688" s="54">
        <v>56858</v>
      </c>
    </row>
    <row r="689" spans="1:2">
      <c r="A689" s="50">
        <v>10</v>
      </c>
      <c r="B689" s="54">
        <v>56888</v>
      </c>
    </row>
    <row r="690" spans="1:2">
      <c r="A690" s="50">
        <v>11</v>
      </c>
      <c r="B690" s="54">
        <v>56919</v>
      </c>
    </row>
    <row r="691" spans="1:2">
      <c r="A691" s="50">
        <v>12</v>
      </c>
      <c r="B691" s="54">
        <v>56949</v>
      </c>
    </row>
    <row r="692" spans="1:2">
      <c r="A692" s="50">
        <v>1</v>
      </c>
      <c r="B692" s="54">
        <v>56980</v>
      </c>
    </row>
    <row r="693" spans="1:2">
      <c r="A693" s="50">
        <v>2</v>
      </c>
      <c r="B693" s="54">
        <v>57011</v>
      </c>
    </row>
    <row r="694" spans="1:2">
      <c r="A694" s="50">
        <v>3</v>
      </c>
      <c r="B694" s="54">
        <v>57040</v>
      </c>
    </row>
    <row r="695" spans="1:2">
      <c r="A695" s="50">
        <v>4</v>
      </c>
      <c r="B695" s="54">
        <v>57071</v>
      </c>
    </row>
    <row r="696" spans="1:2">
      <c r="A696" s="50">
        <v>5</v>
      </c>
      <c r="B696" s="54">
        <v>57101</v>
      </c>
    </row>
    <row r="697" spans="1:2">
      <c r="A697" s="50">
        <v>6</v>
      </c>
      <c r="B697" s="54">
        <v>57132</v>
      </c>
    </row>
    <row r="698" spans="1:2">
      <c r="A698" s="50">
        <v>7</v>
      </c>
      <c r="B698" s="54">
        <v>57162</v>
      </c>
    </row>
    <row r="699" spans="1:2">
      <c r="A699" s="50">
        <v>8</v>
      </c>
      <c r="B699" s="54">
        <v>57193</v>
      </c>
    </row>
    <row r="700" spans="1:2">
      <c r="A700" s="50">
        <v>9</v>
      </c>
      <c r="B700" s="54">
        <v>57224</v>
      </c>
    </row>
    <row r="701" spans="1:2">
      <c r="A701" s="50">
        <v>10</v>
      </c>
      <c r="B701" s="54">
        <v>57254</v>
      </c>
    </row>
    <row r="702" spans="1:2">
      <c r="A702" s="50">
        <v>11</v>
      </c>
      <c r="B702" s="54">
        <v>57285</v>
      </c>
    </row>
    <row r="703" spans="1:2">
      <c r="A703" s="50">
        <v>12</v>
      </c>
      <c r="B703" s="54">
        <v>57315</v>
      </c>
    </row>
    <row r="704" spans="1:2">
      <c r="A704" s="50">
        <v>1</v>
      </c>
      <c r="B704" s="54">
        <v>57346</v>
      </c>
    </row>
    <row r="705" spans="1:2">
      <c r="A705" s="50">
        <v>2</v>
      </c>
      <c r="B705" s="54">
        <v>57377</v>
      </c>
    </row>
    <row r="706" spans="1:2">
      <c r="A706" s="50">
        <v>3</v>
      </c>
      <c r="B706" s="54">
        <v>57405</v>
      </c>
    </row>
    <row r="707" spans="1:2">
      <c r="A707" s="50">
        <v>4</v>
      </c>
      <c r="B707" s="54">
        <v>57436</v>
      </c>
    </row>
    <row r="708" spans="1:2">
      <c r="A708" s="50">
        <v>5</v>
      </c>
      <c r="B708" s="54">
        <v>57466</v>
      </c>
    </row>
    <row r="709" spans="1:2">
      <c r="A709" s="50">
        <v>6</v>
      </c>
      <c r="B709" s="54">
        <v>57497</v>
      </c>
    </row>
    <row r="710" spans="1:2">
      <c r="A710" s="50">
        <v>7</v>
      </c>
      <c r="B710" s="54">
        <v>57527</v>
      </c>
    </row>
    <row r="711" spans="1:2">
      <c r="A711" s="50">
        <v>8</v>
      </c>
      <c r="B711" s="54">
        <v>57558</v>
      </c>
    </row>
    <row r="712" spans="1:2">
      <c r="A712" s="50">
        <v>9</v>
      </c>
      <c r="B712" s="54">
        <v>57589</v>
      </c>
    </row>
    <row r="713" spans="1:2">
      <c r="A713" s="50">
        <v>10</v>
      </c>
      <c r="B713" s="54">
        <v>57619</v>
      </c>
    </row>
    <row r="714" spans="1:2">
      <c r="A714" s="50">
        <v>11</v>
      </c>
      <c r="B714" s="54">
        <v>57650</v>
      </c>
    </row>
    <row r="715" spans="1:2">
      <c r="A715" s="50">
        <v>12</v>
      </c>
      <c r="B715" s="54">
        <v>57680</v>
      </c>
    </row>
    <row r="716" spans="1:2">
      <c r="A716" s="50">
        <v>1</v>
      </c>
      <c r="B716" s="54">
        <v>57711</v>
      </c>
    </row>
    <row r="717" spans="1:2">
      <c r="A717" s="50">
        <v>2</v>
      </c>
      <c r="B717" s="54">
        <v>57742</v>
      </c>
    </row>
    <row r="718" spans="1:2">
      <c r="A718" s="50">
        <v>3</v>
      </c>
      <c r="B718" s="54">
        <v>57770</v>
      </c>
    </row>
    <row r="719" spans="1:2">
      <c r="A719" s="50">
        <v>4</v>
      </c>
      <c r="B719" s="54">
        <v>57801</v>
      </c>
    </row>
    <row r="720" spans="1:2">
      <c r="A720" s="50">
        <v>5</v>
      </c>
      <c r="B720" s="54">
        <v>57831</v>
      </c>
    </row>
    <row r="721" spans="1:2">
      <c r="A721" s="50">
        <v>6</v>
      </c>
      <c r="B721" s="54">
        <v>57862</v>
      </c>
    </row>
    <row r="722" spans="1:2">
      <c r="A722" s="50">
        <v>7</v>
      </c>
      <c r="B722" s="54">
        <v>57892</v>
      </c>
    </row>
    <row r="723" spans="1:2">
      <c r="A723" s="50">
        <v>8</v>
      </c>
      <c r="B723" s="54">
        <v>57923</v>
      </c>
    </row>
    <row r="724" spans="1:2">
      <c r="A724" s="50">
        <v>9</v>
      </c>
      <c r="B724" s="54">
        <v>57954</v>
      </c>
    </row>
    <row r="725" spans="1:2">
      <c r="A725" s="50">
        <v>10</v>
      </c>
      <c r="B725" s="54">
        <v>57984</v>
      </c>
    </row>
    <row r="726" spans="1:2">
      <c r="A726" s="50">
        <v>11</v>
      </c>
      <c r="B726" s="54">
        <v>58015</v>
      </c>
    </row>
    <row r="727" spans="1:2">
      <c r="A727" s="50">
        <v>12</v>
      </c>
      <c r="B727" s="54">
        <v>58045</v>
      </c>
    </row>
    <row r="728" spans="1:2">
      <c r="A728" s="50">
        <v>1</v>
      </c>
      <c r="B728" s="54">
        <v>58076</v>
      </c>
    </row>
    <row r="729" spans="1:2">
      <c r="A729" s="50">
        <v>2</v>
      </c>
      <c r="B729" s="54">
        <v>58107</v>
      </c>
    </row>
    <row r="730" spans="1:2">
      <c r="A730" s="50">
        <v>3</v>
      </c>
      <c r="B730" s="54">
        <v>58135</v>
      </c>
    </row>
    <row r="731" spans="1:2">
      <c r="A731" s="50">
        <v>4</v>
      </c>
      <c r="B731" s="54">
        <v>58166</v>
      </c>
    </row>
    <row r="732" spans="1:2">
      <c r="A732" s="50">
        <v>5</v>
      </c>
      <c r="B732" s="54">
        <v>58196</v>
      </c>
    </row>
    <row r="733" spans="1:2">
      <c r="A733" s="50">
        <v>6</v>
      </c>
      <c r="B733" s="54">
        <v>58227</v>
      </c>
    </row>
    <row r="734" spans="1:2">
      <c r="A734" s="50">
        <v>7</v>
      </c>
      <c r="B734" s="54">
        <v>58257</v>
      </c>
    </row>
    <row r="735" spans="1:2">
      <c r="A735" s="50">
        <v>8</v>
      </c>
      <c r="B735" s="54">
        <v>58288</v>
      </c>
    </row>
    <row r="736" spans="1:2">
      <c r="A736" s="50">
        <v>9</v>
      </c>
      <c r="B736" s="54">
        <v>58319</v>
      </c>
    </row>
    <row r="737" spans="1:2">
      <c r="A737" s="50">
        <v>10</v>
      </c>
      <c r="B737" s="54">
        <v>58349</v>
      </c>
    </row>
    <row r="738" spans="1:2">
      <c r="A738" s="50">
        <v>11</v>
      </c>
      <c r="B738" s="54">
        <v>58380</v>
      </c>
    </row>
    <row r="739" spans="1:2">
      <c r="A739" s="50">
        <v>12</v>
      </c>
      <c r="B739" s="54">
        <v>58410</v>
      </c>
    </row>
    <row r="740" spans="1:2">
      <c r="A740" s="50">
        <v>1</v>
      </c>
      <c r="B740" s="54">
        <v>58441</v>
      </c>
    </row>
    <row r="741" spans="1:2">
      <c r="A741" s="50">
        <v>2</v>
      </c>
      <c r="B741" s="54">
        <v>58472</v>
      </c>
    </row>
    <row r="742" spans="1:2">
      <c r="A742" s="50">
        <v>3</v>
      </c>
      <c r="B742" s="54">
        <v>58501</v>
      </c>
    </row>
    <row r="743" spans="1:2">
      <c r="A743" s="50">
        <v>4</v>
      </c>
      <c r="B743" s="54">
        <v>58532</v>
      </c>
    </row>
    <row r="744" spans="1:2">
      <c r="A744" s="50">
        <v>5</v>
      </c>
      <c r="B744" s="54">
        <v>58562</v>
      </c>
    </row>
    <row r="745" spans="1:2">
      <c r="A745" s="50">
        <v>6</v>
      </c>
      <c r="B745" s="54">
        <v>58593</v>
      </c>
    </row>
    <row r="746" spans="1:2">
      <c r="A746" s="50">
        <v>7</v>
      </c>
      <c r="B746" s="54">
        <v>58623</v>
      </c>
    </row>
    <row r="747" spans="1:2">
      <c r="A747" s="50">
        <v>8</v>
      </c>
      <c r="B747" s="54">
        <v>58654</v>
      </c>
    </row>
    <row r="748" spans="1:2">
      <c r="A748" s="50">
        <v>9</v>
      </c>
      <c r="B748" s="54">
        <v>58685</v>
      </c>
    </row>
    <row r="749" spans="1:2">
      <c r="A749" s="50">
        <v>10</v>
      </c>
      <c r="B749" s="54">
        <v>58715</v>
      </c>
    </row>
    <row r="750" spans="1:2">
      <c r="A750" s="50">
        <v>11</v>
      </c>
      <c r="B750" s="54">
        <v>58746</v>
      </c>
    </row>
    <row r="751" spans="1:2">
      <c r="A751" s="50">
        <v>12</v>
      </c>
      <c r="B751" s="54">
        <v>58776</v>
      </c>
    </row>
    <row r="752" spans="1:2">
      <c r="A752" s="50">
        <v>1</v>
      </c>
      <c r="B752" s="54">
        <v>58807</v>
      </c>
    </row>
    <row r="753" spans="1:2">
      <c r="A753" s="50">
        <v>2</v>
      </c>
      <c r="B753" s="54">
        <v>58838</v>
      </c>
    </row>
    <row r="754" spans="1:2">
      <c r="A754" s="50">
        <v>3</v>
      </c>
      <c r="B754" s="54">
        <v>58866</v>
      </c>
    </row>
    <row r="755" spans="1:2">
      <c r="A755" s="50">
        <v>4</v>
      </c>
      <c r="B755" s="54">
        <v>58897</v>
      </c>
    </row>
    <row r="756" spans="1:2">
      <c r="A756" s="50">
        <v>5</v>
      </c>
      <c r="B756" s="54">
        <v>58927</v>
      </c>
    </row>
    <row r="757" spans="1:2">
      <c r="A757" s="50">
        <v>6</v>
      </c>
      <c r="B757" s="54">
        <v>58958</v>
      </c>
    </row>
    <row r="758" spans="1:2">
      <c r="A758" s="50">
        <v>7</v>
      </c>
      <c r="B758" s="54">
        <v>58988</v>
      </c>
    </row>
    <row r="759" spans="1:2">
      <c r="A759" s="50">
        <v>8</v>
      </c>
      <c r="B759" s="54">
        <v>59019</v>
      </c>
    </row>
    <row r="760" spans="1:2">
      <c r="A760" s="50">
        <v>9</v>
      </c>
      <c r="B760" s="54">
        <v>59050</v>
      </c>
    </row>
    <row r="761" spans="1:2">
      <c r="A761" s="50">
        <v>10</v>
      </c>
      <c r="B761" s="54">
        <v>59080</v>
      </c>
    </row>
    <row r="762" spans="1:2">
      <c r="A762" s="50">
        <v>11</v>
      </c>
      <c r="B762" s="54">
        <v>59111</v>
      </c>
    </row>
    <row r="763" spans="1:2">
      <c r="A763" s="50">
        <v>12</v>
      </c>
      <c r="B763" s="54">
        <v>59141</v>
      </c>
    </row>
    <row r="764" spans="1:2">
      <c r="A764" s="50">
        <v>1</v>
      </c>
      <c r="B764" s="54">
        <v>59172</v>
      </c>
    </row>
    <row r="765" spans="1:2">
      <c r="A765" s="50">
        <v>2</v>
      </c>
      <c r="B765" s="54">
        <v>59203</v>
      </c>
    </row>
    <row r="766" spans="1:2">
      <c r="A766" s="50">
        <v>3</v>
      </c>
      <c r="B766" s="54">
        <v>59231</v>
      </c>
    </row>
    <row r="767" spans="1:2">
      <c r="A767" s="50">
        <v>4</v>
      </c>
      <c r="B767" s="54">
        <v>59262</v>
      </c>
    </row>
    <row r="768" spans="1:2">
      <c r="A768" s="50">
        <v>5</v>
      </c>
      <c r="B768" s="54">
        <v>59292</v>
      </c>
    </row>
    <row r="769" spans="1:2">
      <c r="A769" s="50">
        <v>6</v>
      </c>
      <c r="B769" s="54">
        <v>59323</v>
      </c>
    </row>
    <row r="770" spans="1:2">
      <c r="A770" s="50">
        <v>7</v>
      </c>
      <c r="B770" s="54">
        <v>59353</v>
      </c>
    </row>
    <row r="771" spans="1:2">
      <c r="A771" s="50">
        <v>8</v>
      </c>
      <c r="B771" s="54">
        <v>59384</v>
      </c>
    </row>
    <row r="772" spans="1:2">
      <c r="A772" s="50">
        <v>9</v>
      </c>
      <c r="B772" s="54">
        <v>59415</v>
      </c>
    </row>
    <row r="773" spans="1:2">
      <c r="A773" s="50">
        <v>10</v>
      </c>
      <c r="B773" s="54">
        <v>59445</v>
      </c>
    </row>
    <row r="774" spans="1:2">
      <c r="A774" s="50">
        <v>11</v>
      </c>
      <c r="B774" s="54">
        <v>59476</v>
      </c>
    </row>
    <row r="775" spans="1:2">
      <c r="A775" s="50">
        <v>12</v>
      </c>
      <c r="B775" s="54">
        <v>59506</v>
      </c>
    </row>
    <row r="776" spans="1:2">
      <c r="A776" s="50">
        <v>1</v>
      </c>
      <c r="B776" s="54">
        <v>59537</v>
      </c>
    </row>
    <row r="777" spans="1:2">
      <c r="A777" s="50">
        <v>2</v>
      </c>
      <c r="B777" s="54">
        <v>59568</v>
      </c>
    </row>
    <row r="778" spans="1:2">
      <c r="A778" s="50">
        <v>3</v>
      </c>
      <c r="B778" s="54">
        <v>59596</v>
      </c>
    </row>
    <row r="779" spans="1:2">
      <c r="A779" s="50">
        <v>4</v>
      </c>
      <c r="B779" s="54">
        <v>59627</v>
      </c>
    </row>
    <row r="780" spans="1:2">
      <c r="A780" s="50">
        <v>5</v>
      </c>
      <c r="B780" s="54">
        <v>59657</v>
      </c>
    </row>
    <row r="781" spans="1:2">
      <c r="A781" s="50">
        <v>6</v>
      </c>
      <c r="B781" s="54">
        <v>59688</v>
      </c>
    </row>
    <row r="782" spans="1:2">
      <c r="A782" s="50">
        <v>7</v>
      </c>
      <c r="B782" s="54">
        <v>59718</v>
      </c>
    </row>
    <row r="783" spans="1:2">
      <c r="A783" s="50">
        <v>8</v>
      </c>
      <c r="B783" s="54">
        <v>59749</v>
      </c>
    </row>
    <row r="784" spans="1:2">
      <c r="A784" s="50">
        <v>9</v>
      </c>
      <c r="B784" s="54">
        <v>59780</v>
      </c>
    </row>
    <row r="785" spans="1:2">
      <c r="A785" s="50">
        <v>10</v>
      </c>
      <c r="B785" s="54">
        <v>59810</v>
      </c>
    </row>
    <row r="786" spans="1:2">
      <c r="A786" s="50">
        <v>11</v>
      </c>
      <c r="B786" s="54">
        <v>59841</v>
      </c>
    </row>
    <row r="787" spans="1:2">
      <c r="A787" s="50">
        <v>12</v>
      </c>
      <c r="B787" s="54">
        <v>59871</v>
      </c>
    </row>
  </sheetData>
  <pageMargins left="0.75" right="0.75" top="1" bottom="1" header="0.5" footer="0.5"/>
  <pageSetup paperSize="5" scale="71" orientation="landscape" horizontalDpi="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7"/>
  <sheetViews>
    <sheetView workbookViewId="0">
      <selection activeCell="F25" sqref="F25"/>
    </sheetView>
  </sheetViews>
  <sheetFormatPr defaultColWidth="12.5546875" defaultRowHeight="15.6"/>
  <cols>
    <col min="1" max="1" width="1.88671875" style="44" customWidth="1"/>
    <col min="2" max="2" width="13.33203125" style="44" customWidth="1"/>
    <col min="3" max="3" width="9.6640625" style="241" customWidth="1"/>
    <col min="4" max="22" width="9.6640625" style="44" customWidth="1"/>
    <col min="23" max="16384" width="12.5546875" style="44"/>
  </cols>
  <sheetData>
    <row r="1" spans="1:23" s="50" customFormat="1" ht="6.6">
      <c r="C1" s="244">
        <v>1</v>
      </c>
      <c r="D1" s="50">
        <f>C1+1</f>
        <v>2</v>
      </c>
      <c r="E1" s="50">
        <f t="shared" ref="E1:V1" si="0">D1+1</f>
        <v>3</v>
      </c>
      <c r="F1" s="50">
        <f t="shared" si="0"/>
        <v>4</v>
      </c>
      <c r="G1" s="50">
        <f t="shared" si="0"/>
        <v>5</v>
      </c>
      <c r="H1" s="50">
        <f t="shared" si="0"/>
        <v>6</v>
      </c>
      <c r="I1" s="50">
        <f t="shared" si="0"/>
        <v>7</v>
      </c>
      <c r="J1" s="50">
        <f t="shared" si="0"/>
        <v>8</v>
      </c>
      <c r="K1" s="50">
        <f t="shared" si="0"/>
        <v>9</v>
      </c>
      <c r="L1" s="50">
        <f t="shared" si="0"/>
        <v>10</v>
      </c>
      <c r="M1" s="50">
        <f t="shared" si="0"/>
        <v>11</v>
      </c>
      <c r="N1" s="50">
        <f t="shared" si="0"/>
        <v>12</v>
      </c>
      <c r="O1" s="50">
        <f t="shared" si="0"/>
        <v>13</v>
      </c>
      <c r="P1" s="50">
        <f t="shared" si="0"/>
        <v>14</v>
      </c>
      <c r="Q1" s="50">
        <f t="shared" si="0"/>
        <v>15</v>
      </c>
      <c r="R1" s="50">
        <f t="shared" si="0"/>
        <v>16</v>
      </c>
      <c r="S1" s="50">
        <f t="shared" si="0"/>
        <v>17</v>
      </c>
      <c r="T1" s="50">
        <f t="shared" si="0"/>
        <v>18</v>
      </c>
      <c r="U1" s="50">
        <f t="shared" si="0"/>
        <v>19</v>
      </c>
      <c r="V1" s="50">
        <f t="shared" si="0"/>
        <v>20</v>
      </c>
    </row>
    <row r="2" spans="1:23">
      <c r="B2" s="45" t="s">
        <v>75</v>
      </c>
      <c r="C2" s="46">
        <v>2000</v>
      </c>
      <c r="D2" s="46">
        <v>2001</v>
      </c>
      <c r="E2" s="46">
        <v>2002</v>
      </c>
      <c r="F2" s="46">
        <v>2003</v>
      </c>
      <c r="G2" s="46">
        <v>2004</v>
      </c>
      <c r="H2" s="46">
        <v>2005</v>
      </c>
      <c r="I2" s="46">
        <v>2006</v>
      </c>
      <c r="J2" s="46">
        <v>2007</v>
      </c>
      <c r="K2" s="46">
        <v>2008</v>
      </c>
      <c r="L2" s="46">
        <v>2009</v>
      </c>
      <c r="M2" s="46">
        <v>2010</v>
      </c>
      <c r="N2" s="46">
        <v>2011</v>
      </c>
      <c r="O2" s="46">
        <v>2012</v>
      </c>
      <c r="P2" s="46">
        <v>2013</v>
      </c>
      <c r="Q2" s="46">
        <v>2014</v>
      </c>
      <c r="R2" s="46">
        <v>2015</v>
      </c>
      <c r="S2" s="46">
        <v>2016</v>
      </c>
      <c r="T2" s="46">
        <v>2017</v>
      </c>
      <c r="U2" s="46">
        <v>2018</v>
      </c>
      <c r="V2" s="46">
        <v>2019</v>
      </c>
    </row>
    <row r="3" spans="1:23" ht="16.2" thickBot="1">
      <c r="B3" s="45" t="s">
        <v>76</v>
      </c>
      <c r="C3" s="245">
        <v>7</v>
      </c>
      <c r="D3" s="49">
        <v>12</v>
      </c>
      <c r="E3" s="49">
        <v>12</v>
      </c>
      <c r="F3" s="49">
        <v>12</v>
      </c>
      <c r="G3" s="49">
        <v>12</v>
      </c>
      <c r="H3" s="49">
        <v>12</v>
      </c>
      <c r="I3" s="49">
        <v>12</v>
      </c>
      <c r="J3" s="49">
        <v>12</v>
      </c>
      <c r="K3" s="49">
        <v>12</v>
      </c>
      <c r="L3" s="49">
        <v>12</v>
      </c>
      <c r="M3" s="49">
        <v>12</v>
      </c>
      <c r="N3" s="49">
        <v>12</v>
      </c>
      <c r="O3" s="49">
        <v>12</v>
      </c>
      <c r="P3" s="49">
        <v>12</v>
      </c>
      <c r="Q3" s="49">
        <v>12</v>
      </c>
      <c r="R3" s="49">
        <v>12</v>
      </c>
      <c r="S3" s="49">
        <v>12</v>
      </c>
      <c r="T3" s="49">
        <v>12</v>
      </c>
      <c r="U3" s="49">
        <v>12</v>
      </c>
      <c r="V3" s="49">
        <v>12</v>
      </c>
    </row>
    <row r="4" spans="1:23">
      <c r="B4" s="45"/>
      <c r="C4" s="246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</row>
    <row r="5" spans="1:23">
      <c r="A5" s="50">
        <v>1</v>
      </c>
      <c r="B5" s="44" t="s">
        <v>62</v>
      </c>
      <c r="C5" s="240"/>
      <c r="D5" s="240">
        <v>50.276172119999998</v>
      </c>
      <c r="E5" s="240">
        <v>49.292064809999999</v>
      </c>
      <c r="F5" s="240">
        <v>48.871634270000001</v>
      </c>
      <c r="G5" s="240">
        <v>48.114296760000002</v>
      </c>
      <c r="H5" s="240">
        <v>48.06361708</v>
      </c>
      <c r="I5" s="240">
        <v>47.985188090000001</v>
      </c>
      <c r="J5" s="240">
        <v>47.92342798</v>
      </c>
      <c r="K5" s="240">
        <v>47.851334469999998</v>
      </c>
      <c r="L5" s="240">
        <v>47.800795440000002</v>
      </c>
      <c r="M5" s="240">
        <v>47.727659449999997</v>
      </c>
      <c r="N5" s="240">
        <v>47.627052849999998</v>
      </c>
      <c r="O5" s="240">
        <v>47.543011270000001</v>
      </c>
      <c r="P5" s="240">
        <v>47.51406309</v>
      </c>
      <c r="Q5" s="240">
        <v>47.472470049999998</v>
      </c>
      <c r="R5" s="240">
        <v>48.311608300000003</v>
      </c>
      <c r="S5" s="240">
        <v>48.278161849999996</v>
      </c>
      <c r="T5" s="240">
        <v>48.241320610000002</v>
      </c>
      <c r="U5" s="240">
        <v>48.23143288</v>
      </c>
      <c r="V5" s="240">
        <v>48.193177519999999</v>
      </c>
      <c r="W5" s="241">
        <v>48.112318119999998</v>
      </c>
    </row>
    <row r="6" spans="1:23">
      <c r="A6" s="50">
        <v>2</v>
      </c>
      <c r="B6" s="44" t="s">
        <v>63</v>
      </c>
      <c r="C6" s="240"/>
      <c r="D6" s="240">
        <v>41.817346350000001</v>
      </c>
      <c r="E6" s="240">
        <v>41.748309280000001</v>
      </c>
      <c r="F6" s="240">
        <v>41.724420000000002</v>
      </c>
      <c r="G6" s="240">
        <v>41.790971169999999</v>
      </c>
      <c r="H6" s="240">
        <v>41.746887319999999</v>
      </c>
      <c r="I6" s="240">
        <v>41.739237850000002</v>
      </c>
      <c r="J6" s="240">
        <v>41.750481800000003</v>
      </c>
      <c r="K6" s="240">
        <v>41.745338220000001</v>
      </c>
      <c r="L6" s="240">
        <v>41.759888549999999</v>
      </c>
      <c r="M6" s="240">
        <v>41.834905370000001</v>
      </c>
      <c r="N6" s="240">
        <v>41.87551191</v>
      </c>
      <c r="O6" s="240">
        <v>41.835226169999999</v>
      </c>
      <c r="P6" s="240">
        <v>41.857962829999998</v>
      </c>
      <c r="Q6" s="240">
        <v>41.819254440000002</v>
      </c>
      <c r="R6" s="240">
        <v>42.662712560000003</v>
      </c>
      <c r="S6" s="240">
        <v>42.681394259999998</v>
      </c>
      <c r="T6" s="240">
        <v>42.643273039999997</v>
      </c>
      <c r="U6" s="240">
        <v>42.634758580000003</v>
      </c>
      <c r="V6" s="240">
        <v>42.626866929999998</v>
      </c>
      <c r="W6" s="241">
        <v>42.619629170000003</v>
      </c>
    </row>
    <row r="7" spans="1:23">
      <c r="A7" s="50">
        <v>3</v>
      </c>
      <c r="B7" s="44" t="s">
        <v>64</v>
      </c>
      <c r="C7" s="240"/>
      <c r="D7" s="240">
        <v>41.817346350000001</v>
      </c>
      <c r="E7" s="240">
        <v>41.748309280000001</v>
      </c>
      <c r="F7" s="240">
        <v>41.724420000000002</v>
      </c>
      <c r="G7" s="240">
        <v>41.790971169999999</v>
      </c>
      <c r="H7" s="240">
        <v>41.746887319999999</v>
      </c>
      <c r="I7" s="240">
        <v>41.739237850000002</v>
      </c>
      <c r="J7" s="240">
        <v>41.750481800000003</v>
      </c>
      <c r="K7" s="240">
        <v>41.745338220000001</v>
      </c>
      <c r="L7" s="240">
        <v>41.759888549999999</v>
      </c>
      <c r="M7" s="240">
        <v>41.834905370000001</v>
      </c>
      <c r="N7" s="240">
        <v>41.87551191</v>
      </c>
      <c r="O7" s="240">
        <v>41.835226169999999</v>
      </c>
      <c r="P7" s="240">
        <v>41.857962829999998</v>
      </c>
      <c r="Q7" s="240">
        <v>41.819254440000002</v>
      </c>
      <c r="R7" s="240">
        <v>42.662712560000003</v>
      </c>
      <c r="S7" s="240">
        <v>42.681394259999998</v>
      </c>
      <c r="T7" s="240">
        <v>42.643273039999997</v>
      </c>
      <c r="U7" s="240">
        <v>42.634758580000003</v>
      </c>
      <c r="V7" s="240">
        <v>42.626866929999998</v>
      </c>
      <c r="W7" s="241">
        <v>42.619629170000003</v>
      </c>
    </row>
    <row r="8" spans="1:23">
      <c r="A8" s="50">
        <v>4</v>
      </c>
      <c r="B8" s="44" t="s">
        <v>65</v>
      </c>
      <c r="C8" s="240"/>
      <c r="D8" s="240">
        <v>45.644802769999998</v>
      </c>
      <c r="E8" s="240">
        <v>45.906999220000003</v>
      </c>
      <c r="F8" s="240">
        <v>45.99268799</v>
      </c>
      <c r="G8" s="240">
        <v>46.152457849999998</v>
      </c>
      <c r="H8" s="240">
        <v>46.158718229999998</v>
      </c>
      <c r="I8" s="240">
        <v>46.17733114</v>
      </c>
      <c r="J8" s="240">
        <v>46.215252710000001</v>
      </c>
      <c r="K8" s="240">
        <v>46.195517700000003</v>
      </c>
      <c r="L8" s="240">
        <v>46.225966669999998</v>
      </c>
      <c r="M8" s="240">
        <v>46.245486280000001</v>
      </c>
      <c r="N8" s="240">
        <v>46.286573279999999</v>
      </c>
      <c r="O8" s="240">
        <v>46.314709980000003</v>
      </c>
      <c r="P8" s="240">
        <v>46.347454259999999</v>
      </c>
      <c r="Q8" s="240">
        <v>46.364830099999999</v>
      </c>
      <c r="R8" s="240">
        <v>47.220839869999999</v>
      </c>
      <c r="S8" s="240">
        <v>47.235548139999999</v>
      </c>
      <c r="T8" s="240">
        <v>47.271625739999998</v>
      </c>
      <c r="U8" s="240">
        <v>47.3161731</v>
      </c>
      <c r="V8" s="240">
        <v>47.346890139999999</v>
      </c>
      <c r="W8" s="241">
        <v>47.344748350000003</v>
      </c>
    </row>
    <row r="9" spans="1:23">
      <c r="A9" s="50">
        <v>5</v>
      </c>
      <c r="B9" s="44" t="s">
        <v>38</v>
      </c>
      <c r="C9" s="240"/>
      <c r="D9" s="240">
        <v>58.689083459999999</v>
      </c>
      <c r="E9" s="240">
        <v>58.100821000000003</v>
      </c>
      <c r="F9" s="240">
        <v>57.461687830000002</v>
      </c>
      <c r="G9" s="240">
        <v>57.919345980000003</v>
      </c>
      <c r="H9" s="240">
        <v>53.610625630000001</v>
      </c>
      <c r="I9" s="240">
        <v>56.393782999999999</v>
      </c>
      <c r="J9" s="240">
        <v>58.915942250000001</v>
      </c>
      <c r="K9" s="240">
        <v>59.030088880000001</v>
      </c>
      <c r="L9" s="240">
        <v>58.185289750000003</v>
      </c>
      <c r="M9" s="240">
        <v>58.186107210000003</v>
      </c>
      <c r="N9" s="240">
        <v>57.018796610000003</v>
      </c>
      <c r="O9" s="240">
        <v>56.019390420000001</v>
      </c>
      <c r="P9" s="240">
        <v>54.785273279999998</v>
      </c>
      <c r="Q9" s="240">
        <v>56.348211910000003</v>
      </c>
      <c r="R9" s="240">
        <v>59.278648250000003</v>
      </c>
      <c r="S9" s="240">
        <v>60.213965199999997</v>
      </c>
      <c r="T9" s="240">
        <v>60.133431620000003</v>
      </c>
      <c r="U9" s="240">
        <v>60.237749559999997</v>
      </c>
      <c r="V9" s="240">
        <v>57.747255699999997</v>
      </c>
      <c r="W9" s="241">
        <v>57.120286929999999</v>
      </c>
    </row>
    <row r="10" spans="1:23">
      <c r="A10" s="50">
        <v>6</v>
      </c>
      <c r="B10" s="44" t="s">
        <v>66</v>
      </c>
      <c r="C10" s="240">
        <v>119.6982624</v>
      </c>
      <c r="D10" s="240">
        <v>109.2786763</v>
      </c>
      <c r="E10" s="240">
        <v>107.4110546</v>
      </c>
      <c r="F10" s="240">
        <v>105.2136455</v>
      </c>
      <c r="G10" s="240">
        <v>106.4071165</v>
      </c>
      <c r="H10" s="240">
        <v>94.655896670000004</v>
      </c>
      <c r="I10" s="240">
        <v>102.64554800000001</v>
      </c>
      <c r="J10" s="240">
        <v>109.4849347</v>
      </c>
      <c r="K10" s="240">
        <v>109.5895077</v>
      </c>
      <c r="L10" s="240">
        <v>107.21891189999999</v>
      </c>
      <c r="M10" s="240">
        <v>107.1349637</v>
      </c>
      <c r="N10" s="240">
        <v>104.3683817</v>
      </c>
      <c r="O10" s="240">
        <v>101.02728279999999</v>
      </c>
      <c r="P10" s="240">
        <v>97.5558604</v>
      </c>
      <c r="Q10" s="240">
        <v>102.08996550000001</v>
      </c>
      <c r="R10" s="240">
        <v>107.58108249999999</v>
      </c>
      <c r="S10" s="240">
        <v>110.5573703</v>
      </c>
      <c r="T10" s="240">
        <v>110.1751727</v>
      </c>
      <c r="U10" s="240">
        <v>110.4394211</v>
      </c>
      <c r="V10" s="240">
        <v>104.0923138</v>
      </c>
      <c r="W10" s="241">
        <v>102.5254025</v>
      </c>
    </row>
    <row r="11" spans="1:23">
      <c r="A11" s="50">
        <v>7</v>
      </c>
      <c r="B11" s="44" t="s">
        <v>67</v>
      </c>
      <c r="C11" s="240">
        <v>200.74960490000001</v>
      </c>
      <c r="D11" s="240">
        <v>177.48117289999999</v>
      </c>
      <c r="E11" s="240">
        <v>170.2370583</v>
      </c>
      <c r="F11" s="240">
        <v>165.2013354</v>
      </c>
      <c r="G11" s="240">
        <v>168.53742829999999</v>
      </c>
      <c r="H11" s="240">
        <v>139.3279043</v>
      </c>
      <c r="I11" s="240">
        <v>159.35017020000001</v>
      </c>
      <c r="J11" s="240">
        <v>178.5405433</v>
      </c>
      <c r="K11" s="240">
        <v>178.80340810000001</v>
      </c>
      <c r="L11" s="240">
        <v>170.34071489999999</v>
      </c>
      <c r="M11" s="240">
        <v>170.04549890000001</v>
      </c>
      <c r="N11" s="240">
        <v>163.52485100000001</v>
      </c>
      <c r="O11" s="240">
        <v>155.51577209999999</v>
      </c>
      <c r="P11" s="240">
        <v>145.99592559999999</v>
      </c>
      <c r="Q11" s="240">
        <v>158.10978119999999</v>
      </c>
      <c r="R11" s="240">
        <v>171.14359540000001</v>
      </c>
      <c r="S11" s="240">
        <v>180.9578376</v>
      </c>
      <c r="T11" s="240">
        <v>180.10846520000001</v>
      </c>
      <c r="U11" s="240">
        <v>180.73672049999999</v>
      </c>
      <c r="V11" s="240">
        <v>162.35939680000001</v>
      </c>
      <c r="W11" s="241">
        <v>157.5536275</v>
      </c>
    </row>
    <row r="12" spans="1:23">
      <c r="A12" s="50">
        <v>8</v>
      </c>
      <c r="B12" s="44" t="s">
        <v>68</v>
      </c>
      <c r="C12" s="240">
        <v>200.74960490000001</v>
      </c>
      <c r="D12" s="240">
        <v>177.48117289999999</v>
      </c>
      <c r="E12" s="240">
        <v>170.2370583</v>
      </c>
      <c r="F12" s="240">
        <v>165.2013354</v>
      </c>
      <c r="G12" s="240">
        <v>168.53742829999999</v>
      </c>
      <c r="H12" s="240">
        <v>139.3279043</v>
      </c>
      <c r="I12" s="240">
        <v>159.35017020000001</v>
      </c>
      <c r="J12" s="240">
        <v>178.5405433</v>
      </c>
      <c r="K12" s="240">
        <v>178.80340810000001</v>
      </c>
      <c r="L12" s="240">
        <v>170.34071489999999</v>
      </c>
      <c r="M12" s="240">
        <v>170.04549890000001</v>
      </c>
      <c r="N12" s="240">
        <v>163.52485100000001</v>
      </c>
      <c r="O12" s="240">
        <v>155.51577209999999</v>
      </c>
      <c r="P12" s="240">
        <v>145.99592559999999</v>
      </c>
      <c r="Q12" s="240">
        <v>158.10978119999999</v>
      </c>
      <c r="R12" s="240">
        <v>171.14359540000001</v>
      </c>
      <c r="S12" s="240">
        <v>180.9578376</v>
      </c>
      <c r="T12" s="240">
        <v>180.10846520000001</v>
      </c>
      <c r="U12" s="240">
        <v>180.73672049999999</v>
      </c>
      <c r="V12" s="240">
        <v>162.35939680000001</v>
      </c>
      <c r="W12" s="241">
        <v>157.5536275</v>
      </c>
    </row>
    <row r="13" spans="1:23">
      <c r="A13" s="50">
        <v>9</v>
      </c>
      <c r="B13" s="44" t="s">
        <v>69</v>
      </c>
      <c r="C13" s="240">
        <v>65.474885459999996</v>
      </c>
      <c r="D13" s="240">
        <v>58.689083459999999</v>
      </c>
      <c r="E13" s="240">
        <v>58.100821000000003</v>
      </c>
      <c r="F13" s="240">
        <v>57.461687830000002</v>
      </c>
      <c r="G13" s="240">
        <v>57.919345980000003</v>
      </c>
      <c r="H13" s="240">
        <v>53.610625630000001</v>
      </c>
      <c r="I13" s="240">
        <v>56.393782999999999</v>
      </c>
      <c r="J13" s="240">
        <v>58.915942250000001</v>
      </c>
      <c r="K13" s="240">
        <v>59.030088880000001</v>
      </c>
      <c r="L13" s="240">
        <v>58.185289750000003</v>
      </c>
      <c r="M13" s="240">
        <v>58.186107210000003</v>
      </c>
      <c r="N13" s="240">
        <v>57.018796610000003</v>
      </c>
      <c r="O13" s="240">
        <v>56.019390420000001</v>
      </c>
      <c r="P13" s="240">
        <v>54.785273279999998</v>
      </c>
      <c r="Q13" s="240">
        <v>56.348211910000003</v>
      </c>
      <c r="R13" s="240">
        <v>59.278648250000003</v>
      </c>
      <c r="S13" s="240">
        <v>60.213965199999997</v>
      </c>
      <c r="T13" s="240">
        <v>60.133431620000003</v>
      </c>
      <c r="U13" s="240">
        <v>60.237749559999997</v>
      </c>
      <c r="V13" s="240">
        <v>57.747255699999997</v>
      </c>
      <c r="W13" s="241">
        <v>57.120286929999999</v>
      </c>
    </row>
    <row r="14" spans="1:23">
      <c r="A14" s="50">
        <v>10</v>
      </c>
      <c r="B14" s="44" t="s">
        <v>70</v>
      </c>
      <c r="C14" s="240">
        <v>52.66540105</v>
      </c>
      <c r="D14" s="240">
        <v>45.789530360000001</v>
      </c>
      <c r="E14" s="240">
        <v>46.577470480000002</v>
      </c>
      <c r="F14" s="240">
        <v>47.031459339999998</v>
      </c>
      <c r="G14" s="240">
        <v>47.742775229999999</v>
      </c>
      <c r="H14" s="240">
        <v>47.844415580000003</v>
      </c>
      <c r="I14" s="240">
        <v>47.893237370000001</v>
      </c>
      <c r="J14" s="240">
        <v>47.945772689999998</v>
      </c>
      <c r="K14" s="240">
        <v>48.051463550000001</v>
      </c>
      <c r="L14" s="240">
        <v>48.074641470000003</v>
      </c>
      <c r="M14" s="240">
        <v>48.125682779999998</v>
      </c>
      <c r="N14" s="240">
        <v>48.206387999999997</v>
      </c>
      <c r="O14" s="240">
        <v>48.172355099999997</v>
      </c>
      <c r="P14" s="240">
        <v>48.179096860000001</v>
      </c>
      <c r="Q14" s="240">
        <v>48.214159109999997</v>
      </c>
      <c r="R14" s="240">
        <v>49.610740900000003</v>
      </c>
      <c r="S14" s="240">
        <v>49.635343859999999</v>
      </c>
      <c r="T14" s="240">
        <v>49.71153984</v>
      </c>
      <c r="U14" s="240">
        <v>49.706975929999999</v>
      </c>
      <c r="V14" s="240">
        <v>49.720502250000003</v>
      </c>
      <c r="W14" s="241">
        <v>49.735560960000001</v>
      </c>
    </row>
    <row r="15" spans="1:23">
      <c r="A15" s="50">
        <v>11</v>
      </c>
      <c r="B15" s="44" t="s">
        <v>71</v>
      </c>
      <c r="C15" s="240">
        <v>53.728532940000001</v>
      </c>
      <c r="D15" s="240">
        <v>49.629084890000001</v>
      </c>
      <c r="E15" s="240">
        <v>49.842813739999997</v>
      </c>
      <c r="F15" s="240">
        <v>50.00419986</v>
      </c>
      <c r="G15" s="240">
        <v>50.15598731</v>
      </c>
      <c r="H15" s="240">
        <v>50.177827559999997</v>
      </c>
      <c r="I15" s="240">
        <v>50.220165530000003</v>
      </c>
      <c r="J15" s="240">
        <v>50.242813720000001</v>
      </c>
      <c r="K15" s="240">
        <v>50.286237190000001</v>
      </c>
      <c r="L15" s="240">
        <v>50.299502140000001</v>
      </c>
      <c r="M15" s="240">
        <v>50.292528799999999</v>
      </c>
      <c r="N15" s="240">
        <v>50.32686254</v>
      </c>
      <c r="O15" s="240">
        <v>50.320336650000002</v>
      </c>
      <c r="P15" s="240">
        <v>50.344943149999999</v>
      </c>
      <c r="Q15" s="240">
        <v>50.359455420000003</v>
      </c>
      <c r="R15" s="240">
        <v>51.339711940000001</v>
      </c>
      <c r="S15" s="240">
        <v>51.334918649999999</v>
      </c>
      <c r="T15" s="240">
        <v>51.330231499999996</v>
      </c>
      <c r="U15" s="240">
        <v>51.336928190000002</v>
      </c>
      <c r="V15" s="240">
        <v>51.332499489999996</v>
      </c>
      <c r="W15" s="241">
        <v>51.362057149999998</v>
      </c>
    </row>
    <row r="16" spans="1:23">
      <c r="A16" s="50">
        <v>12</v>
      </c>
      <c r="B16" s="44" t="s">
        <v>72</v>
      </c>
      <c r="C16" s="242">
        <v>53.728532940000001</v>
      </c>
      <c r="D16" s="242">
        <v>49.629084890000001</v>
      </c>
      <c r="E16" s="242">
        <v>49.842813739999997</v>
      </c>
      <c r="F16" s="242">
        <v>50.00419986</v>
      </c>
      <c r="G16" s="242">
        <v>50.15598731</v>
      </c>
      <c r="H16" s="242">
        <v>50.177827559999997</v>
      </c>
      <c r="I16" s="242">
        <v>50.220165530000003</v>
      </c>
      <c r="J16" s="242">
        <v>50.242813720000001</v>
      </c>
      <c r="K16" s="242">
        <v>50.286237190000001</v>
      </c>
      <c r="L16" s="242">
        <v>50.299502140000001</v>
      </c>
      <c r="M16" s="242">
        <v>50.292528799999999</v>
      </c>
      <c r="N16" s="242">
        <v>50.32686254</v>
      </c>
      <c r="O16" s="242">
        <v>50.320336650000002</v>
      </c>
      <c r="P16" s="242">
        <v>50.344943149999999</v>
      </c>
      <c r="Q16" s="242">
        <v>50.359455420000003</v>
      </c>
      <c r="R16" s="242">
        <v>51.339711940000001</v>
      </c>
      <c r="S16" s="242">
        <v>51.334918649999999</v>
      </c>
      <c r="T16" s="242">
        <v>51.330231499999996</v>
      </c>
      <c r="U16" s="242">
        <v>51.336928190000002</v>
      </c>
      <c r="V16" s="242">
        <v>51.332499489999996</v>
      </c>
      <c r="W16" s="241">
        <v>51.362057149999998</v>
      </c>
    </row>
    <row r="17" spans="1:23" ht="16.2" thickBot="1">
      <c r="B17" s="48" t="s">
        <v>3</v>
      </c>
      <c r="C17" s="243">
        <f>SUM(C5:C16)</f>
        <v>746.79482459000008</v>
      </c>
      <c r="D17" s="243">
        <f t="shared" ref="D17:V17" si="1">SUM(D5:D16)</f>
        <v>906.22255675000019</v>
      </c>
      <c r="E17" s="243">
        <f t="shared" si="1"/>
        <v>889.04559374999997</v>
      </c>
      <c r="F17" s="243">
        <f t="shared" si="1"/>
        <v>875.89271327999995</v>
      </c>
      <c r="G17" s="243">
        <f t="shared" si="1"/>
        <v>885.22411185999999</v>
      </c>
      <c r="H17" s="243">
        <f t="shared" si="1"/>
        <v>806.44913717999998</v>
      </c>
      <c r="I17" s="243">
        <f t="shared" si="1"/>
        <v>860.10801776000005</v>
      </c>
      <c r="J17" s="243">
        <f t="shared" si="1"/>
        <v>910.4689502199999</v>
      </c>
      <c r="K17" s="243">
        <f t="shared" si="1"/>
        <v>911.41796820000002</v>
      </c>
      <c r="L17" s="243">
        <f t="shared" si="1"/>
        <v>890.49110615999984</v>
      </c>
      <c r="M17" s="243">
        <f t="shared" si="1"/>
        <v>889.95187277000014</v>
      </c>
      <c r="N17" s="243">
        <f t="shared" si="1"/>
        <v>871.98043994999989</v>
      </c>
      <c r="O17" s="243">
        <f t="shared" si="1"/>
        <v>850.43880982999985</v>
      </c>
      <c r="P17" s="243">
        <f t="shared" si="1"/>
        <v>825.56468432999975</v>
      </c>
      <c r="Q17" s="243">
        <f t="shared" si="1"/>
        <v>857.41483070000004</v>
      </c>
      <c r="R17" s="243">
        <f t="shared" si="1"/>
        <v>901.57360787000005</v>
      </c>
      <c r="S17" s="243">
        <f t="shared" si="1"/>
        <v>926.08265556999982</v>
      </c>
      <c r="T17" s="243">
        <f t="shared" si="1"/>
        <v>923.83046161000004</v>
      </c>
      <c r="U17" s="243">
        <f t="shared" si="1"/>
        <v>925.58631666999997</v>
      </c>
      <c r="V17" s="243">
        <f t="shared" si="1"/>
        <v>877.48492154999997</v>
      </c>
      <c r="W17" s="243">
        <f>SUM(C17:V17)</f>
        <v>17532.023580599998</v>
      </c>
    </row>
    <row r="18" spans="1:23" ht="16.2" thickTop="1">
      <c r="W18" s="241">
        <f>SUM(C20:C259)</f>
        <v>17532.023580600013</v>
      </c>
    </row>
    <row r="20" spans="1:23">
      <c r="A20" s="50">
        <v>1</v>
      </c>
      <c r="B20" s="54">
        <v>36526</v>
      </c>
      <c r="C20" s="240">
        <f>VLOOKUP(A20,$A$5:$C$16,3)</f>
        <v>0</v>
      </c>
    </row>
    <row r="21" spans="1:23">
      <c r="A21" s="50">
        <v>2</v>
      </c>
      <c r="B21" s="54">
        <v>36557</v>
      </c>
      <c r="C21" s="240">
        <f t="shared" ref="C21:C31" si="2">VLOOKUP(A21,$A$5:$C$16,3)</f>
        <v>0</v>
      </c>
    </row>
    <row r="22" spans="1:23">
      <c r="A22" s="50">
        <v>3</v>
      </c>
      <c r="B22" s="54">
        <v>36586</v>
      </c>
      <c r="C22" s="240">
        <f t="shared" si="2"/>
        <v>0</v>
      </c>
    </row>
    <row r="23" spans="1:23">
      <c r="A23" s="50">
        <v>4</v>
      </c>
      <c r="B23" s="54">
        <v>36617</v>
      </c>
      <c r="C23" s="240">
        <f t="shared" si="2"/>
        <v>0</v>
      </c>
    </row>
    <row r="24" spans="1:23">
      <c r="A24" s="50">
        <v>5</v>
      </c>
      <c r="B24" s="54">
        <v>36647</v>
      </c>
      <c r="C24" s="240">
        <f t="shared" si="2"/>
        <v>0</v>
      </c>
    </row>
    <row r="25" spans="1:23">
      <c r="A25" s="50">
        <v>6</v>
      </c>
      <c r="B25" s="54">
        <v>36678</v>
      </c>
      <c r="C25" s="240">
        <f t="shared" si="2"/>
        <v>119.6982624</v>
      </c>
    </row>
    <row r="26" spans="1:23">
      <c r="A26" s="50">
        <v>7</v>
      </c>
      <c r="B26" s="54">
        <v>36708</v>
      </c>
      <c r="C26" s="240">
        <f t="shared" si="2"/>
        <v>200.74960490000001</v>
      </c>
    </row>
    <row r="27" spans="1:23">
      <c r="A27" s="50">
        <v>8</v>
      </c>
      <c r="B27" s="54">
        <v>36739</v>
      </c>
      <c r="C27" s="240">
        <f t="shared" si="2"/>
        <v>200.74960490000001</v>
      </c>
    </row>
    <row r="28" spans="1:23">
      <c r="A28" s="50">
        <v>9</v>
      </c>
      <c r="B28" s="54">
        <v>36770</v>
      </c>
      <c r="C28" s="240">
        <f t="shared" si="2"/>
        <v>65.474885459999996</v>
      </c>
    </row>
    <row r="29" spans="1:23">
      <c r="A29" s="50">
        <v>10</v>
      </c>
      <c r="B29" s="54">
        <v>36800</v>
      </c>
      <c r="C29" s="240">
        <f t="shared" si="2"/>
        <v>52.66540105</v>
      </c>
    </row>
    <row r="30" spans="1:23">
      <c r="A30" s="50">
        <v>11</v>
      </c>
      <c r="B30" s="54">
        <v>36831</v>
      </c>
      <c r="C30" s="240">
        <f t="shared" si="2"/>
        <v>53.728532940000001</v>
      </c>
    </row>
    <row r="31" spans="1:23">
      <c r="A31" s="50">
        <v>12</v>
      </c>
      <c r="B31" s="54">
        <v>36861</v>
      </c>
      <c r="C31" s="240">
        <f t="shared" si="2"/>
        <v>53.728532940000001</v>
      </c>
      <c r="D31" s="51">
        <f>SUM(C20:C31)</f>
        <v>746.79482459000008</v>
      </c>
    </row>
    <row r="32" spans="1:23">
      <c r="A32" s="50">
        <v>1</v>
      </c>
      <c r="B32" s="54">
        <v>36892</v>
      </c>
      <c r="C32" s="240">
        <f>VLOOKUP(A32,$A$5:$D$16,4)</f>
        <v>50.276172119999998</v>
      </c>
    </row>
    <row r="33" spans="1:4">
      <c r="A33" s="50">
        <v>2</v>
      </c>
      <c r="B33" s="54">
        <v>36923</v>
      </c>
      <c r="C33" s="240">
        <f t="shared" ref="C33:C43" si="3">VLOOKUP(A33,$A$5:$D$16,4)</f>
        <v>41.817346350000001</v>
      </c>
    </row>
    <row r="34" spans="1:4">
      <c r="A34" s="50">
        <v>3</v>
      </c>
      <c r="B34" s="54">
        <v>36951</v>
      </c>
      <c r="C34" s="240">
        <f t="shared" si="3"/>
        <v>41.817346350000001</v>
      </c>
    </row>
    <row r="35" spans="1:4">
      <c r="A35" s="50">
        <v>4</v>
      </c>
      <c r="B35" s="54">
        <v>36982</v>
      </c>
      <c r="C35" s="240">
        <f t="shared" si="3"/>
        <v>45.644802769999998</v>
      </c>
    </row>
    <row r="36" spans="1:4">
      <c r="A36" s="50">
        <v>5</v>
      </c>
      <c r="B36" s="54">
        <v>37012</v>
      </c>
      <c r="C36" s="240">
        <f t="shared" si="3"/>
        <v>58.689083459999999</v>
      </c>
    </row>
    <row r="37" spans="1:4">
      <c r="A37" s="50">
        <v>6</v>
      </c>
      <c r="B37" s="54">
        <v>37043</v>
      </c>
      <c r="C37" s="240">
        <f t="shared" si="3"/>
        <v>109.2786763</v>
      </c>
    </row>
    <row r="38" spans="1:4">
      <c r="A38" s="50">
        <v>7</v>
      </c>
      <c r="B38" s="54">
        <v>37073</v>
      </c>
      <c r="C38" s="240">
        <f t="shared" si="3"/>
        <v>177.48117289999999</v>
      </c>
    </row>
    <row r="39" spans="1:4">
      <c r="A39" s="50">
        <v>8</v>
      </c>
      <c r="B39" s="54">
        <v>37104</v>
      </c>
      <c r="C39" s="240">
        <f t="shared" si="3"/>
        <v>177.48117289999999</v>
      </c>
    </row>
    <row r="40" spans="1:4">
      <c r="A40" s="50">
        <v>9</v>
      </c>
      <c r="B40" s="54">
        <v>37135</v>
      </c>
      <c r="C40" s="240">
        <f t="shared" si="3"/>
        <v>58.689083459999999</v>
      </c>
    </row>
    <row r="41" spans="1:4">
      <c r="A41" s="50">
        <v>10</v>
      </c>
      <c r="B41" s="54">
        <v>37165</v>
      </c>
      <c r="C41" s="240">
        <f t="shared" si="3"/>
        <v>45.789530360000001</v>
      </c>
    </row>
    <row r="42" spans="1:4">
      <c r="A42" s="50">
        <v>11</v>
      </c>
      <c r="B42" s="54">
        <v>37196</v>
      </c>
      <c r="C42" s="240">
        <f t="shared" si="3"/>
        <v>49.629084890000001</v>
      </c>
    </row>
    <row r="43" spans="1:4">
      <c r="A43" s="50">
        <v>12</v>
      </c>
      <c r="B43" s="54">
        <v>37226</v>
      </c>
      <c r="C43" s="240">
        <f t="shared" si="3"/>
        <v>49.629084890000001</v>
      </c>
      <c r="D43" s="51">
        <f>SUM(C32:C43)</f>
        <v>906.22255675000019</v>
      </c>
    </row>
    <row r="44" spans="1:4">
      <c r="A44" s="50">
        <v>1</v>
      </c>
      <c r="B44" s="54">
        <v>37257</v>
      </c>
      <c r="C44" s="240">
        <f>VLOOKUP(A44,$A$5:$E$16,5)</f>
        <v>49.292064809999999</v>
      </c>
    </row>
    <row r="45" spans="1:4">
      <c r="A45" s="50">
        <v>2</v>
      </c>
      <c r="B45" s="54">
        <v>37288</v>
      </c>
      <c r="C45" s="240">
        <f t="shared" ref="C45:C55" si="4">VLOOKUP(A45,$A$5:$E$16,5)</f>
        <v>41.748309280000001</v>
      </c>
    </row>
    <row r="46" spans="1:4">
      <c r="A46" s="50">
        <v>3</v>
      </c>
      <c r="B46" s="54">
        <v>37316</v>
      </c>
      <c r="C46" s="240">
        <f t="shared" si="4"/>
        <v>41.748309280000001</v>
      </c>
    </row>
    <row r="47" spans="1:4">
      <c r="A47" s="50">
        <v>4</v>
      </c>
      <c r="B47" s="54">
        <v>37347</v>
      </c>
      <c r="C47" s="240">
        <f t="shared" si="4"/>
        <v>45.906999220000003</v>
      </c>
    </row>
    <row r="48" spans="1:4">
      <c r="A48" s="50">
        <v>5</v>
      </c>
      <c r="B48" s="54">
        <v>37377</v>
      </c>
      <c r="C48" s="240">
        <f t="shared" si="4"/>
        <v>58.100821000000003</v>
      </c>
    </row>
    <row r="49" spans="1:4">
      <c r="A49" s="50">
        <v>6</v>
      </c>
      <c r="B49" s="54">
        <v>37408</v>
      </c>
      <c r="C49" s="240">
        <f t="shared" si="4"/>
        <v>107.4110546</v>
      </c>
    </row>
    <row r="50" spans="1:4">
      <c r="A50" s="50">
        <v>7</v>
      </c>
      <c r="B50" s="54">
        <v>37438</v>
      </c>
      <c r="C50" s="240">
        <f t="shared" si="4"/>
        <v>170.2370583</v>
      </c>
    </row>
    <row r="51" spans="1:4">
      <c r="A51" s="50">
        <v>8</v>
      </c>
      <c r="B51" s="54">
        <v>37469</v>
      </c>
      <c r="C51" s="240">
        <f t="shared" si="4"/>
        <v>170.2370583</v>
      </c>
    </row>
    <row r="52" spans="1:4">
      <c r="A52" s="50">
        <v>9</v>
      </c>
      <c r="B52" s="54">
        <v>37500</v>
      </c>
      <c r="C52" s="240">
        <f t="shared" si="4"/>
        <v>58.100821000000003</v>
      </c>
    </row>
    <row r="53" spans="1:4">
      <c r="A53" s="50">
        <v>10</v>
      </c>
      <c r="B53" s="54">
        <v>37530</v>
      </c>
      <c r="C53" s="240">
        <f t="shared" si="4"/>
        <v>46.577470480000002</v>
      </c>
    </row>
    <row r="54" spans="1:4">
      <c r="A54" s="50">
        <v>11</v>
      </c>
      <c r="B54" s="54">
        <v>37561</v>
      </c>
      <c r="C54" s="240">
        <f t="shared" si="4"/>
        <v>49.842813739999997</v>
      </c>
    </row>
    <row r="55" spans="1:4">
      <c r="A55" s="50">
        <v>12</v>
      </c>
      <c r="B55" s="54">
        <v>37591</v>
      </c>
      <c r="C55" s="240">
        <f t="shared" si="4"/>
        <v>49.842813739999997</v>
      </c>
      <c r="D55" s="51">
        <f>SUM(C44:C55)</f>
        <v>889.04559374999997</v>
      </c>
    </row>
    <row r="56" spans="1:4">
      <c r="A56" s="50">
        <v>1</v>
      </c>
      <c r="B56" s="54">
        <v>37622</v>
      </c>
      <c r="C56" s="240">
        <f>VLOOKUP(A56,$A$5:$F$16,6)</f>
        <v>48.871634270000001</v>
      </c>
    </row>
    <row r="57" spans="1:4">
      <c r="A57" s="50">
        <v>2</v>
      </c>
      <c r="B57" s="54">
        <v>37653</v>
      </c>
      <c r="C57" s="240">
        <f t="shared" ref="C57:C67" si="5">VLOOKUP(A57,$A$5:$F$16,6)</f>
        <v>41.724420000000002</v>
      </c>
    </row>
    <row r="58" spans="1:4">
      <c r="A58" s="50">
        <v>3</v>
      </c>
      <c r="B58" s="54">
        <v>37681</v>
      </c>
      <c r="C58" s="240">
        <f t="shared" si="5"/>
        <v>41.724420000000002</v>
      </c>
    </row>
    <row r="59" spans="1:4">
      <c r="A59" s="50">
        <v>4</v>
      </c>
      <c r="B59" s="54">
        <v>37712</v>
      </c>
      <c r="C59" s="240">
        <f t="shared" si="5"/>
        <v>45.99268799</v>
      </c>
    </row>
    <row r="60" spans="1:4">
      <c r="A60" s="50">
        <v>5</v>
      </c>
      <c r="B60" s="54">
        <v>37742</v>
      </c>
      <c r="C60" s="240">
        <f t="shared" si="5"/>
        <v>57.461687830000002</v>
      </c>
    </row>
    <row r="61" spans="1:4">
      <c r="A61" s="50">
        <v>6</v>
      </c>
      <c r="B61" s="54">
        <v>37773</v>
      </c>
      <c r="C61" s="240">
        <f t="shared" si="5"/>
        <v>105.2136455</v>
      </c>
    </row>
    <row r="62" spans="1:4">
      <c r="A62" s="50">
        <v>7</v>
      </c>
      <c r="B62" s="54">
        <v>37803</v>
      </c>
      <c r="C62" s="240">
        <f t="shared" si="5"/>
        <v>165.2013354</v>
      </c>
    </row>
    <row r="63" spans="1:4">
      <c r="A63" s="50">
        <v>8</v>
      </c>
      <c r="B63" s="54">
        <v>37834</v>
      </c>
      <c r="C63" s="240">
        <f t="shared" si="5"/>
        <v>165.2013354</v>
      </c>
    </row>
    <row r="64" spans="1:4">
      <c r="A64" s="50">
        <v>9</v>
      </c>
      <c r="B64" s="54">
        <v>37865</v>
      </c>
      <c r="C64" s="240">
        <f t="shared" si="5"/>
        <v>57.461687830000002</v>
      </c>
    </row>
    <row r="65" spans="1:4">
      <c r="A65" s="50">
        <v>10</v>
      </c>
      <c r="B65" s="54">
        <v>37895</v>
      </c>
      <c r="C65" s="240">
        <f t="shared" si="5"/>
        <v>47.031459339999998</v>
      </c>
    </row>
    <row r="66" spans="1:4">
      <c r="A66" s="50">
        <v>11</v>
      </c>
      <c r="B66" s="54">
        <v>37926</v>
      </c>
      <c r="C66" s="240">
        <f t="shared" si="5"/>
        <v>50.00419986</v>
      </c>
    </row>
    <row r="67" spans="1:4">
      <c r="A67" s="50">
        <v>12</v>
      </c>
      <c r="B67" s="54">
        <v>37956</v>
      </c>
      <c r="C67" s="240">
        <f t="shared" si="5"/>
        <v>50.00419986</v>
      </c>
      <c r="D67" s="51">
        <f>SUM(C56:C67)</f>
        <v>875.89271327999995</v>
      </c>
    </row>
    <row r="68" spans="1:4">
      <c r="A68" s="50">
        <v>1</v>
      </c>
      <c r="B68" s="54">
        <v>37987</v>
      </c>
      <c r="C68" s="240">
        <f>VLOOKUP(A68,$A$5:$G$16,7)</f>
        <v>48.114296760000002</v>
      </c>
    </row>
    <row r="69" spans="1:4">
      <c r="A69" s="50">
        <v>2</v>
      </c>
      <c r="B69" s="54">
        <v>38018</v>
      </c>
      <c r="C69" s="240">
        <f t="shared" ref="C69:C79" si="6">VLOOKUP(A69,$A$5:$G$16,7)</f>
        <v>41.790971169999999</v>
      </c>
    </row>
    <row r="70" spans="1:4">
      <c r="A70" s="50">
        <v>3</v>
      </c>
      <c r="B70" s="54">
        <v>38047</v>
      </c>
      <c r="C70" s="240">
        <f t="shared" si="6"/>
        <v>41.790971169999999</v>
      </c>
    </row>
    <row r="71" spans="1:4">
      <c r="A71" s="50">
        <v>4</v>
      </c>
      <c r="B71" s="54">
        <v>38078</v>
      </c>
      <c r="C71" s="240">
        <f t="shared" si="6"/>
        <v>46.152457849999998</v>
      </c>
    </row>
    <row r="72" spans="1:4">
      <c r="A72" s="50">
        <v>5</v>
      </c>
      <c r="B72" s="54">
        <v>38108</v>
      </c>
      <c r="C72" s="240">
        <f t="shared" si="6"/>
        <v>57.919345980000003</v>
      </c>
    </row>
    <row r="73" spans="1:4">
      <c r="A73" s="50">
        <v>6</v>
      </c>
      <c r="B73" s="54">
        <v>38139</v>
      </c>
      <c r="C73" s="240">
        <f t="shared" si="6"/>
        <v>106.4071165</v>
      </c>
    </row>
    <row r="74" spans="1:4">
      <c r="A74" s="50">
        <v>7</v>
      </c>
      <c r="B74" s="54">
        <v>38169</v>
      </c>
      <c r="C74" s="240">
        <f t="shared" si="6"/>
        <v>168.53742829999999</v>
      </c>
    </row>
    <row r="75" spans="1:4">
      <c r="A75" s="50">
        <v>8</v>
      </c>
      <c r="B75" s="54">
        <v>38200</v>
      </c>
      <c r="C75" s="240">
        <f t="shared" si="6"/>
        <v>168.53742829999999</v>
      </c>
    </row>
    <row r="76" spans="1:4">
      <c r="A76" s="50">
        <v>9</v>
      </c>
      <c r="B76" s="54">
        <v>38231</v>
      </c>
      <c r="C76" s="240">
        <f t="shared" si="6"/>
        <v>57.919345980000003</v>
      </c>
    </row>
    <row r="77" spans="1:4">
      <c r="A77" s="50">
        <v>10</v>
      </c>
      <c r="B77" s="54">
        <v>38261</v>
      </c>
      <c r="C77" s="240">
        <f t="shared" si="6"/>
        <v>47.742775229999999</v>
      </c>
    </row>
    <row r="78" spans="1:4">
      <c r="A78" s="50">
        <v>11</v>
      </c>
      <c r="B78" s="54">
        <v>38292</v>
      </c>
      <c r="C78" s="240">
        <f t="shared" si="6"/>
        <v>50.15598731</v>
      </c>
    </row>
    <row r="79" spans="1:4">
      <c r="A79" s="50">
        <v>12</v>
      </c>
      <c r="B79" s="54">
        <v>38322</v>
      </c>
      <c r="C79" s="240">
        <f t="shared" si="6"/>
        <v>50.15598731</v>
      </c>
      <c r="D79" s="51">
        <f>SUM(C68:C79)</f>
        <v>885.22411185999999</v>
      </c>
    </row>
    <row r="80" spans="1:4">
      <c r="A80" s="50">
        <v>1</v>
      </c>
      <c r="B80" s="54">
        <v>38353</v>
      </c>
      <c r="C80" s="240">
        <f>VLOOKUP(A80,$A$5:$H$16,8)</f>
        <v>48.06361708</v>
      </c>
    </row>
    <row r="81" spans="1:4">
      <c r="A81" s="50">
        <v>2</v>
      </c>
      <c r="B81" s="54">
        <v>38384</v>
      </c>
      <c r="C81" s="240">
        <f t="shared" ref="C81:C91" si="7">VLOOKUP(A81,$A$5:$H$16,8)</f>
        <v>41.746887319999999</v>
      </c>
    </row>
    <row r="82" spans="1:4">
      <c r="A82" s="50">
        <v>3</v>
      </c>
      <c r="B82" s="54">
        <v>38412</v>
      </c>
      <c r="C82" s="240">
        <f t="shared" si="7"/>
        <v>41.746887319999999</v>
      </c>
    </row>
    <row r="83" spans="1:4">
      <c r="A83" s="50">
        <v>4</v>
      </c>
      <c r="B83" s="54">
        <v>38443</v>
      </c>
      <c r="C83" s="240">
        <f t="shared" si="7"/>
        <v>46.158718229999998</v>
      </c>
    </row>
    <row r="84" spans="1:4">
      <c r="A84" s="50">
        <v>5</v>
      </c>
      <c r="B84" s="54">
        <v>38473</v>
      </c>
      <c r="C84" s="240">
        <f t="shared" si="7"/>
        <v>53.610625630000001</v>
      </c>
    </row>
    <row r="85" spans="1:4">
      <c r="A85" s="50">
        <v>6</v>
      </c>
      <c r="B85" s="54">
        <v>38504</v>
      </c>
      <c r="C85" s="240">
        <f t="shared" si="7"/>
        <v>94.655896670000004</v>
      </c>
    </row>
    <row r="86" spans="1:4">
      <c r="A86" s="50">
        <v>7</v>
      </c>
      <c r="B86" s="54">
        <v>38534</v>
      </c>
      <c r="C86" s="240">
        <f t="shared" si="7"/>
        <v>139.3279043</v>
      </c>
    </row>
    <row r="87" spans="1:4">
      <c r="A87" s="50">
        <v>8</v>
      </c>
      <c r="B87" s="54">
        <v>38565</v>
      </c>
      <c r="C87" s="240">
        <f t="shared" si="7"/>
        <v>139.3279043</v>
      </c>
    </row>
    <row r="88" spans="1:4">
      <c r="A88" s="50">
        <v>9</v>
      </c>
      <c r="B88" s="54">
        <v>38596</v>
      </c>
      <c r="C88" s="240">
        <f t="shared" si="7"/>
        <v>53.610625630000001</v>
      </c>
    </row>
    <row r="89" spans="1:4">
      <c r="A89" s="50">
        <v>10</v>
      </c>
      <c r="B89" s="54">
        <v>38626</v>
      </c>
      <c r="C89" s="240">
        <f t="shared" si="7"/>
        <v>47.844415580000003</v>
      </c>
    </row>
    <row r="90" spans="1:4">
      <c r="A90" s="50">
        <v>11</v>
      </c>
      <c r="B90" s="54">
        <v>38657</v>
      </c>
      <c r="C90" s="240">
        <f t="shared" si="7"/>
        <v>50.177827559999997</v>
      </c>
    </row>
    <row r="91" spans="1:4">
      <c r="A91" s="50">
        <v>12</v>
      </c>
      <c r="B91" s="54">
        <v>38687</v>
      </c>
      <c r="C91" s="240">
        <f t="shared" si="7"/>
        <v>50.177827559999997</v>
      </c>
      <c r="D91" s="51">
        <f>SUM(C80:C91)</f>
        <v>806.44913717999998</v>
      </c>
    </row>
    <row r="92" spans="1:4">
      <c r="A92" s="50">
        <v>1</v>
      </c>
      <c r="B92" s="54">
        <v>38718</v>
      </c>
      <c r="C92" s="240">
        <f>VLOOKUP(A92,$A$5:$I$16,9)</f>
        <v>47.985188090000001</v>
      </c>
    </row>
    <row r="93" spans="1:4">
      <c r="A93" s="50">
        <v>2</v>
      </c>
      <c r="B93" s="54">
        <v>38749</v>
      </c>
      <c r="C93" s="240">
        <f t="shared" ref="C93:C103" si="8">VLOOKUP(A93,$A$5:$I$16,9)</f>
        <v>41.739237850000002</v>
      </c>
    </row>
    <row r="94" spans="1:4">
      <c r="A94" s="50">
        <v>3</v>
      </c>
      <c r="B94" s="54">
        <v>38777</v>
      </c>
      <c r="C94" s="240">
        <f t="shared" si="8"/>
        <v>41.739237850000002</v>
      </c>
    </row>
    <row r="95" spans="1:4">
      <c r="A95" s="50">
        <v>4</v>
      </c>
      <c r="B95" s="54">
        <v>38808</v>
      </c>
      <c r="C95" s="240">
        <f t="shared" si="8"/>
        <v>46.17733114</v>
      </c>
    </row>
    <row r="96" spans="1:4">
      <c r="A96" s="50">
        <v>5</v>
      </c>
      <c r="B96" s="54">
        <v>38838</v>
      </c>
      <c r="C96" s="240">
        <f t="shared" si="8"/>
        <v>56.393782999999999</v>
      </c>
    </row>
    <row r="97" spans="1:4">
      <c r="A97" s="50">
        <v>6</v>
      </c>
      <c r="B97" s="54">
        <v>38869</v>
      </c>
      <c r="C97" s="240">
        <f t="shared" si="8"/>
        <v>102.64554800000001</v>
      </c>
    </row>
    <row r="98" spans="1:4">
      <c r="A98" s="50">
        <v>7</v>
      </c>
      <c r="B98" s="54">
        <v>38899</v>
      </c>
      <c r="C98" s="240">
        <f t="shared" si="8"/>
        <v>159.35017020000001</v>
      </c>
    </row>
    <row r="99" spans="1:4">
      <c r="A99" s="50">
        <v>8</v>
      </c>
      <c r="B99" s="54">
        <v>38930</v>
      </c>
      <c r="C99" s="240">
        <f t="shared" si="8"/>
        <v>159.35017020000001</v>
      </c>
    </row>
    <row r="100" spans="1:4">
      <c r="A100" s="50">
        <v>9</v>
      </c>
      <c r="B100" s="54">
        <v>38961</v>
      </c>
      <c r="C100" s="240">
        <f t="shared" si="8"/>
        <v>56.393782999999999</v>
      </c>
    </row>
    <row r="101" spans="1:4">
      <c r="A101" s="50">
        <v>10</v>
      </c>
      <c r="B101" s="54">
        <v>38991</v>
      </c>
      <c r="C101" s="240">
        <f t="shared" si="8"/>
        <v>47.893237370000001</v>
      </c>
    </row>
    <row r="102" spans="1:4">
      <c r="A102" s="50">
        <v>11</v>
      </c>
      <c r="B102" s="54">
        <v>39022</v>
      </c>
      <c r="C102" s="240">
        <f t="shared" si="8"/>
        <v>50.220165530000003</v>
      </c>
    </row>
    <row r="103" spans="1:4">
      <c r="A103" s="50">
        <v>12</v>
      </c>
      <c r="B103" s="54">
        <v>39052</v>
      </c>
      <c r="C103" s="240">
        <f t="shared" si="8"/>
        <v>50.220165530000003</v>
      </c>
      <c r="D103" s="51">
        <f>SUM(C92:C103)</f>
        <v>860.10801776000005</v>
      </c>
    </row>
    <row r="104" spans="1:4">
      <c r="A104" s="50">
        <v>1</v>
      </c>
      <c r="B104" s="54">
        <v>39083</v>
      </c>
      <c r="C104" s="240">
        <f t="shared" ref="C104:C115" si="9">VLOOKUP(A116,$A$5:$J$16,10)</f>
        <v>47.92342798</v>
      </c>
    </row>
    <row r="105" spans="1:4">
      <c r="A105" s="50">
        <v>2</v>
      </c>
      <c r="B105" s="54">
        <v>39114</v>
      </c>
      <c r="C105" s="240">
        <f t="shared" si="9"/>
        <v>41.750481800000003</v>
      </c>
    </row>
    <row r="106" spans="1:4">
      <c r="A106" s="50">
        <v>3</v>
      </c>
      <c r="B106" s="54">
        <v>39142</v>
      </c>
      <c r="C106" s="240">
        <f t="shared" si="9"/>
        <v>41.750481800000003</v>
      </c>
    </row>
    <row r="107" spans="1:4">
      <c r="A107" s="50">
        <v>4</v>
      </c>
      <c r="B107" s="54">
        <v>39173</v>
      </c>
      <c r="C107" s="240">
        <f t="shared" si="9"/>
        <v>46.215252710000001</v>
      </c>
    </row>
    <row r="108" spans="1:4">
      <c r="A108" s="50">
        <v>5</v>
      </c>
      <c r="B108" s="54">
        <v>39203</v>
      </c>
      <c r="C108" s="240">
        <f t="shared" si="9"/>
        <v>58.915942250000001</v>
      </c>
    </row>
    <row r="109" spans="1:4">
      <c r="A109" s="50">
        <v>6</v>
      </c>
      <c r="B109" s="54">
        <v>39234</v>
      </c>
      <c r="C109" s="240">
        <f t="shared" si="9"/>
        <v>109.4849347</v>
      </c>
    </row>
    <row r="110" spans="1:4">
      <c r="A110" s="50">
        <v>7</v>
      </c>
      <c r="B110" s="54">
        <v>39264</v>
      </c>
      <c r="C110" s="240">
        <f t="shared" si="9"/>
        <v>178.5405433</v>
      </c>
    </row>
    <row r="111" spans="1:4">
      <c r="A111" s="50">
        <v>8</v>
      </c>
      <c r="B111" s="54">
        <v>39295</v>
      </c>
      <c r="C111" s="240">
        <f t="shared" si="9"/>
        <v>178.5405433</v>
      </c>
    </row>
    <row r="112" spans="1:4">
      <c r="A112" s="50">
        <v>9</v>
      </c>
      <c r="B112" s="54">
        <v>39326</v>
      </c>
      <c r="C112" s="240">
        <f t="shared" si="9"/>
        <v>58.915942250000001</v>
      </c>
    </row>
    <row r="113" spans="1:4">
      <c r="A113" s="50">
        <v>10</v>
      </c>
      <c r="B113" s="54">
        <v>39356</v>
      </c>
      <c r="C113" s="240">
        <f t="shared" si="9"/>
        <v>47.945772689999998</v>
      </c>
    </row>
    <row r="114" spans="1:4">
      <c r="A114" s="50">
        <v>11</v>
      </c>
      <c r="B114" s="54">
        <v>39387</v>
      </c>
      <c r="C114" s="240">
        <f t="shared" si="9"/>
        <v>50.242813720000001</v>
      </c>
    </row>
    <row r="115" spans="1:4">
      <c r="A115" s="50">
        <v>12</v>
      </c>
      <c r="B115" s="54">
        <v>39417</v>
      </c>
      <c r="C115" s="240">
        <f t="shared" si="9"/>
        <v>50.242813720000001</v>
      </c>
      <c r="D115" s="51">
        <f>SUM(C104:C115)</f>
        <v>910.4689502199999</v>
      </c>
    </row>
    <row r="116" spans="1:4">
      <c r="A116" s="50">
        <v>1</v>
      </c>
      <c r="B116" s="54">
        <v>39448</v>
      </c>
      <c r="C116" s="240">
        <f t="shared" ref="C116:C127" si="10">VLOOKUP(A128,$A$5:$K$16,11)</f>
        <v>47.851334469999998</v>
      </c>
    </row>
    <row r="117" spans="1:4">
      <c r="A117" s="50">
        <v>2</v>
      </c>
      <c r="B117" s="54">
        <v>39479</v>
      </c>
      <c r="C117" s="240">
        <f t="shared" si="10"/>
        <v>41.745338220000001</v>
      </c>
    </row>
    <row r="118" spans="1:4">
      <c r="A118" s="50">
        <v>3</v>
      </c>
      <c r="B118" s="54">
        <v>39508</v>
      </c>
      <c r="C118" s="240">
        <f t="shared" si="10"/>
        <v>41.745338220000001</v>
      </c>
    </row>
    <row r="119" spans="1:4">
      <c r="A119" s="50">
        <v>4</v>
      </c>
      <c r="B119" s="54">
        <v>39539</v>
      </c>
      <c r="C119" s="240">
        <f t="shared" si="10"/>
        <v>46.195517700000003</v>
      </c>
    </row>
    <row r="120" spans="1:4">
      <c r="A120" s="50">
        <v>5</v>
      </c>
      <c r="B120" s="54">
        <v>39569</v>
      </c>
      <c r="C120" s="240">
        <f t="shared" si="10"/>
        <v>59.030088880000001</v>
      </c>
    </row>
    <row r="121" spans="1:4">
      <c r="A121" s="50">
        <v>6</v>
      </c>
      <c r="B121" s="54">
        <v>39600</v>
      </c>
      <c r="C121" s="240">
        <f t="shared" si="10"/>
        <v>109.5895077</v>
      </c>
    </row>
    <row r="122" spans="1:4">
      <c r="A122" s="50">
        <v>7</v>
      </c>
      <c r="B122" s="54">
        <v>39630</v>
      </c>
      <c r="C122" s="240">
        <f t="shared" si="10"/>
        <v>178.80340810000001</v>
      </c>
    </row>
    <row r="123" spans="1:4">
      <c r="A123" s="50">
        <v>8</v>
      </c>
      <c r="B123" s="54">
        <v>39661</v>
      </c>
      <c r="C123" s="240">
        <f t="shared" si="10"/>
        <v>178.80340810000001</v>
      </c>
    </row>
    <row r="124" spans="1:4">
      <c r="A124" s="50">
        <v>9</v>
      </c>
      <c r="B124" s="54">
        <v>39692</v>
      </c>
      <c r="C124" s="240">
        <f t="shared" si="10"/>
        <v>59.030088880000001</v>
      </c>
    </row>
    <row r="125" spans="1:4">
      <c r="A125" s="50">
        <v>10</v>
      </c>
      <c r="B125" s="54">
        <v>39722</v>
      </c>
      <c r="C125" s="240">
        <f t="shared" si="10"/>
        <v>48.051463550000001</v>
      </c>
    </row>
    <row r="126" spans="1:4">
      <c r="A126" s="50">
        <v>11</v>
      </c>
      <c r="B126" s="54">
        <v>39753</v>
      </c>
      <c r="C126" s="240">
        <f t="shared" si="10"/>
        <v>50.286237190000001</v>
      </c>
    </row>
    <row r="127" spans="1:4">
      <c r="A127" s="50">
        <v>12</v>
      </c>
      <c r="B127" s="54">
        <v>39783</v>
      </c>
      <c r="C127" s="240">
        <f t="shared" si="10"/>
        <v>50.286237190000001</v>
      </c>
      <c r="D127" s="51">
        <f>SUM(C116:C127)</f>
        <v>911.41796820000002</v>
      </c>
    </row>
    <row r="128" spans="1:4">
      <c r="A128" s="50">
        <v>1</v>
      </c>
      <c r="B128" s="54">
        <v>39814</v>
      </c>
      <c r="C128" s="240">
        <f t="shared" ref="C128:C139" si="11">VLOOKUP(A140,$A$5:$L$16,12)</f>
        <v>47.800795440000002</v>
      </c>
    </row>
    <row r="129" spans="1:4">
      <c r="A129" s="50">
        <v>2</v>
      </c>
      <c r="B129" s="54">
        <v>39845</v>
      </c>
      <c r="C129" s="240">
        <f t="shared" si="11"/>
        <v>41.759888549999999</v>
      </c>
    </row>
    <row r="130" spans="1:4">
      <c r="A130" s="50">
        <v>3</v>
      </c>
      <c r="B130" s="54">
        <v>39873</v>
      </c>
      <c r="C130" s="240">
        <f t="shared" si="11"/>
        <v>41.759888549999999</v>
      </c>
    </row>
    <row r="131" spans="1:4">
      <c r="A131" s="50">
        <v>4</v>
      </c>
      <c r="B131" s="54">
        <v>39904</v>
      </c>
      <c r="C131" s="240">
        <f t="shared" si="11"/>
        <v>46.225966669999998</v>
      </c>
    </row>
    <row r="132" spans="1:4">
      <c r="A132" s="50">
        <v>5</v>
      </c>
      <c r="B132" s="54">
        <v>39934</v>
      </c>
      <c r="C132" s="240">
        <f t="shared" si="11"/>
        <v>58.185289750000003</v>
      </c>
    </row>
    <row r="133" spans="1:4">
      <c r="A133" s="50">
        <v>6</v>
      </c>
      <c r="B133" s="54">
        <v>39965</v>
      </c>
      <c r="C133" s="240">
        <f t="shared" si="11"/>
        <v>107.21891189999999</v>
      </c>
    </row>
    <row r="134" spans="1:4">
      <c r="A134" s="50">
        <v>7</v>
      </c>
      <c r="B134" s="54">
        <v>39995</v>
      </c>
      <c r="C134" s="240">
        <f t="shared" si="11"/>
        <v>170.34071489999999</v>
      </c>
    </row>
    <row r="135" spans="1:4">
      <c r="A135" s="50">
        <v>8</v>
      </c>
      <c r="B135" s="54">
        <v>40026</v>
      </c>
      <c r="C135" s="240">
        <f t="shared" si="11"/>
        <v>170.34071489999999</v>
      </c>
    </row>
    <row r="136" spans="1:4">
      <c r="A136" s="50">
        <v>9</v>
      </c>
      <c r="B136" s="54">
        <v>40057</v>
      </c>
      <c r="C136" s="240">
        <f t="shared" si="11"/>
        <v>58.185289750000003</v>
      </c>
    </row>
    <row r="137" spans="1:4">
      <c r="A137" s="50">
        <v>10</v>
      </c>
      <c r="B137" s="54">
        <v>40087</v>
      </c>
      <c r="C137" s="240">
        <f t="shared" si="11"/>
        <v>48.074641470000003</v>
      </c>
    </row>
    <row r="138" spans="1:4">
      <c r="A138" s="50">
        <v>11</v>
      </c>
      <c r="B138" s="54">
        <v>40118</v>
      </c>
      <c r="C138" s="240">
        <f t="shared" si="11"/>
        <v>50.299502140000001</v>
      </c>
    </row>
    <row r="139" spans="1:4">
      <c r="A139" s="50">
        <v>12</v>
      </c>
      <c r="B139" s="54">
        <v>40148</v>
      </c>
      <c r="C139" s="240">
        <f t="shared" si="11"/>
        <v>50.299502140000001</v>
      </c>
      <c r="D139" s="51">
        <f>SUM(C128:C139)</f>
        <v>890.49110615999984</v>
      </c>
    </row>
    <row r="140" spans="1:4">
      <c r="A140" s="50">
        <v>1</v>
      </c>
      <c r="B140" s="54">
        <v>40179</v>
      </c>
      <c r="C140" s="240">
        <f t="shared" ref="C140:C151" si="12">VLOOKUP(A152,$A$5:$M$16,13)</f>
        <v>47.727659449999997</v>
      </c>
    </row>
    <row r="141" spans="1:4">
      <c r="A141" s="50">
        <v>2</v>
      </c>
      <c r="B141" s="54">
        <v>40210</v>
      </c>
      <c r="C141" s="240">
        <f t="shared" si="12"/>
        <v>41.834905370000001</v>
      </c>
    </row>
    <row r="142" spans="1:4">
      <c r="A142" s="50">
        <v>3</v>
      </c>
      <c r="B142" s="54">
        <v>40238</v>
      </c>
      <c r="C142" s="240">
        <f t="shared" si="12"/>
        <v>41.834905370000001</v>
      </c>
    </row>
    <row r="143" spans="1:4">
      <c r="A143" s="50">
        <v>4</v>
      </c>
      <c r="B143" s="54">
        <v>40269</v>
      </c>
      <c r="C143" s="240">
        <f t="shared" si="12"/>
        <v>46.245486280000001</v>
      </c>
    </row>
    <row r="144" spans="1:4">
      <c r="A144" s="50">
        <v>5</v>
      </c>
      <c r="B144" s="54">
        <v>40299</v>
      </c>
      <c r="C144" s="240">
        <f t="shared" si="12"/>
        <v>58.186107210000003</v>
      </c>
    </row>
    <row r="145" spans="1:4">
      <c r="A145" s="50">
        <v>6</v>
      </c>
      <c r="B145" s="54">
        <v>40330</v>
      </c>
      <c r="C145" s="240">
        <f t="shared" si="12"/>
        <v>107.1349637</v>
      </c>
    </row>
    <row r="146" spans="1:4">
      <c r="A146" s="50">
        <v>7</v>
      </c>
      <c r="B146" s="54">
        <v>40360</v>
      </c>
      <c r="C146" s="240">
        <f t="shared" si="12"/>
        <v>170.04549890000001</v>
      </c>
    </row>
    <row r="147" spans="1:4">
      <c r="A147" s="50">
        <v>8</v>
      </c>
      <c r="B147" s="54">
        <v>40391</v>
      </c>
      <c r="C147" s="240">
        <f t="shared" si="12"/>
        <v>170.04549890000001</v>
      </c>
    </row>
    <row r="148" spans="1:4">
      <c r="A148" s="50">
        <v>9</v>
      </c>
      <c r="B148" s="54">
        <v>40422</v>
      </c>
      <c r="C148" s="240">
        <f t="shared" si="12"/>
        <v>58.186107210000003</v>
      </c>
    </row>
    <row r="149" spans="1:4">
      <c r="A149" s="50">
        <v>10</v>
      </c>
      <c r="B149" s="54">
        <v>40452</v>
      </c>
      <c r="C149" s="240">
        <f t="shared" si="12"/>
        <v>48.125682779999998</v>
      </c>
    </row>
    <row r="150" spans="1:4">
      <c r="A150" s="50">
        <v>11</v>
      </c>
      <c r="B150" s="54">
        <v>40483</v>
      </c>
      <c r="C150" s="240">
        <f t="shared" si="12"/>
        <v>50.292528799999999</v>
      </c>
    </row>
    <row r="151" spans="1:4">
      <c r="A151" s="50">
        <v>12</v>
      </c>
      <c r="B151" s="54">
        <v>40513</v>
      </c>
      <c r="C151" s="240">
        <f t="shared" si="12"/>
        <v>50.292528799999999</v>
      </c>
      <c r="D151" s="51">
        <f>SUM(C140:C151)</f>
        <v>889.95187277000014</v>
      </c>
    </row>
    <row r="152" spans="1:4">
      <c r="A152" s="50">
        <v>1</v>
      </c>
      <c r="B152" s="54">
        <v>40544</v>
      </c>
      <c r="C152" s="240">
        <f t="shared" ref="C152:C163" si="13">VLOOKUP(A164,$A$5:$N$16,14)</f>
        <v>47.627052849999998</v>
      </c>
    </row>
    <row r="153" spans="1:4">
      <c r="A153" s="50">
        <v>2</v>
      </c>
      <c r="B153" s="54">
        <v>40575</v>
      </c>
      <c r="C153" s="240">
        <f t="shared" si="13"/>
        <v>41.87551191</v>
      </c>
    </row>
    <row r="154" spans="1:4">
      <c r="A154" s="50">
        <v>3</v>
      </c>
      <c r="B154" s="54">
        <v>40603</v>
      </c>
      <c r="C154" s="240">
        <f t="shared" si="13"/>
        <v>41.87551191</v>
      </c>
    </row>
    <row r="155" spans="1:4">
      <c r="A155" s="50">
        <v>4</v>
      </c>
      <c r="B155" s="54">
        <v>40634</v>
      </c>
      <c r="C155" s="240">
        <f t="shared" si="13"/>
        <v>46.286573279999999</v>
      </c>
    </row>
    <row r="156" spans="1:4">
      <c r="A156" s="50">
        <v>5</v>
      </c>
      <c r="B156" s="54">
        <v>40664</v>
      </c>
      <c r="C156" s="240">
        <f t="shared" si="13"/>
        <v>57.018796610000003</v>
      </c>
    </row>
    <row r="157" spans="1:4">
      <c r="A157" s="50">
        <v>6</v>
      </c>
      <c r="B157" s="54">
        <v>40695</v>
      </c>
      <c r="C157" s="240">
        <f t="shared" si="13"/>
        <v>104.3683817</v>
      </c>
    </row>
    <row r="158" spans="1:4">
      <c r="A158" s="50">
        <v>7</v>
      </c>
      <c r="B158" s="54">
        <v>40725</v>
      </c>
      <c r="C158" s="240">
        <f t="shared" si="13"/>
        <v>163.52485100000001</v>
      </c>
    </row>
    <row r="159" spans="1:4">
      <c r="A159" s="50">
        <v>8</v>
      </c>
      <c r="B159" s="54">
        <v>40756</v>
      </c>
      <c r="C159" s="240">
        <f t="shared" si="13"/>
        <v>163.52485100000001</v>
      </c>
    </row>
    <row r="160" spans="1:4">
      <c r="A160" s="50">
        <v>9</v>
      </c>
      <c r="B160" s="54">
        <v>40787</v>
      </c>
      <c r="C160" s="240">
        <f t="shared" si="13"/>
        <v>57.018796610000003</v>
      </c>
    </row>
    <row r="161" spans="1:4">
      <c r="A161" s="50">
        <v>10</v>
      </c>
      <c r="B161" s="54">
        <v>40817</v>
      </c>
      <c r="C161" s="240">
        <f t="shared" si="13"/>
        <v>48.206387999999997</v>
      </c>
    </row>
    <row r="162" spans="1:4">
      <c r="A162" s="50">
        <v>11</v>
      </c>
      <c r="B162" s="54">
        <v>40848</v>
      </c>
      <c r="C162" s="240">
        <f t="shared" si="13"/>
        <v>50.32686254</v>
      </c>
    </row>
    <row r="163" spans="1:4">
      <c r="A163" s="50">
        <v>12</v>
      </c>
      <c r="B163" s="54">
        <v>40878</v>
      </c>
      <c r="C163" s="240">
        <f t="shared" si="13"/>
        <v>50.32686254</v>
      </c>
      <c r="D163" s="51">
        <f>SUM(C152:C163)</f>
        <v>871.98043994999989</v>
      </c>
    </row>
    <row r="164" spans="1:4">
      <c r="A164" s="50">
        <v>1</v>
      </c>
      <c r="B164" s="54">
        <v>40909</v>
      </c>
      <c r="C164" s="240">
        <f t="shared" ref="C164:C175" si="14">VLOOKUP(A176,$A$5:$O$16,15)</f>
        <v>47.543011270000001</v>
      </c>
    </row>
    <row r="165" spans="1:4">
      <c r="A165" s="50">
        <v>2</v>
      </c>
      <c r="B165" s="54">
        <v>40940</v>
      </c>
      <c r="C165" s="240">
        <f t="shared" si="14"/>
        <v>41.835226169999999</v>
      </c>
    </row>
    <row r="166" spans="1:4">
      <c r="A166" s="50">
        <v>3</v>
      </c>
      <c r="B166" s="54">
        <v>40969</v>
      </c>
      <c r="C166" s="240">
        <f t="shared" si="14"/>
        <v>41.835226169999999</v>
      </c>
    </row>
    <row r="167" spans="1:4">
      <c r="A167" s="50">
        <v>4</v>
      </c>
      <c r="B167" s="54">
        <v>41000</v>
      </c>
      <c r="C167" s="240">
        <f t="shared" si="14"/>
        <v>46.314709980000003</v>
      </c>
    </row>
    <row r="168" spans="1:4">
      <c r="A168" s="50">
        <v>5</v>
      </c>
      <c r="B168" s="54">
        <v>41030</v>
      </c>
      <c r="C168" s="240">
        <f t="shared" si="14"/>
        <v>56.019390420000001</v>
      </c>
    </row>
    <row r="169" spans="1:4">
      <c r="A169" s="50">
        <v>6</v>
      </c>
      <c r="B169" s="54">
        <v>41061</v>
      </c>
      <c r="C169" s="240">
        <f t="shared" si="14"/>
        <v>101.02728279999999</v>
      </c>
    </row>
    <row r="170" spans="1:4">
      <c r="A170" s="50">
        <v>7</v>
      </c>
      <c r="B170" s="54">
        <v>41091</v>
      </c>
      <c r="C170" s="240">
        <f t="shared" si="14"/>
        <v>155.51577209999999</v>
      </c>
    </row>
    <row r="171" spans="1:4">
      <c r="A171" s="50">
        <v>8</v>
      </c>
      <c r="B171" s="54">
        <v>41122</v>
      </c>
      <c r="C171" s="240">
        <f t="shared" si="14"/>
        <v>155.51577209999999</v>
      </c>
    </row>
    <row r="172" spans="1:4">
      <c r="A172" s="50">
        <v>9</v>
      </c>
      <c r="B172" s="54">
        <v>41153</v>
      </c>
      <c r="C172" s="240">
        <f t="shared" si="14"/>
        <v>56.019390420000001</v>
      </c>
    </row>
    <row r="173" spans="1:4">
      <c r="A173" s="50">
        <v>10</v>
      </c>
      <c r="B173" s="54">
        <v>41183</v>
      </c>
      <c r="C173" s="240">
        <f t="shared" si="14"/>
        <v>48.172355099999997</v>
      </c>
    </row>
    <row r="174" spans="1:4">
      <c r="A174" s="50">
        <v>11</v>
      </c>
      <c r="B174" s="54">
        <v>41214</v>
      </c>
      <c r="C174" s="240">
        <f t="shared" si="14"/>
        <v>50.320336650000002</v>
      </c>
    </row>
    <row r="175" spans="1:4">
      <c r="A175" s="50">
        <v>12</v>
      </c>
      <c r="B175" s="54">
        <v>41244</v>
      </c>
      <c r="C175" s="240">
        <f t="shared" si="14"/>
        <v>50.320336650000002</v>
      </c>
      <c r="D175" s="51">
        <f>SUM(C164:C175)</f>
        <v>850.43880982999985</v>
      </c>
    </row>
    <row r="176" spans="1:4">
      <c r="A176" s="50">
        <v>1</v>
      </c>
      <c r="B176" s="54">
        <v>41275</v>
      </c>
      <c r="C176" s="240">
        <f t="shared" ref="C176:C187" si="15">VLOOKUP(A188,$A$5:$P$16,16)</f>
        <v>47.51406309</v>
      </c>
    </row>
    <row r="177" spans="1:4">
      <c r="A177" s="50">
        <v>2</v>
      </c>
      <c r="B177" s="54">
        <v>41306</v>
      </c>
      <c r="C177" s="240">
        <f t="shared" si="15"/>
        <v>41.857962829999998</v>
      </c>
    </row>
    <row r="178" spans="1:4">
      <c r="A178" s="50">
        <v>3</v>
      </c>
      <c r="B178" s="54">
        <v>41334</v>
      </c>
      <c r="C178" s="240">
        <f t="shared" si="15"/>
        <v>41.857962829999998</v>
      </c>
    </row>
    <row r="179" spans="1:4">
      <c r="A179" s="50">
        <v>4</v>
      </c>
      <c r="B179" s="54">
        <v>41365</v>
      </c>
      <c r="C179" s="240">
        <f t="shared" si="15"/>
        <v>46.347454259999999</v>
      </c>
    </row>
    <row r="180" spans="1:4">
      <c r="A180" s="50">
        <v>5</v>
      </c>
      <c r="B180" s="54">
        <v>41395</v>
      </c>
      <c r="C180" s="240">
        <f t="shared" si="15"/>
        <v>54.785273279999998</v>
      </c>
    </row>
    <row r="181" spans="1:4">
      <c r="A181" s="50">
        <v>6</v>
      </c>
      <c r="B181" s="54">
        <v>41426</v>
      </c>
      <c r="C181" s="240">
        <f t="shared" si="15"/>
        <v>97.5558604</v>
      </c>
    </row>
    <row r="182" spans="1:4">
      <c r="A182" s="50">
        <v>7</v>
      </c>
      <c r="B182" s="54">
        <v>41456</v>
      </c>
      <c r="C182" s="240">
        <f t="shared" si="15"/>
        <v>145.99592559999999</v>
      </c>
    </row>
    <row r="183" spans="1:4">
      <c r="A183" s="50">
        <v>8</v>
      </c>
      <c r="B183" s="54">
        <v>41487</v>
      </c>
      <c r="C183" s="240">
        <f t="shared" si="15"/>
        <v>145.99592559999999</v>
      </c>
    </row>
    <row r="184" spans="1:4">
      <c r="A184" s="50">
        <v>9</v>
      </c>
      <c r="B184" s="54">
        <v>41518</v>
      </c>
      <c r="C184" s="240">
        <f t="shared" si="15"/>
        <v>54.785273279999998</v>
      </c>
    </row>
    <row r="185" spans="1:4">
      <c r="A185" s="50">
        <v>10</v>
      </c>
      <c r="B185" s="54">
        <v>41548</v>
      </c>
      <c r="C185" s="240">
        <f t="shared" si="15"/>
        <v>48.179096860000001</v>
      </c>
    </row>
    <row r="186" spans="1:4">
      <c r="A186" s="50">
        <v>11</v>
      </c>
      <c r="B186" s="54">
        <v>41579</v>
      </c>
      <c r="C186" s="240">
        <f t="shared" si="15"/>
        <v>50.344943149999999</v>
      </c>
    </row>
    <row r="187" spans="1:4">
      <c r="A187" s="50">
        <v>12</v>
      </c>
      <c r="B187" s="54">
        <v>41609</v>
      </c>
      <c r="C187" s="240">
        <f t="shared" si="15"/>
        <v>50.344943149999999</v>
      </c>
      <c r="D187" s="51">
        <f>SUM(C176:C187)</f>
        <v>825.56468432999975</v>
      </c>
    </row>
    <row r="188" spans="1:4">
      <c r="A188" s="50">
        <v>1</v>
      </c>
      <c r="B188" s="54">
        <v>41640</v>
      </c>
      <c r="C188" s="240">
        <f t="shared" ref="C188:C199" si="16">VLOOKUP(A200,$A$5:$Q$16,17)</f>
        <v>47.472470049999998</v>
      </c>
    </row>
    <row r="189" spans="1:4">
      <c r="A189" s="50">
        <v>2</v>
      </c>
      <c r="B189" s="54">
        <v>41671</v>
      </c>
      <c r="C189" s="240">
        <f t="shared" si="16"/>
        <v>41.819254440000002</v>
      </c>
    </row>
    <row r="190" spans="1:4">
      <c r="A190" s="50">
        <v>3</v>
      </c>
      <c r="B190" s="54">
        <v>41699</v>
      </c>
      <c r="C190" s="240">
        <f t="shared" si="16"/>
        <v>41.819254440000002</v>
      </c>
    </row>
    <row r="191" spans="1:4">
      <c r="A191" s="50">
        <v>4</v>
      </c>
      <c r="B191" s="54">
        <v>41730</v>
      </c>
      <c r="C191" s="240">
        <f t="shared" si="16"/>
        <v>46.364830099999999</v>
      </c>
    </row>
    <row r="192" spans="1:4">
      <c r="A192" s="50">
        <v>5</v>
      </c>
      <c r="B192" s="54">
        <v>41760</v>
      </c>
      <c r="C192" s="240">
        <f t="shared" si="16"/>
        <v>56.348211910000003</v>
      </c>
    </row>
    <row r="193" spans="1:4">
      <c r="A193" s="50">
        <v>6</v>
      </c>
      <c r="B193" s="54">
        <v>41791</v>
      </c>
      <c r="C193" s="240">
        <f t="shared" si="16"/>
        <v>102.08996550000001</v>
      </c>
    </row>
    <row r="194" spans="1:4">
      <c r="A194" s="50">
        <v>7</v>
      </c>
      <c r="B194" s="54">
        <v>41821</v>
      </c>
      <c r="C194" s="240">
        <f t="shared" si="16"/>
        <v>158.10978119999999</v>
      </c>
    </row>
    <row r="195" spans="1:4">
      <c r="A195" s="50">
        <v>8</v>
      </c>
      <c r="B195" s="54">
        <v>41852</v>
      </c>
      <c r="C195" s="240">
        <f t="shared" si="16"/>
        <v>158.10978119999999</v>
      </c>
    </row>
    <row r="196" spans="1:4">
      <c r="A196" s="50">
        <v>9</v>
      </c>
      <c r="B196" s="54">
        <v>41883</v>
      </c>
      <c r="C196" s="240">
        <f t="shared" si="16"/>
        <v>56.348211910000003</v>
      </c>
    </row>
    <row r="197" spans="1:4">
      <c r="A197" s="50">
        <v>10</v>
      </c>
      <c r="B197" s="54">
        <v>41913</v>
      </c>
      <c r="C197" s="240">
        <f t="shared" si="16"/>
        <v>48.214159109999997</v>
      </c>
    </row>
    <row r="198" spans="1:4">
      <c r="A198" s="50">
        <v>11</v>
      </c>
      <c r="B198" s="54">
        <v>41944</v>
      </c>
      <c r="C198" s="240">
        <f t="shared" si="16"/>
        <v>50.359455420000003</v>
      </c>
    </row>
    <row r="199" spans="1:4">
      <c r="A199" s="50">
        <v>12</v>
      </c>
      <c r="B199" s="54">
        <v>41974</v>
      </c>
      <c r="C199" s="240">
        <f t="shared" si="16"/>
        <v>50.359455420000003</v>
      </c>
      <c r="D199" s="51">
        <f>SUM(C188:C199)</f>
        <v>857.41483070000004</v>
      </c>
    </row>
    <row r="200" spans="1:4">
      <c r="A200" s="50">
        <v>1</v>
      </c>
      <c r="B200" s="54">
        <v>42005</v>
      </c>
      <c r="C200" s="240">
        <f t="shared" ref="C200:C211" si="17">VLOOKUP(A212,$A$5:$R$16,18)</f>
        <v>48.311608300000003</v>
      </c>
    </row>
    <row r="201" spans="1:4">
      <c r="A201" s="50">
        <v>2</v>
      </c>
      <c r="B201" s="54">
        <v>42036</v>
      </c>
      <c r="C201" s="240">
        <f t="shared" si="17"/>
        <v>42.662712560000003</v>
      </c>
    </row>
    <row r="202" spans="1:4">
      <c r="A202" s="50">
        <v>3</v>
      </c>
      <c r="B202" s="54">
        <v>42064</v>
      </c>
      <c r="C202" s="240">
        <f t="shared" si="17"/>
        <v>42.662712560000003</v>
      </c>
    </row>
    <row r="203" spans="1:4">
      <c r="A203" s="50">
        <v>4</v>
      </c>
      <c r="B203" s="54">
        <v>42095</v>
      </c>
      <c r="C203" s="240">
        <f t="shared" si="17"/>
        <v>47.220839869999999</v>
      </c>
    </row>
    <row r="204" spans="1:4">
      <c r="A204" s="50">
        <v>5</v>
      </c>
      <c r="B204" s="54">
        <v>42125</v>
      </c>
      <c r="C204" s="240">
        <f t="shared" si="17"/>
        <v>59.278648250000003</v>
      </c>
    </row>
    <row r="205" spans="1:4">
      <c r="A205" s="50">
        <v>6</v>
      </c>
      <c r="B205" s="54">
        <v>42156</v>
      </c>
      <c r="C205" s="240">
        <f t="shared" si="17"/>
        <v>107.58108249999999</v>
      </c>
    </row>
    <row r="206" spans="1:4">
      <c r="A206" s="50">
        <v>7</v>
      </c>
      <c r="B206" s="54">
        <v>42186</v>
      </c>
      <c r="C206" s="240">
        <f t="shared" si="17"/>
        <v>171.14359540000001</v>
      </c>
    </row>
    <row r="207" spans="1:4">
      <c r="A207" s="50">
        <v>8</v>
      </c>
      <c r="B207" s="54">
        <v>42217</v>
      </c>
      <c r="C207" s="240">
        <f t="shared" si="17"/>
        <v>171.14359540000001</v>
      </c>
    </row>
    <row r="208" spans="1:4">
      <c r="A208" s="50">
        <v>9</v>
      </c>
      <c r="B208" s="54">
        <v>42248</v>
      </c>
      <c r="C208" s="240">
        <f t="shared" si="17"/>
        <v>59.278648250000003</v>
      </c>
    </row>
    <row r="209" spans="1:4">
      <c r="A209" s="50">
        <v>10</v>
      </c>
      <c r="B209" s="54">
        <v>42278</v>
      </c>
      <c r="C209" s="240">
        <f t="shared" si="17"/>
        <v>49.610740900000003</v>
      </c>
    </row>
    <row r="210" spans="1:4">
      <c r="A210" s="50">
        <v>11</v>
      </c>
      <c r="B210" s="54">
        <v>42309</v>
      </c>
      <c r="C210" s="240">
        <f t="shared" si="17"/>
        <v>51.339711940000001</v>
      </c>
    </row>
    <row r="211" spans="1:4">
      <c r="A211" s="50">
        <v>12</v>
      </c>
      <c r="B211" s="54">
        <v>42339</v>
      </c>
      <c r="C211" s="240">
        <f t="shared" si="17"/>
        <v>51.339711940000001</v>
      </c>
      <c r="D211" s="51">
        <f>SUM(C200:C211)</f>
        <v>901.57360787000005</v>
      </c>
    </row>
    <row r="212" spans="1:4">
      <c r="A212" s="50">
        <v>1</v>
      </c>
      <c r="B212" s="54">
        <v>42370</v>
      </c>
      <c r="C212" s="240">
        <f t="shared" ref="C212:C223" si="18">VLOOKUP(A224,$A$5:$S$16,19)</f>
        <v>48.278161849999996</v>
      </c>
    </row>
    <row r="213" spans="1:4">
      <c r="A213" s="50">
        <v>2</v>
      </c>
      <c r="B213" s="54">
        <v>42401</v>
      </c>
      <c r="C213" s="240">
        <f t="shared" si="18"/>
        <v>42.681394259999998</v>
      </c>
    </row>
    <row r="214" spans="1:4">
      <c r="A214" s="50">
        <v>3</v>
      </c>
      <c r="B214" s="54">
        <v>42430</v>
      </c>
      <c r="C214" s="240">
        <f t="shared" si="18"/>
        <v>42.681394259999998</v>
      </c>
    </row>
    <row r="215" spans="1:4">
      <c r="A215" s="50">
        <v>4</v>
      </c>
      <c r="B215" s="54">
        <v>42461</v>
      </c>
      <c r="C215" s="240">
        <f t="shared" si="18"/>
        <v>47.235548139999999</v>
      </c>
    </row>
    <row r="216" spans="1:4">
      <c r="A216" s="50">
        <v>5</v>
      </c>
      <c r="B216" s="54">
        <v>42491</v>
      </c>
      <c r="C216" s="240">
        <f t="shared" si="18"/>
        <v>60.213965199999997</v>
      </c>
    </row>
    <row r="217" spans="1:4">
      <c r="A217" s="50">
        <v>6</v>
      </c>
      <c r="B217" s="54">
        <v>42522</v>
      </c>
      <c r="C217" s="240">
        <f t="shared" si="18"/>
        <v>110.5573703</v>
      </c>
    </row>
    <row r="218" spans="1:4">
      <c r="A218" s="50">
        <v>7</v>
      </c>
      <c r="B218" s="54">
        <v>42552</v>
      </c>
      <c r="C218" s="240">
        <f t="shared" si="18"/>
        <v>180.9578376</v>
      </c>
    </row>
    <row r="219" spans="1:4">
      <c r="A219" s="50">
        <v>8</v>
      </c>
      <c r="B219" s="54">
        <v>42583</v>
      </c>
      <c r="C219" s="240">
        <f t="shared" si="18"/>
        <v>180.9578376</v>
      </c>
    </row>
    <row r="220" spans="1:4">
      <c r="A220" s="50">
        <v>9</v>
      </c>
      <c r="B220" s="54">
        <v>42614</v>
      </c>
      <c r="C220" s="240">
        <f t="shared" si="18"/>
        <v>60.213965199999997</v>
      </c>
    </row>
    <row r="221" spans="1:4">
      <c r="A221" s="50">
        <v>10</v>
      </c>
      <c r="B221" s="54">
        <v>42644</v>
      </c>
      <c r="C221" s="240">
        <f t="shared" si="18"/>
        <v>49.635343859999999</v>
      </c>
    </row>
    <row r="222" spans="1:4">
      <c r="A222" s="50">
        <v>11</v>
      </c>
      <c r="B222" s="54">
        <v>42675</v>
      </c>
      <c r="C222" s="240">
        <f t="shared" si="18"/>
        <v>51.334918649999999</v>
      </c>
    </row>
    <row r="223" spans="1:4">
      <c r="A223" s="50">
        <v>12</v>
      </c>
      <c r="B223" s="54">
        <v>42705</v>
      </c>
      <c r="C223" s="240">
        <f t="shared" si="18"/>
        <v>51.334918649999999</v>
      </c>
      <c r="D223" s="51">
        <f>SUM(C212:C223)</f>
        <v>926.08265556999982</v>
      </c>
    </row>
    <row r="224" spans="1:4">
      <c r="A224" s="50">
        <v>1</v>
      </c>
      <c r="B224" s="54">
        <v>42736</v>
      </c>
      <c r="C224" s="240">
        <f t="shared" ref="C224:C235" si="19">VLOOKUP(A236,$A$5:$T$16,20)</f>
        <v>48.241320610000002</v>
      </c>
    </row>
    <row r="225" spans="1:4">
      <c r="A225" s="50">
        <v>2</v>
      </c>
      <c r="B225" s="54">
        <v>42767</v>
      </c>
      <c r="C225" s="240">
        <f t="shared" si="19"/>
        <v>42.643273039999997</v>
      </c>
    </row>
    <row r="226" spans="1:4">
      <c r="A226" s="50">
        <v>3</v>
      </c>
      <c r="B226" s="54">
        <v>42795</v>
      </c>
      <c r="C226" s="240">
        <f t="shared" si="19"/>
        <v>42.643273039999997</v>
      </c>
    </row>
    <row r="227" spans="1:4">
      <c r="A227" s="50">
        <v>4</v>
      </c>
      <c r="B227" s="54">
        <v>42826</v>
      </c>
      <c r="C227" s="240">
        <f t="shared" si="19"/>
        <v>47.271625739999998</v>
      </c>
    </row>
    <row r="228" spans="1:4">
      <c r="A228" s="50">
        <v>5</v>
      </c>
      <c r="B228" s="54">
        <v>42856</v>
      </c>
      <c r="C228" s="240">
        <f t="shared" si="19"/>
        <v>60.133431620000003</v>
      </c>
    </row>
    <row r="229" spans="1:4">
      <c r="A229" s="50">
        <v>6</v>
      </c>
      <c r="B229" s="54">
        <v>42887</v>
      </c>
      <c r="C229" s="240">
        <f t="shared" si="19"/>
        <v>110.1751727</v>
      </c>
    </row>
    <row r="230" spans="1:4">
      <c r="A230" s="50">
        <v>7</v>
      </c>
      <c r="B230" s="54">
        <v>42917</v>
      </c>
      <c r="C230" s="240">
        <f t="shared" si="19"/>
        <v>180.10846520000001</v>
      </c>
    </row>
    <row r="231" spans="1:4">
      <c r="A231" s="50">
        <v>8</v>
      </c>
      <c r="B231" s="54">
        <v>42948</v>
      </c>
      <c r="C231" s="240">
        <f t="shared" si="19"/>
        <v>180.10846520000001</v>
      </c>
    </row>
    <row r="232" spans="1:4">
      <c r="A232" s="50">
        <v>9</v>
      </c>
      <c r="B232" s="54">
        <v>42979</v>
      </c>
      <c r="C232" s="240">
        <f t="shared" si="19"/>
        <v>60.133431620000003</v>
      </c>
    </row>
    <row r="233" spans="1:4">
      <c r="A233" s="50">
        <v>10</v>
      </c>
      <c r="B233" s="54">
        <v>43009</v>
      </c>
      <c r="C233" s="240">
        <f t="shared" si="19"/>
        <v>49.71153984</v>
      </c>
    </row>
    <row r="234" spans="1:4">
      <c r="A234" s="50">
        <v>11</v>
      </c>
      <c r="B234" s="54">
        <v>43040</v>
      </c>
      <c r="C234" s="240">
        <f t="shared" si="19"/>
        <v>51.330231499999996</v>
      </c>
    </row>
    <row r="235" spans="1:4">
      <c r="A235" s="50">
        <v>12</v>
      </c>
      <c r="B235" s="54">
        <v>43070</v>
      </c>
      <c r="C235" s="240">
        <f t="shared" si="19"/>
        <v>51.330231499999996</v>
      </c>
      <c r="D235" s="51">
        <f>SUM(C224:C235)</f>
        <v>923.83046161000004</v>
      </c>
    </row>
    <row r="236" spans="1:4">
      <c r="A236" s="50">
        <v>1</v>
      </c>
      <c r="B236" s="54">
        <v>43101</v>
      </c>
      <c r="C236" s="240">
        <f t="shared" ref="C236:C247" si="20">VLOOKUP(A248,$A$5:$U$16,21)</f>
        <v>48.23143288</v>
      </c>
    </row>
    <row r="237" spans="1:4">
      <c r="A237" s="50">
        <v>2</v>
      </c>
      <c r="B237" s="54">
        <v>43132</v>
      </c>
      <c r="C237" s="240">
        <f t="shared" si="20"/>
        <v>42.634758580000003</v>
      </c>
    </row>
    <row r="238" spans="1:4">
      <c r="A238" s="50">
        <v>3</v>
      </c>
      <c r="B238" s="54">
        <v>43160</v>
      </c>
      <c r="C238" s="240">
        <f t="shared" si="20"/>
        <v>42.634758580000003</v>
      </c>
    </row>
    <row r="239" spans="1:4">
      <c r="A239" s="50">
        <v>4</v>
      </c>
      <c r="B239" s="54">
        <v>43191</v>
      </c>
      <c r="C239" s="240">
        <f t="shared" si="20"/>
        <v>47.3161731</v>
      </c>
    </row>
    <row r="240" spans="1:4">
      <c r="A240" s="50">
        <v>5</v>
      </c>
      <c r="B240" s="54">
        <v>43221</v>
      </c>
      <c r="C240" s="240">
        <f t="shared" si="20"/>
        <v>60.237749559999997</v>
      </c>
    </row>
    <row r="241" spans="1:4">
      <c r="A241" s="50">
        <v>6</v>
      </c>
      <c r="B241" s="54">
        <v>43252</v>
      </c>
      <c r="C241" s="240">
        <f t="shared" si="20"/>
        <v>110.4394211</v>
      </c>
    </row>
    <row r="242" spans="1:4">
      <c r="A242" s="50">
        <v>7</v>
      </c>
      <c r="B242" s="54">
        <v>43282</v>
      </c>
      <c r="C242" s="240">
        <f t="shared" si="20"/>
        <v>180.73672049999999</v>
      </c>
    </row>
    <row r="243" spans="1:4">
      <c r="A243" s="50">
        <v>8</v>
      </c>
      <c r="B243" s="54">
        <v>43313</v>
      </c>
      <c r="C243" s="240">
        <f t="shared" si="20"/>
        <v>180.73672049999999</v>
      </c>
    </row>
    <row r="244" spans="1:4">
      <c r="A244" s="50">
        <v>9</v>
      </c>
      <c r="B244" s="54">
        <v>43344</v>
      </c>
      <c r="C244" s="240">
        <f t="shared" si="20"/>
        <v>60.237749559999997</v>
      </c>
    </row>
    <row r="245" spans="1:4">
      <c r="A245" s="50">
        <v>10</v>
      </c>
      <c r="B245" s="54">
        <v>43374</v>
      </c>
      <c r="C245" s="240">
        <f t="shared" si="20"/>
        <v>49.706975929999999</v>
      </c>
    </row>
    <row r="246" spans="1:4">
      <c r="A246" s="50">
        <v>11</v>
      </c>
      <c r="B246" s="54">
        <v>43405</v>
      </c>
      <c r="C246" s="240">
        <f t="shared" si="20"/>
        <v>51.336928190000002</v>
      </c>
    </row>
    <row r="247" spans="1:4">
      <c r="A247" s="50">
        <v>12</v>
      </c>
      <c r="B247" s="54">
        <v>43435</v>
      </c>
      <c r="C247" s="240">
        <f t="shared" si="20"/>
        <v>51.336928190000002</v>
      </c>
      <c r="D247" s="51">
        <f>SUM(C236:C247)</f>
        <v>925.58631666999997</v>
      </c>
    </row>
    <row r="248" spans="1:4">
      <c r="A248" s="50">
        <v>1</v>
      </c>
      <c r="B248" s="54">
        <v>43466</v>
      </c>
      <c r="C248" s="240">
        <f t="shared" ref="C248:C259" si="21">VLOOKUP(A260,$A$5:$V$16,22)</f>
        <v>48.193177519999999</v>
      </c>
    </row>
    <row r="249" spans="1:4">
      <c r="A249" s="50">
        <v>2</v>
      </c>
      <c r="B249" s="54">
        <v>43497</v>
      </c>
      <c r="C249" s="240">
        <f t="shared" si="21"/>
        <v>42.626866929999998</v>
      </c>
    </row>
    <row r="250" spans="1:4">
      <c r="A250" s="50">
        <v>3</v>
      </c>
      <c r="B250" s="54">
        <v>43525</v>
      </c>
      <c r="C250" s="240">
        <f t="shared" si="21"/>
        <v>42.626866929999998</v>
      </c>
    </row>
    <row r="251" spans="1:4">
      <c r="A251" s="50">
        <v>4</v>
      </c>
      <c r="B251" s="54">
        <v>43556</v>
      </c>
      <c r="C251" s="240">
        <f t="shared" si="21"/>
        <v>47.346890139999999</v>
      </c>
    </row>
    <row r="252" spans="1:4">
      <c r="A252" s="50">
        <v>5</v>
      </c>
      <c r="B252" s="54">
        <v>43586</v>
      </c>
      <c r="C252" s="240">
        <f t="shared" si="21"/>
        <v>57.747255699999997</v>
      </c>
    </row>
    <row r="253" spans="1:4">
      <c r="A253" s="50">
        <v>6</v>
      </c>
      <c r="B253" s="54">
        <v>43617</v>
      </c>
      <c r="C253" s="240">
        <f t="shared" si="21"/>
        <v>104.0923138</v>
      </c>
    </row>
    <row r="254" spans="1:4">
      <c r="A254" s="50">
        <v>7</v>
      </c>
      <c r="B254" s="54">
        <v>43647</v>
      </c>
      <c r="C254" s="240">
        <f t="shared" si="21"/>
        <v>162.35939680000001</v>
      </c>
    </row>
    <row r="255" spans="1:4">
      <c r="A255" s="50">
        <v>8</v>
      </c>
      <c r="B255" s="54">
        <v>43678</v>
      </c>
      <c r="C255" s="240">
        <f t="shared" si="21"/>
        <v>162.35939680000001</v>
      </c>
    </row>
    <row r="256" spans="1:4">
      <c r="A256" s="50">
        <v>9</v>
      </c>
      <c r="B256" s="54">
        <v>43709</v>
      </c>
      <c r="C256" s="240">
        <f t="shared" si="21"/>
        <v>57.747255699999997</v>
      </c>
    </row>
    <row r="257" spans="1:4">
      <c r="A257" s="50">
        <v>10</v>
      </c>
      <c r="B257" s="54">
        <v>43739</v>
      </c>
      <c r="C257" s="240">
        <f t="shared" si="21"/>
        <v>49.720502250000003</v>
      </c>
    </row>
    <row r="258" spans="1:4">
      <c r="A258" s="50">
        <v>11</v>
      </c>
      <c r="B258" s="54">
        <v>43770</v>
      </c>
      <c r="C258" s="240">
        <f t="shared" si="21"/>
        <v>51.332499489999996</v>
      </c>
    </row>
    <row r="259" spans="1:4">
      <c r="A259" s="50">
        <v>12</v>
      </c>
      <c r="B259" s="54">
        <v>43800</v>
      </c>
      <c r="C259" s="240">
        <f t="shared" si="21"/>
        <v>51.332499489999996</v>
      </c>
      <c r="D259" s="51">
        <f>SUM(C248:C259)</f>
        <v>877.48492154999997</v>
      </c>
    </row>
    <row r="260" spans="1:4">
      <c r="A260" s="50">
        <v>1</v>
      </c>
      <c r="B260" s="54">
        <v>43831</v>
      </c>
    </row>
    <row r="261" spans="1:4">
      <c r="A261" s="50">
        <v>2</v>
      </c>
      <c r="B261" s="54">
        <v>43862</v>
      </c>
    </row>
    <row r="262" spans="1:4">
      <c r="A262" s="50">
        <v>3</v>
      </c>
      <c r="B262" s="54">
        <v>43891</v>
      </c>
    </row>
    <row r="263" spans="1:4">
      <c r="A263" s="50">
        <v>4</v>
      </c>
      <c r="B263" s="54">
        <v>43922</v>
      </c>
    </row>
    <row r="264" spans="1:4">
      <c r="A264" s="50">
        <v>5</v>
      </c>
      <c r="B264" s="54">
        <v>43952</v>
      </c>
    </row>
    <row r="265" spans="1:4">
      <c r="A265" s="50">
        <v>6</v>
      </c>
      <c r="B265" s="54">
        <v>43983</v>
      </c>
    </row>
    <row r="266" spans="1:4">
      <c r="A266" s="50">
        <v>7</v>
      </c>
      <c r="B266" s="54">
        <v>44013</v>
      </c>
    </row>
    <row r="267" spans="1:4">
      <c r="A267" s="50">
        <v>8</v>
      </c>
      <c r="B267" s="54">
        <v>44044</v>
      </c>
    </row>
    <row r="268" spans="1:4">
      <c r="A268" s="50">
        <v>9</v>
      </c>
      <c r="B268" s="54">
        <v>44075</v>
      </c>
    </row>
    <row r="269" spans="1:4">
      <c r="A269" s="50">
        <v>10</v>
      </c>
      <c r="B269" s="54">
        <v>44105</v>
      </c>
    </row>
    <row r="270" spans="1:4">
      <c r="A270" s="50">
        <v>11</v>
      </c>
      <c r="B270" s="54">
        <v>44136</v>
      </c>
    </row>
    <row r="271" spans="1:4">
      <c r="A271" s="50">
        <v>12</v>
      </c>
      <c r="B271" s="54">
        <v>44166</v>
      </c>
    </row>
    <row r="272" spans="1:4">
      <c r="A272" s="50">
        <v>1</v>
      </c>
      <c r="B272" s="54">
        <v>44197</v>
      </c>
      <c r="C272" s="240">
        <f>VLOOKUP(A272,$A$5:$W$16,23)</f>
        <v>48.112318119999998</v>
      </c>
    </row>
    <row r="273" spans="1:4">
      <c r="A273" s="50">
        <v>2</v>
      </c>
      <c r="B273" s="54">
        <v>44228</v>
      </c>
      <c r="C273" s="240">
        <f t="shared" ref="C273:C283" si="22">VLOOKUP(A273,$A$5:$W$16,23)</f>
        <v>42.619629170000003</v>
      </c>
    </row>
    <row r="274" spans="1:4">
      <c r="A274" s="50">
        <v>3</v>
      </c>
      <c r="B274" s="54">
        <v>44256</v>
      </c>
      <c r="C274" s="240">
        <f t="shared" si="22"/>
        <v>42.619629170000003</v>
      </c>
    </row>
    <row r="275" spans="1:4">
      <c r="A275" s="50">
        <v>4</v>
      </c>
      <c r="B275" s="54">
        <v>44287</v>
      </c>
      <c r="C275" s="240">
        <f t="shared" si="22"/>
        <v>47.344748350000003</v>
      </c>
    </row>
    <row r="276" spans="1:4">
      <c r="A276" s="50">
        <v>5</v>
      </c>
      <c r="B276" s="54">
        <v>44317</v>
      </c>
      <c r="C276" s="240">
        <f t="shared" si="22"/>
        <v>57.120286929999999</v>
      </c>
    </row>
    <row r="277" spans="1:4">
      <c r="A277" s="50">
        <v>6</v>
      </c>
      <c r="B277" s="54">
        <v>44348</v>
      </c>
      <c r="C277" s="240">
        <f t="shared" si="22"/>
        <v>102.5254025</v>
      </c>
    </row>
    <row r="278" spans="1:4">
      <c r="A278" s="50">
        <v>7</v>
      </c>
      <c r="B278" s="54">
        <v>44378</v>
      </c>
      <c r="C278" s="240">
        <f t="shared" si="22"/>
        <v>157.5536275</v>
      </c>
    </row>
    <row r="279" spans="1:4">
      <c r="A279" s="50">
        <v>8</v>
      </c>
      <c r="B279" s="54">
        <v>44409</v>
      </c>
      <c r="C279" s="240">
        <f t="shared" si="22"/>
        <v>157.5536275</v>
      </c>
    </row>
    <row r="280" spans="1:4">
      <c r="A280" s="50">
        <v>9</v>
      </c>
      <c r="B280" s="54">
        <v>44440</v>
      </c>
      <c r="C280" s="240">
        <f t="shared" si="22"/>
        <v>57.120286929999999</v>
      </c>
    </row>
    <row r="281" spans="1:4">
      <c r="A281" s="50">
        <v>10</v>
      </c>
      <c r="B281" s="54">
        <v>44470</v>
      </c>
      <c r="C281" s="240">
        <f t="shared" si="22"/>
        <v>49.735560960000001</v>
      </c>
    </row>
    <row r="282" spans="1:4">
      <c r="A282" s="50">
        <v>11</v>
      </c>
      <c r="B282" s="54">
        <v>44501</v>
      </c>
      <c r="C282" s="240">
        <f t="shared" si="22"/>
        <v>51.362057149999998</v>
      </c>
    </row>
    <row r="283" spans="1:4">
      <c r="A283" s="50">
        <v>12</v>
      </c>
      <c r="B283" s="54">
        <v>44531</v>
      </c>
      <c r="C283" s="240">
        <f t="shared" si="22"/>
        <v>51.362057149999998</v>
      </c>
      <c r="D283" s="51">
        <f>SUM(C272:C283)</f>
        <v>865.02923142999998</v>
      </c>
    </row>
    <row r="284" spans="1:4">
      <c r="A284" s="50">
        <v>1</v>
      </c>
      <c r="B284" s="54">
        <v>44562</v>
      </c>
    </row>
    <row r="285" spans="1:4">
      <c r="A285" s="50">
        <v>2</v>
      </c>
      <c r="B285" s="54">
        <v>44593</v>
      </c>
    </row>
    <row r="286" spans="1:4">
      <c r="A286" s="50">
        <v>3</v>
      </c>
      <c r="B286" s="54">
        <v>44621</v>
      </c>
    </row>
    <row r="287" spans="1:4">
      <c r="A287" s="50">
        <v>4</v>
      </c>
      <c r="B287" s="54">
        <v>44652</v>
      </c>
    </row>
    <row r="288" spans="1:4">
      <c r="A288" s="50">
        <v>5</v>
      </c>
      <c r="B288" s="54">
        <v>44682</v>
      </c>
    </row>
    <row r="289" spans="1:2">
      <c r="A289" s="50">
        <v>6</v>
      </c>
      <c r="B289" s="54">
        <v>44713</v>
      </c>
    </row>
    <row r="290" spans="1:2">
      <c r="A290" s="50">
        <v>7</v>
      </c>
      <c r="B290" s="54">
        <v>44743</v>
      </c>
    </row>
    <row r="291" spans="1:2">
      <c r="A291" s="50">
        <v>8</v>
      </c>
      <c r="B291" s="54">
        <v>44774</v>
      </c>
    </row>
    <row r="292" spans="1:2">
      <c r="A292" s="50">
        <v>9</v>
      </c>
      <c r="B292" s="54">
        <v>44805</v>
      </c>
    </row>
    <row r="293" spans="1:2">
      <c r="A293" s="50">
        <v>10</v>
      </c>
      <c r="B293" s="54">
        <v>44835</v>
      </c>
    </row>
    <row r="294" spans="1:2">
      <c r="A294" s="50">
        <v>11</v>
      </c>
      <c r="B294" s="54">
        <v>44866</v>
      </c>
    </row>
    <row r="295" spans="1:2">
      <c r="A295" s="50">
        <v>12</v>
      </c>
      <c r="B295" s="54">
        <v>44896</v>
      </c>
    </row>
    <row r="296" spans="1:2">
      <c r="A296" s="50">
        <v>1</v>
      </c>
      <c r="B296" s="54">
        <v>44927</v>
      </c>
    </row>
    <row r="297" spans="1:2">
      <c r="A297" s="50">
        <v>2</v>
      </c>
      <c r="B297" s="54">
        <v>44958</v>
      </c>
    </row>
    <row r="298" spans="1:2">
      <c r="A298" s="50">
        <v>3</v>
      </c>
      <c r="B298" s="54">
        <v>44986</v>
      </c>
    </row>
    <row r="299" spans="1:2">
      <c r="A299" s="50">
        <v>4</v>
      </c>
      <c r="B299" s="54">
        <v>45017</v>
      </c>
    </row>
    <row r="300" spans="1:2">
      <c r="A300" s="50">
        <v>5</v>
      </c>
      <c r="B300" s="54">
        <v>45047</v>
      </c>
    </row>
    <row r="301" spans="1:2">
      <c r="A301" s="50">
        <v>6</v>
      </c>
      <c r="B301" s="54">
        <v>45078</v>
      </c>
    </row>
    <row r="302" spans="1:2">
      <c r="A302" s="50">
        <v>7</v>
      </c>
      <c r="B302" s="54">
        <v>45108</v>
      </c>
    </row>
    <row r="303" spans="1:2">
      <c r="A303" s="50">
        <v>8</v>
      </c>
      <c r="B303" s="54">
        <v>45139</v>
      </c>
    </row>
    <row r="304" spans="1:2">
      <c r="A304" s="50">
        <v>9</v>
      </c>
      <c r="B304" s="54">
        <v>45170</v>
      </c>
    </row>
    <row r="305" spans="1:2">
      <c r="A305" s="50">
        <v>10</v>
      </c>
      <c r="B305" s="54">
        <v>45200</v>
      </c>
    </row>
    <row r="306" spans="1:2">
      <c r="A306" s="50">
        <v>11</v>
      </c>
      <c r="B306" s="54">
        <v>45231</v>
      </c>
    </row>
    <row r="307" spans="1:2">
      <c r="A307" s="50">
        <v>12</v>
      </c>
      <c r="B307" s="54">
        <v>45261</v>
      </c>
    </row>
    <row r="308" spans="1:2">
      <c r="A308" s="50">
        <v>1</v>
      </c>
      <c r="B308" s="54">
        <v>45292</v>
      </c>
    </row>
    <row r="309" spans="1:2">
      <c r="A309" s="50">
        <v>2</v>
      </c>
      <c r="B309" s="54">
        <v>45323</v>
      </c>
    </row>
    <row r="310" spans="1:2">
      <c r="A310" s="50">
        <v>3</v>
      </c>
      <c r="B310" s="54">
        <v>45352</v>
      </c>
    </row>
    <row r="311" spans="1:2">
      <c r="A311" s="50">
        <v>4</v>
      </c>
      <c r="B311" s="54">
        <v>45383</v>
      </c>
    </row>
    <row r="312" spans="1:2">
      <c r="A312" s="50">
        <v>5</v>
      </c>
      <c r="B312" s="54">
        <v>45413</v>
      </c>
    </row>
    <row r="313" spans="1:2">
      <c r="A313" s="50">
        <v>6</v>
      </c>
      <c r="B313" s="54">
        <v>45444</v>
      </c>
    </row>
    <row r="314" spans="1:2">
      <c r="A314" s="50">
        <v>7</v>
      </c>
      <c r="B314" s="54">
        <v>45474</v>
      </c>
    </row>
    <row r="315" spans="1:2">
      <c r="A315" s="50">
        <v>8</v>
      </c>
      <c r="B315" s="54">
        <v>45505</v>
      </c>
    </row>
    <row r="316" spans="1:2">
      <c r="A316" s="50">
        <v>9</v>
      </c>
      <c r="B316" s="54">
        <v>45536</v>
      </c>
    </row>
    <row r="317" spans="1:2">
      <c r="A317" s="50">
        <v>10</v>
      </c>
      <c r="B317" s="54">
        <v>45566</v>
      </c>
    </row>
    <row r="318" spans="1:2">
      <c r="A318" s="50">
        <v>11</v>
      </c>
      <c r="B318" s="54">
        <v>45597</v>
      </c>
    </row>
    <row r="319" spans="1:2">
      <c r="A319" s="50">
        <v>12</v>
      </c>
      <c r="B319" s="54">
        <v>45627</v>
      </c>
    </row>
    <row r="320" spans="1:2">
      <c r="A320" s="50">
        <v>1</v>
      </c>
      <c r="B320" s="54">
        <v>45658</v>
      </c>
    </row>
    <row r="321" spans="1:2">
      <c r="A321" s="50">
        <v>2</v>
      </c>
      <c r="B321" s="54">
        <v>45689</v>
      </c>
    </row>
    <row r="322" spans="1:2">
      <c r="A322" s="50">
        <v>3</v>
      </c>
      <c r="B322" s="54">
        <v>45717</v>
      </c>
    </row>
    <row r="323" spans="1:2">
      <c r="A323" s="50">
        <v>4</v>
      </c>
      <c r="B323" s="54">
        <v>45748</v>
      </c>
    </row>
    <row r="324" spans="1:2">
      <c r="A324" s="50">
        <v>5</v>
      </c>
      <c r="B324" s="54">
        <v>45778</v>
      </c>
    </row>
    <row r="325" spans="1:2">
      <c r="A325" s="50">
        <v>6</v>
      </c>
      <c r="B325" s="54">
        <v>45809</v>
      </c>
    </row>
    <row r="326" spans="1:2">
      <c r="A326" s="50">
        <v>7</v>
      </c>
      <c r="B326" s="54">
        <v>45839</v>
      </c>
    </row>
    <row r="327" spans="1:2">
      <c r="A327" s="50">
        <v>8</v>
      </c>
      <c r="B327" s="54">
        <v>45870</v>
      </c>
    </row>
    <row r="328" spans="1:2">
      <c r="A328" s="50">
        <v>9</v>
      </c>
      <c r="B328" s="54">
        <v>45901</v>
      </c>
    </row>
    <row r="329" spans="1:2">
      <c r="A329" s="50">
        <v>10</v>
      </c>
      <c r="B329" s="54">
        <v>45931</v>
      </c>
    </row>
    <row r="330" spans="1:2">
      <c r="A330" s="50">
        <v>11</v>
      </c>
      <c r="B330" s="54">
        <v>45962</v>
      </c>
    </row>
    <row r="331" spans="1:2">
      <c r="A331" s="50">
        <v>12</v>
      </c>
      <c r="B331" s="54">
        <v>45992</v>
      </c>
    </row>
    <row r="332" spans="1:2">
      <c r="A332" s="50">
        <v>1</v>
      </c>
      <c r="B332" s="54">
        <v>46023</v>
      </c>
    </row>
    <row r="333" spans="1:2">
      <c r="A333" s="50">
        <v>2</v>
      </c>
      <c r="B333" s="54">
        <v>46054</v>
      </c>
    </row>
    <row r="334" spans="1:2">
      <c r="A334" s="50">
        <v>3</v>
      </c>
      <c r="B334" s="54">
        <v>46082</v>
      </c>
    </row>
    <row r="335" spans="1:2">
      <c r="A335" s="50">
        <v>4</v>
      </c>
      <c r="B335" s="54">
        <v>46113</v>
      </c>
    </row>
    <row r="336" spans="1:2">
      <c r="A336" s="50">
        <v>5</v>
      </c>
      <c r="B336" s="54">
        <v>46143</v>
      </c>
    </row>
    <row r="337" spans="1:2">
      <c r="A337" s="50">
        <v>6</v>
      </c>
      <c r="B337" s="54">
        <v>46174</v>
      </c>
    </row>
    <row r="338" spans="1:2">
      <c r="A338" s="50">
        <v>7</v>
      </c>
      <c r="B338" s="54">
        <v>46204</v>
      </c>
    </row>
    <row r="339" spans="1:2">
      <c r="A339" s="50">
        <v>8</v>
      </c>
      <c r="B339" s="54">
        <v>46235</v>
      </c>
    </row>
    <row r="340" spans="1:2">
      <c r="A340" s="50">
        <v>9</v>
      </c>
      <c r="B340" s="54">
        <v>46266</v>
      </c>
    </row>
    <row r="341" spans="1:2">
      <c r="A341" s="50">
        <v>10</v>
      </c>
      <c r="B341" s="54">
        <v>46296</v>
      </c>
    </row>
    <row r="342" spans="1:2">
      <c r="A342" s="50">
        <v>11</v>
      </c>
      <c r="B342" s="54">
        <v>46327</v>
      </c>
    </row>
    <row r="343" spans="1:2">
      <c r="A343" s="50">
        <v>12</v>
      </c>
      <c r="B343" s="54">
        <v>46357</v>
      </c>
    </row>
    <row r="344" spans="1:2">
      <c r="A344" s="50">
        <v>1</v>
      </c>
      <c r="B344" s="54">
        <v>46388</v>
      </c>
    </row>
    <row r="345" spans="1:2">
      <c r="A345" s="50">
        <v>2</v>
      </c>
      <c r="B345" s="54">
        <v>46419</v>
      </c>
    </row>
    <row r="346" spans="1:2">
      <c r="A346" s="50">
        <v>3</v>
      </c>
      <c r="B346" s="54">
        <v>46447</v>
      </c>
    </row>
    <row r="347" spans="1:2">
      <c r="A347" s="50">
        <v>4</v>
      </c>
      <c r="B347" s="54">
        <v>46478</v>
      </c>
    </row>
    <row r="348" spans="1:2">
      <c r="A348" s="50">
        <v>5</v>
      </c>
      <c r="B348" s="54">
        <v>46508</v>
      </c>
    </row>
    <row r="349" spans="1:2">
      <c r="A349" s="50">
        <v>6</v>
      </c>
      <c r="B349" s="54">
        <v>46539</v>
      </c>
    </row>
    <row r="350" spans="1:2">
      <c r="A350" s="50">
        <v>7</v>
      </c>
      <c r="B350" s="54">
        <v>46569</v>
      </c>
    </row>
    <row r="351" spans="1:2">
      <c r="A351" s="50">
        <v>8</v>
      </c>
      <c r="B351" s="54">
        <v>46600</v>
      </c>
    </row>
    <row r="352" spans="1:2">
      <c r="A352" s="50">
        <v>9</v>
      </c>
      <c r="B352" s="54">
        <v>46631</v>
      </c>
    </row>
    <row r="353" spans="1:2">
      <c r="A353" s="50">
        <v>10</v>
      </c>
      <c r="B353" s="54">
        <v>46661</v>
      </c>
    </row>
    <row r="354" spans="1:2">
      <c r="A354" s="50">
        <v>11</v>
      </c>
      <c r="B354" s="54">
        <v>46692</v>
      </c>
    </row>
    <row r="355" spans="1:2">
      <c r="A355" s="50">
        <v>12</v>
      </c>
      <c r="B355" s="54">
        <v>46722</v>
      </c>
    </row>
    <row r="356" spans="1:2">
      <c r="A356" s="50">
        <v>1</v>
      </c>
      <c r="B356" s="54">
        <v>46753</v>
      </c>
    </row>
    <row r="357" spans="1:2">
      <c r="A357" s="50">
        <v>2</v>
      </c>
      <c r="B357" s="54">
        <v>46784</v>
      </c>
    </row>
    <row r="358" spans="1:2">
      <c r="A358" s="50">
        <v>3</v>
      </c>
      <c r="B358" s="54">
        <v>46813</v>
      </c>
    </row>
    <row r="359" spans="1:2">
      <c r="A359" s="50">
        <v>4</v>
      </c>
      <c r="B359" s="54">
        <v>46844</v>
      </c>
    </row>
    <row r="360" spans="1:2">
      <c r="A360" s="50">
        <v>5</v>
      </c>
      <c r="B360" s="54">
        <v>46874</v>
      </c>
    </row>
    <row r="361" spans="1:2">
      <c r="A361" s="50">
        <v>6</v>
      </c>
      <c r="B361" s="54">
        <v>46905</v>
      </c>
    </row>
    <row r="362" spans="1:2">
      <c r="A362" s="50">
        <v>7</v>
      </c>
      <c r="B362" s="54">
        <v>46935</v>
      </c>
    </row>
    <row r="363" spans="1:2">
      <c r="A363" s="50">
        <v>8</v>
      </c>
      <c r="B363" s="54">
        <v>46966</v>
      </c>
    </row>
    <row r="364" spans="1:2">
      <c r="A364" s="50">
        <v>9</v>
      </c>
      <c r="B364" s="54">
        <v>46997</v>
      </c>
    </row>
    <row r="365" spans="1:2">
      <c r="A365" s="50">
        <v>10</v>
      </c>
      <c r="B365" s="54">
        <v>47027</v>
      </c>
    </row>
    <row r="366" spans="1:2">
      <c r="A366" s="50">
        <v>11</v>
      </c>
      <c r="B366" s="54">
        <v>47058</v>
      </c>
    </row>
    <row r="367" spans="1:2">
      <c r="A367" s="50">
        <v>12</v>
      </c>
      <c r="B367" s="54">
        <v>47088</v>
      </c>
    </row>
    <row r="368" spans="1:2">
      <c r="A368" s="50">
        <v>1</v>
      </c>
      <c r="B368" s="54">
        <v>47119</v>
      </c>
    </row>
    <row r="369" spans="1:2">
      <c r="A369" s="50">
        <v>2</v>
      </c>
      <c r="B369" s="54">
        <v>47150</v>
      </c>
    </row>
    <row r="370" spans="1:2">
      <c r="A370" s="50">
        <v>3</v>
      </c>
      <c r="B370" s="54">
        <v>47178</v>
      </c>
    </row>
    <row r="371" spans="1:2">
      <c r="A371" s="50">
        <v>4</v>
      </c>
      <c r="B371" s="54">
        <v>47209</v>
      </c>
    </row>
    <row r="372" spans="1:2">
      <c r="A372" s="50">
        <v>5</v>
      </c>
      <c r="B372" s="54">
        <v>47239</v>
      </c>
    </row>
    <row r="373" spans="1:2">
      <c r="A373" s="50">
        <v>6</v>
      </c>
      <c r="B373" s="54">
        <v>47270</v>
      </c>
    </row>
    <row r="374" spans="1:2">
      <c r="A374" s="50">
        <v>7</v>
      </c>
      <c r="B374" s="54">
        <v>47300</v>
      </c>
    </row>
    <row r="375" spans="1:2">
      <c r="A375" s="50">
        <v>8</v>
      </c>
      <c r="B375" s="54">
        <v>47331</v>
      </c>
    </row>
    <row r="376" spans="1:2">
      <c r="A376" s="50">
        <v>9</v>
      </c>
      <c r="B376" s="54">
        <v>47362</v>
      </c>
    </row>
    <row r="377" spans="1:2">
      <c r="A377" s="50">
        <v>10</v>
      </c>
      <c r="B377" s="54">
        <v>47392</v>
      </c>
    </row>
    <row r="378" spans="1:2">
      <c r="A378" s="50">
        <v>11</v>
      </c>
      <c r="B378" s="54">
        <v>47423</v>
      </c>
    </row>
    <row r="379" spans="1:2">
      <c r="A379" s="50">
        <v>12</v>
      </c>
      <c r="B379" s="54">
        <v>47453</v>
      </c>
    </row>
    <row r="380" spans="1:2">
      <c r="A380" s="50">
        <v>1</v>
      </c>
      <c r="B380" s="54">
        <v>47484</v>
      </c>
    </row>
    <row r="381" spans="1:2">
      <c r="A381" s="50">
        <v>2</v>
      </c>
      <c r="B381" s="54">
        <v>47515</v>
      </c>
    </row>
    <row r="382" spans="1:2">
      <c r="A382" s="50">
        <v>3</v>
      </c>
      <c r="B382" s="54">
        <v>47543</v>
      </c>
    </row>
    <row r="383" spans="1:2">
      <c r="A383" s="50">
        <v>4</v>
      </c>
      <c r="B383" s="54">
        <v>47574</v>
      </c>
    </row>
    <row r="384" spans="1:2">
      <c r="A384" s="50">
        <v>5</v>
      </c>
      <c r="B384" s="54">
        <v>47604</v>
      </c>
    </row>
    <row r="385" spans="1:2">
      <c r="A385" s="50">
        <v>6</v>
      </c>
      <c r="B385" s="54">
        <v>47635</v>
      </c>
    </row>
    <row r="386" spans="1:2">
      <c r="A386" s="50">
        <v>7</v>
      </c>
      <c r="B386" s="54">
        <v>47665</v>
      </c>
    </row>
    <row r="387" spans="1:2">
      <c r="A387" s="50">
        <v>8</v>
      </c>
      <c r="B387" s="54">
        <v>47696</v>
      </c>
    </row>
    <row r="388" spans="1:2">
      <c r="A388" s="50">
        <v>9</v>
      </c>
      <c r="B388" s="54">
        <v>47727</v>
      </c>
    </row>
    <row r="389" spans="1:2">
      <c r="A389" s="50">
        <v>10</v>
      </c>
      <c r="B389" s="54">
        <v>47757</v>
      </c>
    </row>
    <row r="390" spans="1:2">
      <c r="A390" s="50">
        <v>11</v>
      </c>
      <c r="B390" s="54">
        <v>47788</v>
      </c>
    </row>
    <row r="391" spans="1:2">
      <c r="A391" s="50">
        <v>12</v>
      </c>
      <c r="B391" s="54">
        <v>47818</v>
      </c>
    </row>
    <row r="392" spans="1:2">
      <c r="A392" s="50">
        <v>1</v>
      </c>
      <c r="B392" s="54">
        <v>47849</v>
      </c>
    </row>
    <row r="393" spans="1:2">
      <c r="A393" s="50">
        <v>2</v>
      </c>
      <c r="B393" s="54">
        <v>47880</v>
      </c>
    </row>
    <row r="394" spans="1:2">
      <c r="A394" s="50">
        <v>3</v>
      </c>
      <c r="B394" s="54">
        <v>47908</v>
      </c>
    </row>
    <row r="395" spans="1:2">
      <c r="A395" s="50">
        <v>4</v>
      </c>
      <c r="B395" s="54">
        <v>47939</v>
      </c>
    </row>
    <row r="396" spans="1:2">
      <c r="A396" s="50">
        <v>5</v>
      </c>
      <c r="B396" s="54">
        <v>47969</v>
      </c>
    </row>
    <row r="397" spans="1:2">
      <c r="A397" s="50">
        <v>6</v>
      </c>
      <c r="B397" s="54">
        <v>48000</v>
      </c>
    </row>
    <row r="398" spans="1:2">
      <c r="A398" s="50">
        <v>7</v>
      </c>
      <c r="B398" s="54">
        <v>48030</v>
      </c>
    </row>
    <row r="399" spans="1:2">
      <c r="A399" s="50">
        <v>8</v>
      </c>
      <c r="B399" s="54">
        <v>48061</v>
      </c>
    </row>
    <row r="400" spans="1:2">
      <c r="A400" s="50">
        <v>9</v>
      </c>
      <c r="B400" s="54">
        <v>48092</v>
      </c>
    </row>
    <row r="401" spans="1:2">
      <c r="A401" s="50">
        <v>10</v>
      </c>
      <c r="B401" s="54">
        <v>48122</v>
      </c>
    </row>
    <row r="402" spans="1:2">
      <c r="A402" s="50">
        <v>11</v>
      </c>
      <c r="B402" s="54">
        <v>48153</v>
      </c>
    </row>
    <row r="403" spans="1:2">
      <c r="A403" s="50">
        <v>12</v>
      </c>
      <c r="B403" s="54">
        <v>48183</v>
      </c>
    </row>
    <row r="404" spans="1:2">
      <c r="A404" s="50">
        <v>1</v>
      </c>
      <c r="B404" s="54">
        <v>48214</v>
      </c>
    </row>
    <row r="405" spans="1:2">
      <c r="A405" s="50">
        <v>2</v>
      </c>
      <c r="B405" s="54">
        <v>48245</v>
      </c>
    </row>
    <row r="406" spans="1:2">
      <c r="A406" s="50">
        <v>3</v>
      </c>
      <c r="B406" s="54">
        <v>48274</v>
      </c>
    </row>
    <row r="407" spans="1:2">
      <c r="A407" s="50">
        <v>4</v>
      </c>
      <c r="B407" s="54">
        <v>48305</v>
      </c>
    </row>
    <row r="408" spans="1:2">
      <c r="A408" s="50">
        <v>5</v>
      </c>
      <c r="B408" s="54">
        <v>48335</v>
      </c>
    </row>
    <row r="409" spans="1:2">
      <c r="A409" s="50">
        <v>6</v>
      </c>
      <c r="B409" s="54">
        <v>48366</v>
      </c>
    </row>
    <row r="410" spans="1:2">
      <c r="A410" s="50">
        <v>7</v>
      </c>
      <c r="B410" s="54">
        <v>48396</v>
      </c>
    </row>
    <row r="411" spans="1:2">
      <c r="A411" s="50">
        <v>8</v>
      </c>
      <c r="B411" s="54">
        <v>48427</v>
      </c>
    </row>
    <row r="412" spans="1:2">
      <c r="A412" s="50">
        <v>9</v>
      </c>
      <c r="B412" s="54">
        <v>48458</v>
      </c>
    </row>
    <row r="413" spans="1:2">
      <c r="A413" s="50">
        <v>10</v>
      </c>
      <c r="B413" s="54">
        <v>48488</v>
      </c>
    </row>
    <row r="414" spans="1:2">
      <c r="A414" s="50">
        <v>11</v>
      </c>
      <c r="B414" s="54">
        <v>48519</v>
      </c>
    </row>
    <row r="415" spans="1:2">
      <c r="A415" s="50">
        <v>12</v>
      </c>
      <c r="B415" s="54">
        <v>48549</v>
      </c>
    </row>
    <row r="416" spans="1:2">
      <c r="A416" s="50">
        <v>1</v>
      </c>
      <c r="B416" s="54">
        <v>48580</v>
      </c>
    </row>
    <row r="417" spans="1:2">
      <c r="A417" s="50">
        <v>2</v>
      </c>
      <c r="B417" s="54">
        <v>48611</v>
      </c>
    </row>
    <row r="418" spans="1:2">
      <c r="A418" s="50">
        <v>3</v>
      </c>
      <c r="B418" s="54">
        <v>48639</v>
      </c>
    </row>
    <row r="419" spans="1:2">
      <c r="A419" s="50">
        <v>4</v>
      </c>
      <c r="B419" s="54">
        <v>48670</v>
      </c>
    </row>
    <row r="420" spans="1:2">
      <c r="A420" s="50">
        <v>5</v>
      </c>
      <c r="B420" s="54">
        <v>48700</v>
      </c>
    </row>
    <row r="421" spans="1:2">
      <c r="A421" s="50">
        <v>6</v>
      </c>
      <c r="B421" s="54">
        <v>48731</v>
      </c>
    </row>
    <row r="422" spans="1:2">
      <c r="A422" s="50">
        <v>7</v>
      </c>
      <c r="B422" s="54">
        <v>48761</v>
      </c>
    </row>
    <row r="423" spans="1:2">
      <c r="A423" s="50">
        <v>8</v>
      </c>
      <c r="B423" s="54">
        <v>48792</v>
      </c>
    </row>
    <row r="424" spans="1:2">
      <c r="A424" s="50">
        <v>9</v>
      </c>
      <c r="B424" s="54">
        <v>48823</v>
      </c>
    </row>
    <row r="425" spans="1:2">
      <c r="A425" s="50">
        <v>10</v>
      </c>
      <c r="B425" s="54">
        <v>48853</v>
      </c>
    </row>
    <row r="426" spans="1:2">
      <c r="A426" s="50">
        <v>11</v>
      </c>
      <c r="B426" s="54">
        <v>48884</v>
      </c>
    </row>
    <row r="427" spans="1:2">
      <c r="A427" s="50">
        <v>12</v>
      </c>
      <c r="B427" s="54">
        <v>48914</v>
      </c>
    </row>
    <row r="428" spans="1:2">
      <c r="A428" s="50">
        <v>1</v>
      </c>
      <c r="B428" s="54">
        <v>48945</v>
      </c>
    </row>
    <row r="429" spans="1:2">
      <c r="A429" s="50">
        <v>2</v>
      </c>
      <c r="B429" s="54">
        <v>48976</v>
      </c>
    </row>
    <row r="430" spans="1:2">
      <c r="A430" s="50">
        <v>3</v>
      </c>
      <c r="B430" s="54">
        <v>49004</v>
      </c>
    </row>
    <row r="431" spans="1:2">
      <c r="A431" s="50">
        <v>4</v>
      </c>
      <c r="B431" s="54">
        <v>49035</v>
      </c>
    </row>
    <row r="432" spans="1:2">
      <c r="A432" s="50">
        <v>5</v>
      </c>
      <c r="B432" s="54">
        <v>49065</v>
      </c>
    </row>
    <row r="433" spans="1:2">
      <c r="A433" s="50">
        <v>6</v>
      </c>
      <c r="B433" s="54">
        <v>49096</v>
      </c>
    </row>
    <row r="434" spans="1:2">
      <c r="A434" s="50">
        <v>7</v>
      </c>
      <c r="B434" s="54">
        <v>49126</v>
      </c>
    </row>
    <row r="435" spans="1:2">
      <c r="A435" s="50">
        <v>8</v>
      </c>
      <c r="B435" s="54">
        <v>49157</v>
      </c>
    </row>
    <row r="436" spans="1:2">
      <c r="A436" s="50">
        <v>9</v>
      </c>
      <c r="B436" s="54">
        <v>49188</v>
      </c>
    </row>
    <row r="437" spans="1:2">
      <c r="A437" s="50">
        <v>10</v>
      </c>
      <c r="B437" s="54">
        <v>49218</v>
      </c>
    </row>
    <row r="438" spans="1:2">
      <c r="A438" s="50">
        <v>11</v>
      </c>
      <c r="B438" s="54">
        <v>49249</v>
      </c>
    </row>
    <row r="439" spans="1:2">
      <c r="A439" s="50">
        <v>12</v>
      </c>
      <c r="B439" s="54">
        <v>49279</v>
      </c>
    </row>
    <row r="440" spans="1:2">
      <c r="A440" s="50">
        <v>1</v>
      </c>
      <c r="B440" s="54">
        <v>49310</v>
      </c>
    </row>
    <row r="441" spans="1:2">
      <c r="A441" s="50">
        <v>2</v>
      </c>
      <c r="B441" s="54">
        <v>49341</v>
      </c>
    </row>
    <row r="442" spans="1:2">
      <c r="A442" s="50">
        <v>3</v>
      </c>
      <c r="B442" s="54">
        <v>49369</v>
      </c>
    </row>
    <row r="443" spans="1:2">
      <c r="A443" s="50">
        <v>4</v>
      </c>
      <c r="B443" s="54">
        <v>49400</v>
      </c>
    </row>
    <row r="444" spans="1:2">
      <c r="A444" s="50">
        <v>5</v>
      </c>
      <c r="B444" s="54">
        <v>49430</v>
      </c>
    </row>
    <row r="445" spans="1:2">
      <c r="A445" s="50">
        <v>6</v>
      </c>
      <c r="B445" s="54">
        <v>49461</v>
      </c>
    </row>
    <row r="446" spans="1:2">
      <c r="A446" s="50">
        <v>7</v>
      </c>
      <c r="B446" s="54">
        <v>49491</v>
      </c>
    </row>
    <row r="447" spans="1:2">
      <c r="A447" s="50">
        <v>8</v>
      </c>
      <c r="B447" s="54">
        <v>49522</v>
      </c>
    </row>
    <row r="448" spans="1:2">
      <c r="A448" s="50">
        <v>9</v>
      </c>
      <c r="B448" s="54">
        <v>49553</v>
      </c>
    </row>
    <row r="449" spans="1:2">
      <c r="A449" s="50">
        <v>10</v>
      </c>
      <c r="B449" s="54">
        <v>49583</v>
      </c>
    </row>
    <row r="450" spans="1:2">
      <c r="A450" s="50">
        <v>11</v>
      </c>
      <c r="B450" s="54">
        <v>49614</v>
      </c>
    </row>
    <row r="451" spans="1:2">
      <c r="A451" s="50">
        <v>12</v>
      </c>
      <c r="B451" s="54">
        <v>49644</v>
      </c>
    </row>
    <row r="452" spans="1:2">
      <c r="A452" s="50">
        <v>1</v>
      </c>
      <c r="B452" s="54">
        <v>49675</v>
      </c>
    </row>
    <row r="453" spans="1:2">
      <c r="A453" s="50">
        <v>2</v>
      </c>
      <c r="B453" s="54">
        <v>49706</v>
      </c>
    </row>
    <row r="454" spans="1:2">
      <c r="A454" s="50">
        <v>3</v>
      </c>
      <c r="B454" s="54">
        <v>49735</v>
      </c>
    </row>
    <row r="455" spans="1:2">
      <c r="A455" s="50">
        <v>4</v>
      </c>
      <c r="B455" s="54">
        <v>49766</v>
      </c>
    </row>
    <row r="456" spans="1:2">
      <c r="A456" s="50">
        <v>5</v>
      </c>
      <c r="B456" s="54">
        <v>49796</v>
      </c>
    </row>
    <row r="457" spans="1:2">
      <c r="A457" s="50">
        <v>6</v>
      </c>
      <c r="B457" s="54">
        <v>49827</v>
      </c>
    </row>
    <row r="458" spans="1:2">
      <c r="A458" s="50">
        <v>7</v>
      </c>
      <c r="B458" s="54">
        <v>49857</v>
      </c>
    </row>
    <row r="459" spans="1:2">
      <c r="A459" s="50">
        <v>8</v>
      </c>
      <c r="B459" s="54">
        <v>49888</v>
      </c>
    </row>
    <row r="460" spans="1:2">
      <c r="A460" s="50">
        <v>9</v>
      </c>
      <c r="B460" s="54">
        <v>49919</v>
      </c>
    </row>
    <row r="461" spans="1:2">
      <c r="A461" s="50">
        <v>10</v>
      </c>
      <c r="B461" s="54">
        <v>49949</v>
      </c>
    </row>
    <row r="462" spans="1:2">
      <c r="A462" s="50">
        <v>11</v>
      </c>
      <c r="B462" s="54">
        <v>49980</v>
      </c>
    </row>
    <row r="463" spans="1:2">
      <c r="A463" s="50">
        <v>12</v>
      </c>
      <c r="B463" s="54">
        <v>50010</v>
      </c>
    </row>
    <row r="464" spans="1:2">
      <c r="A464" s="50">
        <v>1</v>
      </c>
      <c r="B464" s="54">
        <v>50041</v>
      </c>
    </row>
    <row r="465" spans="1:2">
      <c r="A465" s="50">
        <v>2</v>
      </c>
      <c r="B465" s="54">
        <v>50072</v>
      </c>
    </row>
    <row r="466" spans="1:2">
      <c r="A466" s="50">
        <v>3</v>
      </c>
      <c r="B466" s="54">
        <v>50100</v>
      </c>
    </row>
    <row r="467" spans="1:2">
      <c r="A467" s="50">
        <v>4</v>
      </c>
      <c r="B467" s="54">
        <v>50131</v>
      </c>
    </row>
    <row r="468" spans="1:2">
      <c r="A468" s="50">
        <v>5</v>
      </c>
      <c r="B468" s="54">
        <v>50161</v>
      </c>
    </row>
    <row r="469" spans="1:2">
      <c r="A469" s="50">
        <v>6</v>
      </c>
      <c r="B469" s="54">
        <v>50192</v>
      </c>
    </row>
    <row r="470" spans="1:2">
      <c r="A470" s="50">
        <v>7</v>
      </c>
      <c r="B470" s="54">
        <v>50222</v>
      </c>
    </row>
    <row r="471" spans="1:2">
      <c r="A471" s="50">
        <v>8</v>
      </c>
      <c r="B471" s="54">
        <v>50253</v>
      </c>
    </row>
    <row r="472" spans="1:2">
      <c r="A472" s="50">
        <v>9</v>
      </c>
      <c r="B472" s="54">
        <v>50284</v>
      </c>
    </row>
    <row r="473" spans="1:2">
      <c r="A473" s="50">
        <v>10</v>
      </c>
      <c r="B473" s="54">
        <v>50314</v>
      </c>
    </row>
    <row r="474" spans="1:2">
      <c r="A474" s="50">
        <v>11</v>
      </c>
      <c r="B474" s="54">
        <v>50345</v>
      </c>
    </row>
    <row r="475" spans="1:2">
      <c r="A475" s="50">
        <v>12</v>
      </c>
      <c r="B475" s="54">
        <v>50375</v>
      </c>
    </row>
    <row r="476" spans="1:2">
      <c r="A476" s="50">
        <v>1</v>
      </c>
      <c r="B476" s="54">
        <v>50406</v>
      </c>
    </row>
    <row r="477" spans="1:2">
      <c r="A477" s="50">
        <v>2</v>
      </c>
      <c r="B477" s="54">
        <v>50437</v>
      </c>
    </row>
    <row r="478" spans="1:2">
      <c r="A478" s="50">
        <v>3</v>
      </c>
      <c r="B478" s="54">
        <v>50465</v>
      </c>
    </row>
    <row r="479" spans="1:2">
      <c r="A479" s="50">
        <v>4</v>
      </c>
      <c r="B479" s="54">
        <v>50496</v>
      </c>
    </row>
    <row r="480" spans="1:2">
      <c r="A480" s="50">
        <v>5</v>
      </c>
      <c r="B480" s="54">
        <v>50526</v>
      </c>
    </row>
    <row r="481" spans="1:2">
      <c r="A481" s="50">
        <v>6</v>
      </c>
      <c r="B481" s="54">
        <v>50557</v>
      </c>
    </row>
    <row r="482" spans="1:2">
      <c r="A482" s="50">
        <v>7</v>
      </c>
      <c r="B482" s="54">
        <v>50587</v>
      </c>
    </row>
    <row r="483" spans="1:2">
      <c r="A483" s="50">
        <v>8</v>
      </c>
      <c r="B483" s="54">
        <v>50618</v>
      </c>
    </row>
    <row r="484" spans="1:2">
      <c r="A484" s="50">
        <v>9</v>
      </c>
      <c r="B484" s="54">
        <v>50649</v>
      </c>
    </row>
    <row r="485" spans="1:2">
      <c r="A485" s="50">
        <v>10</v>
      </c>
      <c r="B485" s="54">
        <v>50679</v>
      </c>
    </row>
    <row r="486" spans="1:2">
      <c r="A486" s="50">
        <v>11</v>
      </c>
      <c r="B486" s="54">
        <v>50710</v>
      </c>
    </row>
    <row r="487" spans="1:2">
      <c r="A487" s="50">
        <v>12</v>
      </c>
      <c r="B487" s="54">
        <v>50740</v>
      </c>
    </row>
    <row r="488" spans="1:2">
      <c r="A488" s="50">
        <v>1</v>
      </c>
      <c r="B488" s="54">
        <v>50771</v>
      </c>
    </row>
    <row r="489" spans="1:2">
      <c r="A489" s="50">
        <v>2</v>
      </c>
      <c r="B489" s="54">
        <v>50802</v>
      </c>
    </row>
    <row r="490" spans="1:2">
      <c r="A490" s="50">
        <v>3</v>
      </c>
      <c r="B490" s="54">
        <v>50830</v>
      </c>
    </row>
    <row r="491" spans="1:2">
      <c r="A491" s="50">
        <v>4</v>
      </c>
      <c r="B491" s="54">
        <v>50861</v>
      </c>
    </row>
    <row r="492" spans="1:2">
      <c r="A492" s="50">
        <v>5</v>
      </c>
      <c r="B492" s="54">
        <v>50891</v>
      </c>
    </row>
    <row r="493" spans="1:2">
      <c r="A493" s="50">
        <v>6</v>
      </c>
      <c r="B493" s="54">
        <v>50922</v>
      </c>
    </row>
    <row r="494" spans="1:2">
      <c r="A494" s="50">
        <v>7</v>
      </c>
      <c r="B494" s="54">
        <v>50952</v>
      </c>
    </row>
    <row r="495" spans="1:2">
      <c r="A495" s="50">
        <v>8</v>
      </c>
      <c r="B495" s="54">
        <v>50983</v>
      </c>
    </row>
    <row r="496" spans="1:2">
      <c r="A496" s="50">
        <v>9</v>
      </c>
      <c r="B496" s="54">
        <v>51014</v>
      </c>
    </row>
    <row r="497" spans="1:2">
      <c r="A497" s="50">
        <v>10</v>
      </c>
      <c r="B497" s="54">
        <v>51044</v>
      </c>
    </row>
    <row r="498" spans="1:2">
      <c r="A498" s="50">
        <v>11</v>
      </c>
      <c r="B498" s="54">
        <v>51075</v>
      </c>
    </row>
    <row r="499" spans="1:2">
      <c r="A499" s="50">
        <v>12</v>
      </c>
      <c r="B499" s="54">
        <v>51105</v>
      </c>
    </row>
    <row r="500" spans="1:2">
      <c r="A500" s="50">
        <v>1</v>
      </c>
      <c r="B500" s="54">
        <v>51136</v>
      </c>
    </row>
    <row r="501" spans="1:2">
      <c r="A501" s="50">
        <v>2</v>
      </c>
      <c r="B501" s="54">
        <v>51167</v>
      </c>
    </row>
    <row r="502" spans="1:2">
      <c r="A502" s="50">
        <v>3</v>
      </c>
      <c r="B502" s="54">
        <v>51196</v>
      </c>
    </row>
    <row r="503" spans="1:2">
      <c r="A503" s="50">
        <v>4</v>
      </c>
      <c r="B503" s="54">
        <v>51227</v>
      </c>
    </row>
    <row r="504" spans="1:2">
      <c r="A504" s="50">
        <v>5</v>
      </c>
      <c r="B504" s="54">
        <v>51257</v>
      </c>
    </row>
    <row r="505" spans="1:2">
      <c r="A505" s="50">
        <v>6</v>
      </c>
      <c r="B505" s="54">
        <v>51288</v>
      </c>
    </row>
    <row r="506" spans="1:2">
      <c r="A506" s="50">
        <v>7</v>
      </c>
      <c r="B506" s="54">
        <v>51318</v>
      </c>
    </row>
    <row r="507" spans="1:2">
      <c r="A507" s="50">
        <v>8</v>
      </c>
      <c r="B507" s="54">
        <v>51349</v>
      </c>
    </row>
    <row r="508" spans="1:2">
      <c r="A508" s="50">
        <v>9</v>
      </c>
      <c r="B508" s="54">
        <v>51380</v>
      </c>
    </row>
    <row r="509" spans="1:2">
      <c r="A509" s="50">
        <v>10</v>
      </c>
      <c r="B509" s="54">
        <v>51410</v>
      </c>
    </row>
    <row r="510" spans="1:2">
      <c r="A510" s="50">
        <v>11</v>
      </c>
      <c r="B510" s="54">
        <v>51441</v>
      </c>
    </row>
    <row r="511" spans="1:2">
      <c r="A511" s="50">
        <v>12</v>
      </c>
      <c r="B511" s="54">
        <v>51471</v>
      </c>
    </row>
    <row r="512" spans="1:2">
      <c r="A512" s="50">
        <v>1</v>
      </c>
      <c r="B512" s="54">
        <v>51502</v>
      </c>
    </row>
    <row r="513" spans="1:2">
      <c r="A513" s="50">
        <v>2</v>
      </c>
      <c r="B513" s="54">
        <v>51533</v>
      </c>
    </row>
    <row r="514" spans="1:2">
      <c r="A514" s="50">
        <v>3</v>
      </c>
      <c r="B514" s="54">
        <v>51561</v>
      </c>
    </row>
    <row r="515" spans="1:2">
      <c r="A515" s="50">
        <v>4</v>
      </c>
      <c r="B515" s="54">
        <v>51592</v>
      </c>
    </row>
    <row r="516" spans="1:2">
      <c r="A516" s="50">
        <v>5</v>
      </c>
      <c r="B516" s="54">
        <v>51622</v>
      </c>
    </row>
    <row r="517" spans="1:2">
      <c r="A517" s="50">
        <v>6</v>
      </c>
      <c r="B517" s="54">
        <v>51653</v>
      </c>
    </row>
    <row r="518" spans="1:2">
      <c r="A518" s="50">
        <v>7</v>
      </c>
      <c r="B518" s="54">
        <v>51683</v>
      </c>
    </row>
    <row r="519" spans="1:2">
      <c r="A519" s="50">
        <v>8</v>
      </c>
      <c r="B519" s="54">
        <v>51714</v>
      </c>
    </row>
    <row r="520" spans="1:2">
      <c r="A520" s="50">
        <v>9</v>
      </c>
      <c r="B520" s="54">
        <v>51745</v>
      </c>
    </row>
    <row r="521" spans="1:2">
      <c r="A521" s="50">
        <v>10</v>
      </c>
      <c r="B521" s="54">
        <v>51775</v>
      </c>
    </row>
    <row r="522" spans="1:2">
      <c r="A522" s="50">
        <v>11</v>
      </c>
      <c r="B522" s="54">
        <v>51806</v>
      </c>
    </row>
    <row r="523" spans="1:2">
      <c r="A523" s="50">
        <v>12</v>
      </c>
      <c r="B523" s="54">
        <v>51836</v>
      </c>
    </row>
    <row r="524" spans="1:2">
      <c r="A524" s="50">
        <v>1</v>
      </c>
      <c r="B524" s="54">
        <v>51867</v>
      </c>
    </row>
    <row r="525" spans="1:2">
      <c r="A525" s="50">
        <v>2</v>
      </c>
      <c r="B525" s="54">
        <v>51898</v>
      </c>
    </row>
    <row r="526" spans="1:2">
      <c r="A526" s="50">
        <v>3</v>
      </c>
      <c r="B526" s="54">
        <v>51926</v>
      </c>
    </row>
    <row r="527" spans="1:2">
      <c r="A527" s="50">
        <v>4</v>
      </c>
      <c r="B527" s="54">
        <v>51957</v>
      </c>
    </row>
    <row r="528" spans="1:2">
      <c r="A528" s="50">
        <v>5</v>
      </c>
      <c r="B528" s="54">
        <v>51987</v>
      </c>
    </row>
    <row r="529" spans="1:2">
      <c r="A529" s="50">
        <v>6</v>
      </c>
      <c r="B529" s="54">
        <v>52018</v>
      </c>
    </row>
    <row r="530" spans="1:2">
      <c r="A530" s="50">
        <v>7</v>
      </c>
      <c r="B530" s="54">
        <v>52048</v>
      </c>
    </row>
    <row r="531" spans="1:2">
      <c r="A531" s="50">
        <v>8</v>
      </c>
      <c r="B531" s="54">
        <v>52079</v>
      </c>
    </row>
    <row r="532" spans="1:2">
      <c r="A532" s="50">
        <v>9</v>
      </c>
      <c r="B532" s="54">
        <v>52110</v>
      </c>
    </row>
    <row r="533" spans="1:2">
      <c r="A533" s="50">
        <v>10</v>
      </c>
      <c r="B533" s="54">
        <v>52140</v>
      </c>
    </row>
    <row r="534" spans="1:2">
      <c r="A534" s="50">
        <v>11</v>
      </c>
      <c r="B534" s="54">
        <v>52171</v>
      </c>
    </row>
    <row r="535" spans="1:2">
      <c r="A535" s="50">
        <v>12</v>
      </c>
      <c r="B535" s="54">
        <v>52201</v>
      </c>
    </row>
    <row r="536" spans="1:2">
      <c r="A536" s="50">
        <v>1</v>
      </c>
      <c r="B536" s="54">
        <v>52232</v>
      </c>
    </row>
    <row r="537" spans="1:2">
      <c r="A537" s="50">
        <v>2</v>
      </c>
      <c r="B537" s="54">
        <v>52263</v>
      </c>
    </row>
    <row r="538" spans="1:2">
      <c r="A538" s="50">
        <v>3</v>
      </c>
      <c r="B538" s="54">
        <v>52291</v>
      </c>
    </row>
    <row r="539" spans="1:2">
      <c r="A539" s="50">
        <v>4</v>
      </c>
      <c r="B539" s="54">
        <v>52322</v>
      </c>
    </row>
    <row r="540" spans="1:2">
      <c r="A540" s="50">
        <v>5</v>
      </c>
      <c r="B540" s="54">
        <v>52352</v>
      </c>
    </row>
    <row r="541" spans="1:2">
      <c r="A541" s="50">
        <v>6</v>
      </c>
      <c r="B541" s="54">
        <v>52383</v>
      </c>
    </row>
    <row r="542" spans="1:2">
      <c r="A542" s="50">
        <v>7</v>
      </c>
      <c r="B542" s="54">
        <v>52413</v>
      </c>
    </row>
    <row r="543" spans="1:2">
      <c r="A543" s="50">
        <v>8</v>
      </c>
      <c r="B543" s="54">
        <v>52444</v>
      </c>
    </row>
    <row r="544" spans="1:2">
      <c r="A544" s="50">
        <v>9</v>
      </c>
      <c r="B544" s="54">
        <v>52475</v>
      </c>
    </row>
    <row r="545" spans="1:2">
      <c r="A545" s="50">
        <v>10</v>
      </c>
      <c r="B545" s="54">
        <v>52505</v>
      </c>
    </row>
    <row r="546" spans="1:2">
      <c r="A546" s="50">
        <v>11</v>
      </c>
      <c r="B546" s="54">
        <v>52536</v>
      </c>
    </row>
    <row r="547" spans="1:2">
      <c r="A547" s="50">
        <v>12</v>
      </c>
      <c r="B547" s="54">
        <v>52566</v>
      </c>
    </row>
    <row r="548" spans="1:2">
      <c r="A548" s="50">
        <v>1</v>
      </c>
      <c r="B548" s="54">
        <v>52597</v>
      </c>
    </row>
    <row r="549" spans="1:2">
      <c r="A549" s="50">
        <v>2</v>
      </c>
      <c r="B549" s="54">
        <v>52628</v>
      </c>
    </row>
    <row r="550" spans="1:2">
      <c r="A550" s="50">
        <v>3</v>
      </c>
      <c r="B550" s="54">
        <v>52657</v>
      </c>
    </row>
    <row r="551" spans="1:2">
      <c r="A551" s="50">
        <v>4</v>
      </c>
      <c r="B551" s="54">
        <v>52688</v>
      </c>
    </row>
    <row r="552" spans="1:2">
      <c r="A552" s="50">
        <v>5</v>
      </c>
      <c r="B552" s="54">
        <v>52718</v>
      </c>
    </row>
    <row r="553" spans="1:2">
      <c r="A553" s="50">
        <v>6</v>
      </c>
      <c r="B553" s="54">
        <v>52749</v>
      </c>
    </row>
    <row r="554" spans="1:2">
      <c r="A554" s="50">
        <v>7</v>
      </c>
      <c r="B554" s="54">
        <v>52779</v>
      </c>
    </row>
    <row r="555" spans="1:2">
      <c r="A555" s="50">
        <v>8</v>
      </c>
      <c r="B555" s="54">
        <v>52810</v>
      </c>
    </row>
    <row r="556" spans="1:2">
      <c r="A556" s="50">
        <v>9</v>
      </c>
      <c r="B556" s="54">
        <v>52841</v>
      </c>
    </row>
    <row r="557" spans="1:2">
      <c r="A557" s="50">
        <v>10</v>
      </c>
      <c r="B557" s="54">
        <v>52871</v>
      </c>
    </row>
    <row r="558" spans="1:2">
      <c r="A558" s="50">
        <v>11</v>
      </c>
      <c r="B558" s="54">
        <v>52902</v>
      </c>
    </row>
    <row r="559" spans="1:2">
      <c r="A559" s="50">
        <v>12</v>
      </c>
      <c r="B559" s="54">
        <v>52932</v>
      </c>
    </row>
    <row r="560" spans="1:2">
      <c r="A560" s="50">
        <v>1</v>
      </c>
      <c r="B560" s="54">
        <v>52963</v>
      </c>
    </row>
    <row r="561" spans="1:2">
      <c r="A561" s="50">
        <v>2</v>
      </c>
      <c r="B561" s="54">
        <v>52994</v>
      </c>
    </row>
    <row r="562" spans="1:2">
      <c r="A562" s="50">
        <v>3</v>
      </c>
      <c r="B562" s="54">
        <v>53022</v>
      </c>
    </row>
    <row r="563" spans="1:2">
      <c r="A563" s="50">
        <v>4</v>
      </c>
      <c r="B563" s="54">
        <v>53053</v>
      </c>
    </row>
    <row r="564" spans="1:2">
      <c r="A564" s="50">
        <v>5</v>
      </c>
      <c r="B564" s="54">
        <v>53083</v>
      </c>
    </row>
    <row r="565" spans="1:2">
      <c r="A565" s="50">
        <v>6</v>
      </c>
      <c r="B565" s="54">
        <v>53114</v>
      </c>
    </row>
    <row r="566" spans="1:2">
      <c r="A566" s="50">
        <v>7</v>
      </c>
      <c r="B566" s="54">
        <v>53144</v>
      </c>
    </row>
    <row r="567" spans="1:2">
      <c r="A567" s="50">
        <v>8</v>
      </c>
      <c r="B567" s="54">
        <v>53175</v>
      </c>
    </row>
    <row r="568" spans="1:2">
      <c r="A568" s="50">
        <v>9</v>
      </c>
      <c r="B568" s="54">
        <v>53206</v>
      </c>
    </row>
    <row r="569" spans="1:2">
      <c r="A569" s="50">
        <v>10</v>
      </c>
      <c r="B569" s="54">
        <v>53236</v>
      </c>
    </row>
    <row r="570" spans="1:2">
      <c r="A570" s="50">
        <v>11</v>
      </c>
      <c r="B570" s="54">
        <v>53267</v>
      </c>
    </row>
    <row r="571" spans="1:2">
      <c r="A571" s="50">
        <v>12</v>
      </c>
      <c r="B571" s="54">
        <v>53297</v>
      </c>
    </row>
    <row r="572" spans="1:2">
      <c r="A572" s="50">
        <v>1</v>
      </c>
      <c r="B572" s="54">
        <v>53328</v>
      </c>
    </row>
    <row r="573" spans="1:2">
      <c r="A573" s="50">
        <v>2</v>
      </c>
      <c r="B573" s="54">
        <v>53359</v>
      </c>
    </row>
    <row r="574" spans="1:2">
      <c r="A574" s="50">
        <v>3</v>
      </c>
      <c r="B574" s="54">
        <v>53387</v>
      </c>
    </row>
    <row r="575" spans="1:2">
      <c r="A575" s="50">
        <v>4</v>
      </c>
      <c r="B575" s="54">
        <v>53418</v>
      </c>
    </row>
    <row r="576" spans="1:2">
      <c r="A576" s="50">
        <v>5</v>
      </c>
      <c r="B576" s="54">
        <v>53448</v>
      </c>
    </row>
    <row r="577" spans="1:2">
      <c r="A577" s="50">
        <v>6</v>
      </c>
      <c r="B577" s="54">
        <v>53479</v>
      </c>
    </row>
    <row r="578" spans="1:2">
      <c r="A578" s="50">
        <v>7</v>
      </c>
      <c r="B578" s="54">
        <v>53509</v>
      </c>
    </row>
    <row r="579" spans="1:2">
      <c r="A579" s="50">
        <v>8</v>
      </c>
      <c r="B579" s="54">
        <v>53540</v>
      </c>
    </row>
    <row r="580" spans="1:2">
      <c r="A580" s="50">
        <v>9</v>
      </c>
      <c r="B580" s="54">
        <v>53571</v>
      </c>
    </row>
    <row r="581" spans="1:2">
      <c r="A581" s="50">
        <v>10</v>
      </c>
      <c r="B581" s="54">
        <v>53601</v>
      </c>
    </row>
    <row r="582" spans="1:2">
      <c r="A582" s="50">
        <v>11</v>
      </c>
      <c r="B582" s="54">
        <v>53632</v>
      </c>
    </row>
    <row r="583" spans="1:2">
      <c r="A583" s="50">
        <v>12</v>
      </c>
      <c r="B583" s="54">
        <v>53662</v>
      </c>
    </row>
    <row r="584" spans="1:2">
      <c r="A584" s="50">
        <v>1</v>
      </c>
      <c r="B584" s="54">
        <v>53693</v>
      </c>
    </row>
    <row r="585" spans="1:2">
      <c r="A585" s="50">
        <v>2</v>
      </c>
      <c r="B585" s="54">
        <v>53724</v>
      </c>
    </row>
    <row r="586" spans="1:2">
      <c r="A586" s="50">
        <v>3</v>
      </c>
      <c r="B586" s="54">
        <v>53752</v>
      </c>
    </row>
    <row r="587" spans="1:2">
      <c r="A587" s="50">
        <v>4</v>
      </c>
      <c r="B587" s="54">
        <v>53783</v>
      </c>
    </row>
    <row r="588" spans="1:2">
      <c r="A588" s="50">
        <v>5</v>
      </c>
      <c r="B588" s="54">
        <v>53813</v>
      </c>
    </row>
    <row r="589" spans="1:2">
      <c r="A589" s="50">
        <v>6</v>
      </c>
      <c r="B589" s="54">
        <v>53844</v>
      </c>
    </row>
    <row r="590" spans="1:2">
      <c r="A590" s="50">
        <v>7</v>
      </c>
      <c r="B590" s="54">
        <v>53874</v>
      </c>
    </row>
    <row r="591" spans="1:2">
      <c r="A591" s="50">
        <v>8</v>
      </c>
      <c r="B591" s="54">
        <v>53905</v>
      </c>
    </row>
    <row r="592" spans="1:2">
      <c r="A592" s="50">
        <v>9</v>
      </c>
      <c r="B592" s="54">
        <v>53936</v>
      </c>
    </row>
    <row r="593" spans="1:2">
      <c r="A593" s="50">
        <v>10</v>
      </c>
      <c r="B593" s="54">
        <v>53966</v>
      </c>
    </row>
    <row r="594" spans="1:2">
      <c r="A594" s="50">
        <v>11</v>
      </c>
      <c r="B594" s="54">
        <v>53997</v>
      </c>
    </row>
    <row r="595" spans="1:2">
      <c r="A595" s="50">
        <v>12</v>
      </c>
      <c r="B595" s="54">
        <v>54027</v>
      </c>
    </row>
    <row r="596" spans="1:2">
      <c r="A596" s="50">
        <v>1</v>
      </c>
      <c r="B596" s="54">
        <v>54058</v>
      </c>
    </row>
    <row r="597" spans="1:2">
      <c r="A597" s="50">
        <v>2</v>
      </c>
      <c r="B597" s="54">
        <v>54089</v>
      </c>
    </row>
    <row r="598" spans="1:2">
      <c r="A598" s="50">
        <v>3</v>
      </c>
      <c r="B598" s="54">
        <v>54118</v>
      </c>
    </row>
    <row r="599" spans="1:2">
      <c r="A599" s="50">
        <v>4</v>
      </c>
      <c r="B599" s="54">
        <v>54149</v>
      </c>
    </row>
    <row r="600" spans="1:2">
      <c r="A600" s="50">
        <v>5</v>
      </c>
      <c r="B600" s="54">
        <v>54179</v>
      </c>
    </row>
    <row r="601" spans="1:2">
      <c r="A601" s="50">
        <v>6</v>
      </c>
      <c r="B601" s="54">
        <v>54210</v>
      </c>
    </row>
    <row r="602" spans="1:2">
      <c r="A602" s="50">
        <v>7</v>
      </c>
      <c r="B602" s="54">
        <v>54240</v>
      </c>
    </row>
    <row r="603" spans="1:2">
      <c r="A603" s="50">
        <v>8</v>
      </c>
      <c r="B603" s="54">
        <v>54271</v>
      </c>
    </row>
    <row r="604" spans="1:2">
      <c r="A604" s="50">
        <v>9</v>
      </c>
      <c r="B604" s="54">
        <v>54302</v>
      </c>
    </row>
    <row r="605" spans="1:2">
      <c r="A605" s="50">
        <v>10</v>
      </c>
      <c r="B605" s="54">
        <v>54332</v>
      </c>
    </row>
    <row r="606" spans="1:2">
      <c r="A606" s="50">
        <v>11</v>
      </c>
      <c r="B606" s="54">
        <v>54363</v>
      </c>
    </row>
    <row r="607" spans="1:2">
      <c r="A607" s="50">
        <v>12</v>
      </c>
      <c r="B607" s="54">
        <v>54393</v>
      </c>
    </row>
    <row r="608" spans="1:2">
      <c r="A608" s="50">
        <v>1</v>
      </c>
      <c r="B608" s="54">
        <v>54424</v>
      </c>
    </row>
    <row r="609" spans="1:2">
      <c r="A609" s="50">
        <v>2</v>
      </c>
      <c r="B609" s="54">
        <v>54455</v>
      </c>
    </row>
    <row r="610" spans="1:2">
      <c r="A610" s="50">
        <v>3</v>
      </c>
      <c r="B610" s="54">
        <v>54483</v>
      </c>
    </row>
    <row r="611" spans="1:2">
      <c r="A611" s="50">
        <v>4</v>
      </c>
      <c r="B611" s="54">
        <v>54514</v>
      </c>
    </row>
    <row r="612" spans="1:2">
      <c r="A612" s="50">
        <v>5</v>
      </c>
      <c r="B612" s="54">
        <v>54544</v>
      </c>
    </row>
    <row r="613" spans="1:2">
      <c r="A613" s="50">
        <v>6</v>
      </c>
      <c r="B613" s="54">
        <v>54575</v>
      </c>
    </row>
    <row r="614" spans="1:2">
      <c r="A614" s="50">
        <v>7</v>
      </c>
      <c r="B614" s="54">
        <v>54605</v>
      </c>
    </row>
    <row r="615" spans="1:2">
      <c r="A615" s="50">
        <v>8</v>
      </c>
      <c r="B615" s="54">
        <v>54636</v>
      </c>
    </row>
    <row r="616" spans="1:2">
      <c r="A616" s="50">
        <v>9</v>
      </c>
      <c r="B616" s="54">
        <v>54667</v>
      </c>
    </row>
    <row r="617" spans="1:2">
      <c r="A617" s="50">
        <v>10</v>
      </c>
      <c r="B617" s="54">
        <v>54697</v>
      </c>
    </row>
    <row r="618" spans="1:2">
      <c r="A618" s="50">
        <v>11</v>
      </c>
      <c r="B618" s="54">
        <v>54728</v>
      </c>
    </row>
    <row r="619" spans="1:2">
      <c r="A619" s="50">
        <v>12</v>
      </c>
      <c r="B619" s="54">
        <v>54758</v>
      </c>
    </row>
    <row r="620" spans="1:2">
      <c r="A620" s="50">
        <v>1</v>
      </c>
      <c r="B620" s="54">
        <v>54789</v>
      </c>
    </row>
    <row r="621" spans="1:2">
      <c r="A621" s="50">
        <v>2</v>
      </c>
      <c r="B621" s="54">
        <v>54820</v>
      </c>
    </row>
    <row r="622" spans="1:2">
      <c r="A622" s="50">
        <v>3</v>
      </c>
      <c r="B622" s="54">
        <v>54848</v>
      </c>
    </row>
    <row r="623" spans="1:2">
      <c r="A623" s="50">
        <v>4</v>
      </c>
      <c r="B623" s="54">
        <v>54879</v>
      </c>
    </row>
    <row r="624" spans="1:2">
      <c r="A624" s="50">
        <v>5</v>
      </c>
      <c r="B624" s="54">
        <v>54909</v>
      </c>
    </row>
    <row r="625" spans="1:2">
      <c r="A625" s="50">
        <v>6</v>
      </c>
      <c r="B625" s="54">
        <v>54940</v>
      </c>
    </row>
    <row r="626" spans="1:2">
      <c r="A626" s="50">
        <v>7</v>
      </c>
      <c r="B626" s="54">
        <v>54970</v>
      </c>
    </row>
    <row r="627" spans="1:2">
      <c r="A627" s="50">
        <v>8</v>
      </c>
      <c r="B627" s="54">
        <v>55001</v>
      </c>
    </row>
    <row r="628" spans="1:2">
      <c r="A628" s="50">
        <v>9</v>
      </c>
      <c r="B628" s="54">
        <v>55032</v>
      </c>
    </row>
    <row r="629" spans="1:2">
      <c r="A629" s="50">
        <v>10</v>
      </c>
      <c r="B629" s="54">
        <v>55062</v>
      </c>
    </row>
    <row r="630" spans="1:2">
      <c r="A630" s="50">
        <v>11</v>
      </c>
      <c r="B630" s="54">
        <v>55093</v>
      </c>
    </row>
    <row r="631" spans="1:2">
      <c r="A631" s="50">
        <v>12</v>
      </c>
      <c r="B631" s="54">
        <v>55123</v>
      </c>
    </row>
    <row r="632" spans="1:2">
      <c r="A632" s="50">
        <v>1</v>
      </c>
      <c r="B632" s="54">
        <v>55154</v>
      </c>
    </row>
    <row r="633" spans="1:2">
      <c r="A633" s="50">
        <v>2</v>
      </c>
      <c r="B633" s="54">
        <v>55185</v>
      </c>
    </row>
    <row r="634" spans="1:2">
      <c r="A634" s="50">
        <v>3</v>
      </c>
      <c r="B634" s="54">
        <v>55213</v>
      </c>
    </row>
    <row r="635" spans="1:2">
      <c r="A635" s="50">
        <v>4</v>
      </c>
      <c r="B635" s="54">
        <v>55244</v>
      </c>
    </row>
    <row r="636" spans="1:2">
      <c r="A636" s="50">
        <v>5</v>
      </c>
      <c r="B636" s="54">
        <v>55274</v>
      </c>
    </row>
    <row r="637" spans="1:2">
      <c r="A637" s="50">
        <v>6</v>
      </c>
      <c r="B637" s="54">
        <v>55305</v>
      </c>
    </row>
    <row r="638" spans="1:2">
      <c r="A638" s="50">
        <v>7</v>
      </c>
      <c r="B638" s="54">
        <v>55335</v>
      </c>
    </row>
    <row r="639" spans="1:2">
      <c r="A639" s="50">
        <v>8</v>
      </c>
      <c r="B639" s="54">
        <v>55366</v>
      </c>
    </row>
    <row r="640" spans="1:2">
      <c r="A640" s="50">
        <v>9</v>
      </c>
      <c r="B640" s="54">
        <v>55397</v>
      </c>
    </row>
    <row r="641" spans="1:2">
      <c r="A641" s="50">
        <v>10</v>
      </c>
      <c r="B641" s="54">
        <v>55427</v>
      </c>
    </row>
    <row r="642" spans="1:2">
      <c r="A642" s="50">
        <v>11</v>
      </c>
      <c r="B642" s="54">
        <v>55458</v>
      </c>
    </row>
    <row r="643" spans="1:2">
      <c r="A643" s="50">
        <v>12</v>
      </c>
      <c r="B643" s="54">
        <v>55488</v>
      </c>
    </row>
    <row r="644" spans="1:2">
      <c r="A644" s="50">
        <v>1</v>
      </c>
      <c r="B644" s="54">
        <v>55519</v>
      </c>
    </row>
    <row r="645" spans="1:2">
      <c r="A645" s="50">
        <v>2</v>
      </c>
      <c r="B645" s="54">
        <v>55550</v>
      </c>
    </row>
    <row r="646" spans="1:2">
      <c r="A646" s="50">
        <v>3</v>
      </c>
      <c r="B646" s="54">
        <v>55579</v>
      </c>
    </row>
    <row r="647" spans="1:2">
      <c r="A647" s="50">
        <v>4</v>
      </c>
      <c r="B647" s="54">
        <v>55610</v>
      </c>
    </row>
    <row r="648" spans="1:2">
      <c r="A648" s="50">
        <v>5</v>
      </c>
      <c r="B648" s="54">
        <v>55640</v>
      </c>
    </row>
    <row r="649" spans="1:2">
      <c r="A649" s="50">
        <v>6</v>
      </c>
      <c r="B649" s="54">
        <v>55671</v>
      </c>
    </row>
    <row r="650" spans="1:2">
      <c r="A650" s="50">
        <v>7</v>
      </c>
      <c r="B650" s="54">
        <v>55701</v>
      </c>
    </row>
    <row r="651" spans="1:2">
      <c r="A651" s="50">
        <v>8</v>
      </c>
      <c r="B651" s="54">
        <v>55732</v>
      </c>
    </row>
    <row r="652" spans="1:2">
      <c r="A652" s="50">
        <v>9</v>
      </c>
      <c r="B652" s="54">
        <v>55763</v>
      </c>
    </row>
    <row r="653" spans="1:2">
      <c r="A653" s="50">
        <v>10</v>
      </c>
      <c r="B653" s="54">
        <v>55793</v>
      </c>
    </row>
    <row r="654" spans="1:2">
      <c r="A654" s="50">
        <v>11</v>
      </c>
      <c r="B654" s="54">
        <v>55824</v>
      </c>
    </row>
    <row r="655" spans="1:2">
      <c r="A655" s="50">
        <v>12</v>
      </c>
      <c r="B655" s="54">
        <v>55854</v>
      </c>
    </row>
    <row r="656" spans="1:2">
      <c r="A656" s="50">
        <v>1</v>
      </c>
      <c r="B656" s="54">
        <v>55885</v>
      </c>
    </row>
    <row r="657" spans="1:2">
      <c r="A657" s="50">
        <v>2</v>
      </c>
      <c r="B657" s="54">
        <v>55916</v>
      </c>
    </row>
    <row r="658" spans="1:2">
      <c r="A658" s="50">
        <v>3</v>
      </c>
      <c r="B658" s="54">
        <v>55944</v>
      </c>
    </row>
    <row r="659" spans="1:2">
      <c r="A659" s="50">
        <v>4</v>
      </c>
      <c r="B659" s="54">
        <v>55975</v>
      </c>
    </row>
    <row r="660" spans="1:2">
      <c r="A660" s="50">
        <v>5</v>
      </c>
      <c r="B660" s="54">
        <v>56005</v>
      </c>
    </row>
    <row r="661" spans="1:2">
      <c r="A661" s="50">
        <v>6</v>
      </c>
      <c r="B661" s="54">
        <v>56036</v>
      </c>
    </row>
    <row r="662" spans="1:2">
      <c r="A662" s="50">
        <v>7</v>
      </c>
      <c r="B662" s="54">
        <v>56066</v>
      </c>
    </row>
    <row r="663" spans="1:2">
      <c r="A663" s="50">
        <v>8</v>
      </c>
      <c r="B663" s="54">
        <v>56097</v>
      </c>
    </row>
    <row r="664" spans="1:2">
      <c r="A664" s="50">
        <v>9</v>
      </c>
      <c r="B664" s="54">
        <v>56128</v>
      </c>
    </row>
    <row r="665" spans="1:2">
      <c r="A665" s="50">
        <v>10</v>
      </c>
      <c r="B665" s="54">
        <v>56158</v>
      </c>
    </row>
    <row r="666" spans="1:2">
      <c r="A666" s="50">
        <v>11</v>
      </c>
      <c r="B666" s="54">
        <v>56189</v>
      </c>
    </row>
    <row r="667" spans="1:2">
      <c r="A667" s="50">
        <v>12</v>
      </c>
      <c r="B667" s="54">
        <v>56219</v>
      </c>
    </row>
    <row r="668" spans="1:2">
      <c r="A668" s="50">
        <v>1</v>
      </c>
      <c r="B668" s="54">
        <v>56250</v>
      </c>
    </row>
    <row r="669" spans="1:2">
      <c r="A669" s="50">
        <v>2</v>
      </c>
      <c r="B669" s="54">
        <v>56281</v>
      </c>
    </row>
    <row r="670" spans="1:2">
      <c r="A670" s="50">
        <v>3</v>
      </c>
      <c r="B670" s="54">
        <v>56309</v>
      </c>
    </row>
    <row r="671" spans="1:2">
      <c r="A671" s="50">
        <v>4</v>
      </c>
      <c r="B671" s="54">
        <v>56340</v>
      </c>
    </row>
    <row r="672" spans="1:2">
      <c r="A672" s="50">
        <v>5</v>
      </c>
      <c r="B672" s="54">
        <v>56370</v>
      </c>
    </row>
    <row r="673" spans="1:2">
      <c r="A673" s="50">
        <v>6</v>
      </c>
      <c r="B673" s="54">
        <v>56401</v>
      </c>
    </row>
    <row r="674" spans="1:2">
      <c r="A674" s="50">
        <v>7</v>
      </c>
      <c r="B674" s="54">
        <v>56431</v>
      </c>
    </row>
    <row r="675" spans="1:2">
      <c r="A675" s="50">
        <v>8</v>
      </c>
      <c r="B675" s="54">
        <v>56462</v>
      </c>
    </row>
    <row r="676" spans="1:2">
      <c r="A676" s="50">
        <v>9</v>
      </c>
      <c r="B676" s="54">
        <v>56493</v>
      </c>
    </row>
    <row r="677" spans="1:2">
      <c r="A677" s="50">
        <v>10</v>
      </c>
      <c r="B677" s="54">
        <v>56523</v>
      </c>
    </row>
    <row r="678" spans="1:2">
      <c r="A678" s="50">
        <v>11</v>
      </c>
      <c r="B678" s="54">
        <v>56554</v>
      </c>
    </row>
    <row r="679" spans="1:2">
      <c r="A679" s="50">
        <v>12</v>
      </c>
      <c r="B679" s="54">
        <v>56584</v>
      </c>
    </row>
    <row r="680" spans="1:2">
      <c r="A680" s="50">
        <v>1</v>
      </c>
      <c r="B680" s="54">
        <v>56615</v>
      </c>
    </row>
    <row r="681" spans="1:2">
      <c r="A681" s="50">
        <v>2</v>
      </c>
      <c r="B681" s="54">
        <v>56646</v>
      </c>
    </row>
    <row r="682" spans="1:2">
      <c r="A682" s="50">
        <v>3</v>
      </c>
      <c r="B682" s="54">
        <v>56674</v>
      </c>
    </row>
    <row r="683" spans="1:2">
      <c r="A683" s="50">
        <v>4</v>
      </c>
      <c r="B683" s="54">
        <v>56705</v>
      </c>
    </row>
    <row r="684" spans="1:2">
      <c r="A684" s="50">
        <v>5</v>
      </c>
      <c r="B684" s="54">
        <v>56735</v>
      </c>
    </row>
    <row r="685" spans="1:2">
      <c r="A685" s="50">
        <v>6</v>
      </c>
      <c r="B685" s="54">
        <v>56766</v>
      </c>
    </row>
    <row r="686" spans="1:2">
      <c r="A686" s="50">
        <v>7</v>
      </c>
      <c r="B686" s="54">
        <v>56796</v>
      </c>
    </row>
    <row r="687" spans="1:2">
      <c r="A687" s="50">
        <v>8</v>
      </c>
      <c r="B687" s="54">
        <v>56827</v>
      </c>
    </row>
    <row r="688" spans="1:2">
      <c r="A688" s="50">
        <v>9</v>
      </c>
      <c r="B688" s="54">
        <v>56858</v>
      </c>
    </row>
    <row r="689" spans="1:2">
      <c r="A689" s="50">
        <v>10</v>
      </c>
      <c r="B689" s="54">
        <v>56888</v>
      </c>
    </row>
    <row r="690" spans="1:2">
      <c r="A690" s="50">
        <v>11</v>
      </c>
      <c r="B690" s="54">
        <v>56919</v>
      </c>
    </row>
    <row r="691" spans="1:2">
      <c r="A691" s="50">
        <v>12</v>
      </c>
      <c r="B691" s="54">
        <v>56949</v>
      </c>
    </row>
    <row r="692" spans="1:2">
      <c r="A692" s="50">
        <v>1</v>
      </c>
      <c r="B692" s="54">
        <v>56980</v>
      </c>
    </row>
    <row r="693" spans="1:2">
      <c r="A693" s="50">
        <v>2</v>
      </c>
      <c r="B693" s="54">
        <v>57011</v>
      </c>
    </row>
    <row r="694" spans="1:2">
      <c r="A694" s="50">
        <v>3</v>
      </c>
      <c r="B694" s="54">
        <v>57040</v>
      </c>
    </row>
    <row r="695" spans="1:2">
      <c r="A695" s="50">
        <v>4</v>
      </c>
      <c r="B695" s="54">
        <v>57071</v>
      </c>
    </row>
    <row r="696" spans="1:2">
      <c r="A696" s="50">
        <v>5</v>
      </c>
      <c r="B696" s="54">
        <v>57101</v>
      </c>
    </row>
    <row r="697" spans="1:2">
      <c r="A697" s="50">
        <v>6</v>
      </c>
      <c r="B697" s="54">
        <v>57132</v>
      </c>
    </row>
    <row r="698" spans="1:2">
      <c r="A698" s="50">
        <v>7</v>
      </c>
      <c r="B698" s="54">
        <v>57162</v>
      </c>
    </row>
    <row r="699" spans="1:2">
      <c r="A699" s="50">
        <v>8</v>
      </c>
      <c r="B699" s="54">
        <v>57193</v>
      </c>
    </row>
    <row r="700" spans="1:2">
      <c r="A700" s="50">
        <v>9</v>
      </c>
      <c r="B700" s="54">
        <v>57224</v>
      </c>
    </row>
    <row r="701" spans="1:2">
      <c r="A701" s="50">
        <v>10</v>
      </c>
      <c r="B701" s="54">
        <v>57254</v>
      </c>
    </row>
    <row r="702" spans="1:2">
      <c r="A702" s="50">
        <v>11</v>
      </c>
      <c r="B702" s="54">
        <v>57285</v>
      </c>
    </row>
    <row r="703" spans="1:2">
      <c r="A703" s="50">
        <v>12</v>
      </c>
      <c r="B703" s="54">
        <v>57315</v>
      </c>
    </row>
    <row r="704" spans="1:2">
      <c r="A704" s="50">
        <v>1</v>
      </c>
      <c r="B704" s="54">
        <v>57346</v>
      </c>
    </row>
    <row r="705" spans="1:2">
      <c r="A705" s="50">
        <v>2</v>
      </c>
      <c r="B705" s="54">
        <v>57377</v>
      </c>
    </row>
    <row r="706" spans="1:2">
      <c r="A706" s="50">
        <v>3</v>
      </c>
      <c r="B706" s="54">
        <v>57405</v>
      </c>
    </row>
    <row r="707" spans="1:2">
      <c r="A707" s="50">
        <v>4</v>
      </c>
      <c r="B707" s="54">
        <v>57436</v>
      </c>
    </row>
    <row r="708" spans="1:2">
      <c r="A708" s="50">
        <v>5</v>
      </c>
      <c r="B708" s="54">
        <v>57466</v>
      </c>
    </row>
    <row r="709" spans="1:2">
      <c r="A709" s="50">
        <v>6</v>
      </c>
      <c r="B709" s="54">
        <v>57497</v>
      </c>
    </row>
    <row r="710" spans="1:2">
      <c r="A710" s="50">
        <v>7</v>
      </c>
      <c r="B710" s="54">
        <v>57527</v>
      </c>
    </row>
    <row r="711" spans="1:2">
      <c r="A711" s="50">
        <v>8</v>
      </c>
      <c r="B711" s="54">
        <v>57558</v>
      </c>
    </row>
    <row r="712" spans="1:2">
      <c r="A712" s="50">
        <v>9</v>
      </c>
      <c r="B712" s="54">
        <v>57589</v>
      </c>
    </row>
    <row r="713" spans="1:2">
      <c r="A713" s="50">
        <v>10</v>
      </c>
      <c r="B713" s="54">
        <v>57619</v>
      </c>
    </row>
    <row r="714" spans="1:2">
      <c r="A714" s="50">
        <v>11</v>
      </c>
      <c r="B714" s="54">
        <v>57650</v>
      </c>
    </row>
    <row r="715" spans="1:2">
      <c r="A715" s="50">
        <v>12</v>
      </c>
      <c r="B715" s="54">
        <v>57680</v>
      </c>
    </row>
    <row r="716" spans="1:2">
      <c r="A716" s="50">
        <v>1</v>
      </c>
      <c r="B716" s="54">
        <v>57711</v>
      </c>
    </row>
    <row r="717" spans="1:2">
      <c r="A717" s="50">
        <v>2</v>
      </c>
      <c r="B717" s="54">
        <v>57742</v>
      </c>
    </row>
    <row r="718" spans="1:2">
      <c r="A718" s="50">
        <v>3</v>
      </c>
      <c r="B718" s="54">
        <v>57770</v>
      </c>
    </row>
    <row r="719" spans="1:2">
      <c r="A719" s="50">
        <v>4</v>
      </c>
      <c r="B719" s="54">
        <v>57801</v>
      </c>
    </row>
    <row r="720" spans="1:2">
      <c r="A720" s="50">
        <v>5</v>
      </c>
      <c r="B720" s="54">
        <v>57831</v>
      </c>
    </row>
    <row r="721" spans="1:2">
      <c r="A721" s="50">
        <v>6</v>
      </c>
      <c r="B721" s="54">
        <v>57862</v>
      </c>
    </row>
    <row r="722" spans="1:2">
      <c r="A722" s="50">
        <v>7</v>
      </c>
      <c r="B722" s="54">
        <v>57892</v>
      </c>
    </row>
    <row r="723" spans="1:2">
      <c r="A723" s="50">
        <v>8</v>
      </c>
      <c r="B723" s="54">
        <v>57923</v>
      </c>
    </row>
    <row r="724" spans="1:2">
      <c r="A724" s="50">
        <v>9</v>
      </c>
      <c r="B724" s="54">
        <v>57954</v>
      </c>
    </row>
    <row r="725" spans="1:2">
      <c r="A725" s="50">
        <v>10</v>
      </c>
      <c r="B725" s="54">
        <v>57984</v>
      </c>
    </row>
    <row r="726" spans="1:2">
      <c r="A726" s="50">
        <v>11</v>
      </c>
      <c r="B726" s="54">
        <v>58015</v>
      </c>
    </row>
    <row r="727" spans="1:2">
      <c r="A727" s="50">
        <v>12</v>
      </c>
      <c r="B727" s="54">
        <v>58045</v>
      </c>
    </row>
    <row r="728" spans="1:2">
      <c r="A728" s="50">
        <v>1</v>
      </c>
      <c r="B728" s="54">
        <v>58076</v>
      </c>
    </row>
    <row r="729" spans="1:2">
      <c r="A729" s="50">
        <v>2</v>
      </c>
      <c r="B729" s="54">
        <v>58107</v>
      </c>
    </row>
    <row r="730" spans="1:2">
      <c r="A730" s="50">
        <v>3</v>
      </c>
      <c r="B730" s="54">
        <v>58135</v>
      </c>
    </row>
    <row r="731" spans="1:2">
      <c r="A731" s="50">
        <v>4</v>
      </c>
      <c r="B731" s="54">
        <v>58166</v>
      </c>
    </row>
    <row r="732" spans="1:2">
      <c r="A732" s="50">
        <v>5</v>
      </c>
      <c r="B732" s="54">
        <v>58196</v>
      </c>
    </row>
    <row r="733" spans="1:2">
      <c r="A733" s="50">
        <v>6</v>
      </c>
      <c r="B733" s="54">
        <v>58227</v>
      </c>
    </row>
    <row r="734" spans="1:2">
      <c r="A734" s="50">
        <v>7</v>
      </c>
      <c r="B734" s="54">
        <v>58257</v>
      </c>
    </row>
    <row r="735" spans="1:2">
      <c r="A735" s="50">
        <v>8</v>
      </c>
      <c r="B735" s="54">
        <v>58288</v>
      </c>
    </row>
    <row r="736" spans="1:2">
      <c r="A736" s="50">
        <v>9</v>
      </c>
      <c r="B736" s="54">
        <v>58319</v>
      </c>
    </row>
    <row r="737" spans="1:2">
      <c r="A737" s="50">
        <v>10</v>
      </c>
      <c r="B737" s="54">
        <v>58349</v>
      </c>
    </row>
    <row r="738" spans="1:2">
      <c r="A738" s="50">
        <v>11</v>
      </c>
      <c r="B738" s="54">
        <v>58380</v>
      </c>
    </row>
    <row r="739" spans="1:2">
      <c r="A739" s="50">
        <v>12</v>
      </c>
      <c r="B739" s="54">
        <v>58410</v>
      </c>
    </row>
    <row r="740" spans="1:2">
      <c r="A740" s="50">
        <v>1</v>
      </c>
      <c r="B740" s="54">
        <v>58441</v>
      </c>
    </row>
    <row r="741" spans="1:2">
      <c r="A741" s="50">
        <v>2</v>
      </c>
      <c r="B741" s="54">
        <v>58472</v>
      </c>
    </row>
    <row r="742" spans="1:2">
      <c r="A742" s="50">
        <v>3</v>
      </c>
      <c r="B742" s="54">
        <v>58501</v>
      </c>
    </row>
    <row r="743" spans="1:2">
      <c r="A743" s="50">
        <v>4</v>
      </c>
      <c r="B743" s="54">
        <v>58532</v>
      </c>
    </row>
    <row r="744" spans="1:2">
      <c r="A744" s="50">
        <v>5</v>
      </c>
      <c r="B744" s="54">
        <v>58562</v>
      </c>
    </row>
    <row r="745" spans="1:2">
      <c r="A745" s="50">
        <v>6</v>
      </c>
      <c r="B745" s="54">
        <v>58593</v>
      </c>
    </row>
    <row r="746" spans="1:2">
      <c r="A746" s="50">
        <v>7</v>
      </c>
      <c r="B746" s="54">
        <v>58623</v>
      </c>
    </row>
    <row r="747" spans="1:2">
      <c r="A747" s="50">
        <v>8</v>
      </c>
      <c r="B747" s="54">
        <v>58654</v>
      </c>
    </row>
    <row r="748" spans="1:2">
      <c r="A748" s="50">
        <v>9</v>
      </c>
      <c r="B748" s="54">
        <v>58685</v>
      </c>
    </row>
    <row r="749" spans="1:2">
      <c r="A749" s="50">
        <v>10</v>
      </c>
      <c r="B749" s="54">
        <v>58715</v>
      </c>
    </row>
    <row r="750" spans="1:2">
      <c r="A750" s="50">
        <v>11</v>
      </c>
      <c r="B750" s="54">
        <v>58746</v>
      </c>
    </row>
    <row r="751" spans="1:2">
      <c r="A751" s="50">
        <v>12</v>
      </c>
      <c r="B751" s="54">
        <v>58776</v>
      </c>
    </row>
    <row r="752" spans="1:2">
      <c r="A752" s="50">
        <v>1</v>
      </c>
      <c r="B752" s="54">
        <v>58807</v>
      </c>
    </row>
    <row r="753" spans="1:2">
      <c r="A753" s="50">
        <v>2</v>
      </c>
      <c r="B753" s="54">
        <v>58838</v>
      </c>
    </row>
    <row r="754" spans="1:2">
      <c r="A754" s="50">
        <v>3</v>
      </c>
      <c r="B754" s="54">
        <v>58866</v>
      </c>
    </row>
    <row r="755" spans="1:2">
      <c r="A755" s="50">
        <v>4</v>
      </c>
      <c r="B755" s="54">
        <v>58897</v>
      </c>
    </row>
    <row r="756" spans="1:2">
      <c r="A756" s="50">
        <v>5</v>
      </c>
      <c r="B756" s="54">
        <v>58927</v>
      </c>
    </row>
    <row r="757" spans="1:2">
      <c r="A757" s="50">
        <v>6</v>
      </c>
      <c r="B757" s="54">
        <v>58958</v>
      </c>
    </row>
    <row r="758" spans="1:2">
      <c r="A758" s="50">
        <v>7</v>
      </c>
      <c r="B758" s="54">
        <v>58988</v>
      </c>
    </row>
    <row r="759" spans="1:2">
      <c r="A759" s="50">
        <v>8</v>
      </c>
      <c r="B759" s="54">
        <v>59019</v>
      </c>
    </row>
    <row r="760" spans="1:2">
      <c r="A760" s="50">
        <v>9</v>
      </c>
      <c r="B760" s="54">
        <v>59050</v>
      </c>
    </row>
    <row r="761" spans="1:2">
      <c r="A761" s="50">
        <v>10</v>
      </c>
      <c r="B761" s="54">
        <v>59080</v>
      </c>
    </row>
    <row r="762" spans="1:2">
      <c r="A762" s="50">
        <v>11</v>
      </c>
      <c r="B762" s="54">
        <v>59111</v>
      </c>
    </row>
    <row r="763" spans="1:2">
      <c r="A763" s="50">
        <v>12</v>
      </c>
      <c r="B763" s="54">
        <v>59141</v>
      </c>
    </row>
    <row r="764" spans="1:2">
      <c r="A764" s="50">
        <v>1</v>
      </c>
      <c r="B764" s="54">
        <v>59172</v>
      </c>
    </row>
    <row r="765" spans="1:2">
      <c r="A765" s="50">
        <v>2</v>
      </c>
      <c r="B765" s="54">
        <v>59203</v>
      </c>
    </row>
    <row r="766" spans="1:2">
      <c r="A766" s="50">
        <v>3</v>
      </c>
      <c r="B766" s="54">
        <v>59231</v>
      </c>
    </row>
    <row r="767" spans="1:2">
      <c r="A767" s="50">
        <v>4</v>
      </c>
      <c r="B767" s="54">
        <v>59262</v>
      </c>
    </row>
    <row r="768" spans="1:2">
      <c r="A768" s="50">
        <v>5</v>
      </c>
      <c r="B768" s="54">
        <v>59292</v>
      </c>
    </row>
    <row r="769" spans="1:2">
      <c r="A769" s="50">
        <v>6</v>
      </c>
      <c r="B769" s="54">
        <v>59323</v>
      </c>
    </row>
    <row r="770" spans="1:2">
      <c r="A770" s="50">
        <v>7</v>
      </c>
      <c r="B770" s="54">
        <v>59353</v>
      </c>
    </row>
    <row r="771" spans="1:2">
      <c r="A771" s="50">
        <v>8</v>
      </c>
      <c r="B771" s="54">
        <v>59384</v>
      </c>
    </row>
    <row r="772" spans="1:2">
      <c r="A772" s="50">
        <v>9</v>
      </c>
      <c r="B772" s="54">
        <v>59415</v>
      </c>
    </row>
    <row r="773" spans="1:2">
      <c r="A773" s="50">
        <v>10</v>
      </c>
      <c r="B773" s="54">
        <v>59445</v>
      </c>
    </row>
    <row r="774" spans="1:2">
      <c r="A774" s="50">
        <v>11</v>
      </c>
      <c r="B774" s="54">
        <v>59476</v>
      </c>
    </row>
    <row r="775" spans="1:2">
      <c r="A775" s="50">
        <v>12</v>
      </c>
      <c r="B775" s="54">
        <v>59506</v>
      </c>
    </row>
    <row r="776" spans="1:2">
      <c r="A776" s="50">
        <v>1</v>
      </c>
      <c r="B776" s="54">
        <v>59537</v>
      </c>
    </row>
    <row r="777" spans="1:2">
      <c r="A777" s="50">
        <v>2</v>
      </c>
      <c r="B777" s="54">
        <v>59568</v>
      </c>
    </row>
    <row r="778" spans="1:2">
      <c r="A778" s="50">
        <v>3</v>
      </c>
      <c r="B778" s="54">
        <v>59596</v>
      </c>
    </row>
    <row r="779" spans="1:2">
      <c r="A779" s="50">
        <v>4</v>
      </c>
      <c r="B779" s="54">
        <v>59627</v>
      </c>
    </row>
    <row r="780" spans="1:2">
      <c r="A780" s="50">
        <v>5</v>
      </c>
      <c r="B780" s="54">
        <v>59657</v>
      </c>
    </row>
    <row r="781" spans="1:2">
      <c r="A781" s="50">
        <v>6</v>
      </c>
      <c r="B781" s="54">
        <v>59688</v>
      </c>
    </row>
    <row r="782" spans="1:2">
      <c r="A782" s="50">
        <v>7</v>
      </c>
      <c r="B782" s="54">
        <v>59718</v>
      </c>
    </row>
    <row r="783" spans="1:2">
      <c r="A783" s="50">
        <v>8</v>
      </c>
      <c r="B783" s="54">
        <v>59749</v>
      </c>
    </row>
    <row r="784" spans="1:2">
      <c r="A784" s="50">
        <v>9</v>
      </c>
      <c r="B784" s="54">
        <v>59780</v>
      </c>
    </row>
    <row r="785" spans="1:2">
      <c r="A785" s="50">
        <v>10</v>
      </c>
      <c r="B785" s="54">
        <v>59810</v>
      </c>
    </row>
    <row r="786" spans="1:2">
      <c r="A786" s="50">
        <v>11</v>
      </c>
      <c r="B786" s="54">
        <v>59841</v>
      </c>
    </row>
    <row r="787" spans="1:2">
      <c r="A787" s="50">
        <v>12</v>
      </c>
      <c r="B787" s="54">
        <v>59871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7"/>
  <sheetViews>
    <sheetView topLeftCell="A12" workbookViewId="0">
      <selection activeCell="E24" sqref="E24"/>
    </sheetView>
  </sheetViews>
  <sheetFormatPr defaultColWidth="12.5546875" defaultRowHeight="15.6"/>
  <cols>
    <col min="1" max="1" width="1.88671875" style="44" customWidth="1"/>
    <col min="2" max="2" width="13.33203125" style="44" customWidth="1"/>
    <col min="3" max="3" width="9.6640625" style="241" customWidth="1"/>
    <col min="4" max="22" width="9.6640625" style="44" customWidth="1"/>
    <col min="23" max="16384" width="12.5546875" style="44"/>
  </cols>
  <sheetData>
    <row r="1" spans="1:23" s="50" customFormat="1" ht="6.6">
      <c r="C1" s="244">
        <v>1</v>
      </c>
      <c r="D1" s="50">
        <f>C1+1</f>
        <v>2</v>
      </c>
      <c r="E1" s="50">
        <f t="shared" ref="E1:V1" si="0">D1+1</f>
        <v>3</v>
      </c>
      <c r="F1" s="50">
        <f t="shared" si="0"/>
        <v>4</v>
      </c>
      <c r="G1" s="50">
        <f t="shared" si="0"/>
        <v>5</v>
      </c>
      <c r="H1" s="50">
        <f t="shared" si="0"/>
        <v>6</v>
      </c>
      <c r="I1" s="50">
        <f t="shared" si="0"/>
        <v>7</v>
      </c>
      <c r="J1" s="50">
        <f t="shared" si="0"/>
        <v>8</v>
      </c>
      <c r="K1" s="50">
        <f t="shared" si="0"/>
        <v>9</v>
      </c>
      <c r="L1" s="50">
        <f t="shared" si="0"/>
        <v>10</v>
      </c>
      <c r="M1" s="50">
        <f t="shared" si="0"/>
        <v>11</v>
      </c>
      <c r="N1" s="50">
        <f t="shared" si="0"/>
        <v>12</v>
      </c>
      <c r="O1" s="50">
        <f t="shared" si="0"/>
        <v>13</v>
      </c>
      <c r="P1" s="50">
        <f t="shared" si="0"/>
        <v>14</v>
      </c>
      <c r="Q1" s="50">
        <f t="shared" si="0"/>
        <v>15</v>
      </c>
      <c r="R1" s="50">
        <f t="shared" si="0"/>
        <v>16</v>
      </c>
      <c r="S1" s="50">
        <f t="shared" si="0"/>
        <v>17</v>
      </c>
      <c r="T1" s="50">
        <f t="shared" si="0"/>
        <v>18</v>
      </c>
      <c r="U1" s="50">
        <f t="shared" si="0"/>
        <v>19</v>
      </c>
      <c r="V1" s="50">
        <f t="shared" si="0"/>
        <v>20</v>
      </c>
    </row>
    <row r="2" spans="1:23">
      <c r="B2" s="45" t="s">
        <v>75</v>
      </c>
      <c r="C2" s="46">
        <v>2000</v>
      </c>
      <c r="D2" s="46">
        <v>2001</v>
      </c>
      <c r="E2" s="46">
        <v>2002</v>
      </c>
      <c r="F2" s="46">
        <v>2003</v>
      </c>
      <c r="G2" s="46">
        <v>2004</v>
      </c>
      <c r="H2" s="46">
        <v>2005</v>
      </c>
      <c r="I2" s="46">
        <v>2006</v>
      </c>
      <c r="J2" s="46">
        <v>2007</v>
      </c>
      <c r="K2" s="46">
        <v>2008</v>
      </c>
      <c r="L2" s="46">
        <v>2009</v>
      </c>
      <c r="M2" s="46">
        <v>2010</v>
      </c>
      <c r="N2" s="46">
        <v>2011</v>
      </c>
      <c r="O2" s="46">
        <v>2012</v>
      </c>
      <c r="P2" s="46">
        <v>2013</v>
      </c>
      <c r="Q2" s="46">
        <v>2014</v>
      </c>
      <c r="R2" s="46">
        <v>2015</v>
      </c>
      <c r="S2" s="46">
        <v>2016</v>
      </c>
      <c r="T2" s="46">
        <v>2017</v>
      </c>
      <c r="U2" s="46">
        <v>2018</v>
      </c>
      <c r="V2" s="46">
        <v>2019</v>
      </c>
    </row>
    <row r="3" spans="1:23" ht="16.2" thickBot="1">
      <c r="B3" s="45" t="s">
        <v>76</v>
      </c>
      <c r="C3" s="245">
        <v>7</v>
      </c>
      <c r="D3" s="49">
        <v>12</v>
      </c>
      <c r="E3" s="49">
        <v>12</v>
      </c>
      <c r="F3" s="49">
        <v>12</v>
      </c>
      <c r="G3" s="49">
        <v>12</v>
      </c>
      <c r="H3" s="49">
        <v>12</v>
      </c>
      <c r="I3" s="49">
        <v>12</v>
      </c>
      <c r="J3" s="49">
        <v>12</v>
      </c>
      <c r="K3" s="49">
        <v>12</v>
      </c>
      <c r="L3" s="49">
        <v>12</v>
      </c>
      <c r="M3" s="49">
        <v>12</v>
      </c>
      <c r="N3" s="49">
        <v>12</v>
      </c>
      <c r="O3" s="49">
        <v>12</v>
      </c>
      <c r="P3" s="49">
        <v>12</v>
      </c>
      <c r="Q3" s="49">
        <v>12</v>
      </c>
      <c r="R3" s="49">
        <v>12</v>
      </c>
      <c r="S3" s="49">
        <v>12</v>
      </c>
      <c r="T3" s="49">
        <v>12</v>
      </c>
      <c r="U3" s="49">
        <v>12</v>
      </c>
      <c r="V3" s="49">
        <v>12</v>
      </c>
    </row>
    <row r="4" spans="1:23">
      <c r="B4" s="45"/>
      <c r="C4" s="246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</row>
    <row r="5" spans="1:23">
      <c r="A5" s="50">
        <v>1</v>
      </c>
      <c r="B5" s="44" t="s">
        <v>62</v>
      </c>
      <c r="C5" s="240"/>
      <c r="D5" s="240">
        <v>3.8354166699999999</v>
      </c>
      <c r="E5" s="240">
        <v>3.8354166699999999</v>
      </c>
      <c r="F5" s="240">
        <v>3.8354166699999999</v>
      </c>
      <c r="G5" s="240">
        <v>3.8354166699999999</v>
      </c>
      <c r="H5" s="240">
        <v>3.8354166699999999</v>
      </c>
      <c r="I5" s="240">
        <v>3.8354166699999999</v>
      </c>
      <c r="J5" s="240">
        <v>3.8354166699999999</v>
      </c>
      <c r="K5" s="240">
        <v>3.8354166699999999</v>
      </c>
      <c r="L5" s="240">
        <v>3.8354166699999999</v>
      </c>
      <c r="M5" s="240">
        <v>3.8354166699999999</v>
      </c>
      <c r="N5" s="240">
        <v>3.8354166699999999</v>
      </c>
      <c r="O5" s="240">
        <v>3.8354166699999999</v>
      </c>
      <c r="P5" s="240">
        <v>3.8354166699999999</v>
      </c>
      <c r="Q5" s="240">
        <v>3.8354166699999999</v>
      </c>
      <c r="R5" s="240">
        <v>3.9375</v>
      </c>
      <c r="S5" s="240">
        <v>3.9375</v>
      </c>
      <c r="T5" s="240">
        <v>3.9375</v>
      </c>
      <c r="U5" s="240">
        <v>3.9375</v>
      </c>
      <c r="V5" s="240">
        <v>3.9375</v>
      </c>
      <c r="W5" s="241">
        <v>3.9375</v>
      </c>
    </row>
    <row r="6" spans="1:23">
      <c r="A6" s="50">
        <v>2</v>
      </c>
      <c r="B6" s="44" t="s">
        <v>63</v>
      </c>
      <c r="C6" s="240"/>
      <c r="D6" s="240">
        <v>3.8354166699999999</v>
      </c>
      <c r="E6" s="240">
        <v>3.8354166699999999</v>
      </c>
      <c r="F6" s="240">
        <v>3.8354166699999999</v>
      </c>
      <c r="G6" s="240">
        <v>3.8354166699999999</v>
      </c>
      <c r="H6" s="240">
        <v>3.8354166699999999</v>
      </c>
      <c r="I6" s="240">
        <v>3.8354166699999999</v>
      </c>
      <c r="J6" s="240">
        <v>3.8354166699999999</v>
      </c>
      <c r="K6" s="240">
        <v>3.8354166699999999</v>
      </c>
      <c r="L6" s="240">
        <v>3.8354166699999999</v>
      </c>
      <c r="M6" s="240">
        <v>3.8354166699999999</v>
      </c>
      <c r="N6" s="240">
        <v>3.8354166699999999</v>
      </c>
      <c r="O6" s="240">
        <v>3.8354166699999999</v>
      </c>
      <c r="P6" s="240">
        <v>3.8354166699999999</v>
      </c>
      <c r="Q6" s="240">
        <v>3.8354166699999999</v>
      </c>
      <c r="R6" s="240">
        <v>3.9375</v>
      </c>
      <c r="S6" s="240">
        <v>3.9375</v>
      </c>
      <c r="T6" s="240">
        <v>3.9375</v>
      </c>
      <c r="U6" s="240">
        <v>3.9375</v>
      </c>
      <c r="V6" s="240">
        <v>3.9375</v>
      </c>
      <c r="W6" s="241">
        <v>3.9375</v>
      </c>
    </row>
    <row r="7" spans="1:23">
      <c r="A7" s="50">
        <v>3</v>
      </c>
      <c r="B7" s="44" t="s">
        <v>64</v>
      </c>
      <c r="C7" s="240"/>
      <c r="D7" s="240">
        <v>3.8354166699999999</v>
      </c>
      <c r="E7" s="240">
        <v>3.8354166699999999</v>
      </c>
      <c r="F7" s="240">
        <v>3.8354166699999999</v>
      </c>
      <c r="G7" s="240">
        <v>3.8354166699999999</v>
      </c>
      <c r="H7" s="240">
        <v>3.8354166699999999</v>
      </c>
      <c r="I7" s="240">
        <v>3.8354166699999999</v>
      </c>
      <c r="J7" s="240">
        <v>3.8354166699999999</v>
      </c>
      <c r="K7" s="240">
        <v>3.8354166699999999</v>
      </c>
      <c r="L7" s="240">
        <v>3.8354166699999999</v>
      </c>
      <c r="M7" s="240">
        <v>3.8354166699999999</v>
      </c>
      <c r="N7" s="240">
        <v>3.8354166699999999</v>
      </c>
      <c r="O7" s="240">
        <v>3.8354166699999999</v>
      </c>
      <c r="P7" s="240">
        <v>3.8354166699999999</v>
      </c>
      <c r="Q7" s="240">
        <v>3.8354166699999999</v>
      </c>
      <c r="R7" s="240">
        <v>3.9375</v>
      </c>
      <c r="S7" s="240">
        <v>3.9375</v>
      </c>
      <c r="T7" s="240">
        <v>3.9375</v>
      </c>
      <c r="U7" s="240">
        <v>3.9375</v>
      </c>
      <c r="V7" s="240">
        <v>3.9375</v>
      </c>
      <c r="W7" s="241">
        <v>3.9375</v>
      </c>
    </row>
    <row r="8" spans="1:23">
      <c r="A8" s="50">
        <v>4</v>
      </c>
      <c r="B8" s="44" t="s">
        <v>65</v>
      </c>
      <c r="C8" s="240"/>
      <c r="D8" s="240">
        <v>3.98020833</v>
      </c>
      <c r="E8" s="240">
        <v>3.98020833</v>
      </c>
      <c r="F8" s="240">
        <v>3.98020833</v>
      </c>
      <c r="G8" s="240">
        <v>3.98020833</v>
      </c>
      <c r="H8" s="240">
        <v>3.98020833</v>
      </c>
      <c r="I8" s="240">
        <v>3.98020833</v>
      </c>
      <c r="J8" s="240">
        <v>3.98020833</v>
      </c>
      <c r="K8" s="240">
        <v>3.98020833</v>
      </c>
      <c r="L8" s="240">
        <v>3.98020833</v>
      </c>
      <c r="M8" s="240">
        <v>3.98020833</v>
      </c>
      <c r="N8" s="240">
        <v>3.98020833</v>
      </c>
      <c r="O8" s="240">
        <v>3.98020833</v>
      </c>
      <c r="P8" s="240">
        <v>3.98020833</v>
      </c>
      <c r="Q8" s="240">
        <v>3.98020833</v>
      </c>
      <c r="R8" s="240">
        <v>4.08229167</v>
      </c>
      <c r="S8" s="240">
        <v>4.08229167</v>
      </c>
      <c r="T8" s="240">
        <v>4.08229167</v>
      </c>
      <c r="U8" s="240">
        <v>4.08229167</v>
      </c>
      <c r="V8" s="240">
        <v>4.08229167</v>
      </c>
      <c r="W8" s="241">
        <v>4.08229167</v>
      </c>
    </row>
    <row r="9" spans="1:23">
      <c r="A9" s="50">
        <v>5</v>
      </c>
      <c r="B9" s="44" t="s">
        <v>38</v>
      </c>
      <c r="C9" s="240"/>
      <c r="D9" s="240">
        <v>3.8177083299999999</v>
      </c>
      <c r="E9" s="240">
        <v>3.8177083299999999</v>
      </c>
      <c r="F9" s="240">
        <v>3.8177083299999999</v>
      </c>
      <c r="G9" s="240">
        <v>3.8177083299999999</v>
      </c>
      <c r="H9" s="240">
        <v>3.8177083299999999</v>
      </c>
      <c r="I9" s="240">
        <v>3.8177083299999999</v>
      </c>
      <c r="J9" s="240">
        <v>3.8177083299999999</v>
      </c>
      <c r="K9" s="240">
        <v>3.8177083299999999</v>
      </c>
      <c r="L9" s="240">
        <v>3.8177083299999999</v>
      </c>
      <c r="M9" s="240">
        <v>3.8177083299999999</v>
      </c>
      <c r="N9" s="240">
        <v>3.8177083299999999</v>
      </c>
      <c r="O9" s="240">
        <v>3.8177083299999999</v>
      </c>
      <c r="P9" s="240">
        <v>3.8177083299999999</v>
      </c>
      <c r="Q9" s="240">
        <v>3.8177083299999999</v>
      </c>
      <c r="R9" s="240">
        <v>3.91979167</v>
      </c>
      <c r="S9" s="240">
        <v>3.91979167</v>
      </c>
      <c r="T9" s="240">
        <v>3.91979167</v>
      </c>
      <c r="U9" s="240">
        <v>3.91979167</v>
      </c>
      <c r="V9" s="240">
        <v>3.91979167</v>
      </c>
      <c r="W9" s="241">
        <v>3.91979167</v>
      </c>
    </row>
    <row r="10" spans="1:23">
      <c r="A10" s="50">
        <v>6</v>
      </c>
      <c r="B10" s="44" t="s">
        <v>66</v>
      </c>
      <c r="C10" s="240">
        <v>4.2322916700000004</v>
      </c>
      <c r="D10" s="240">
        <v>3.8093750000000002</v>
      </c>
      <c r="E10" s="240">
        <v>3.8093750000000002</v>
      </c>
      <c r="F10" s="240">
        <v>3.8093750000000002</v>
      </c>
      <c r="G10" s="240">
        <v>3.8093750000000002</v>
      </c>
      <c r="H10" s="240">
        <v>3.8093750000000002</v>
      </c>
      <c r="I10" s="240">
        <v>3.8093750000000002</v>
      </c>
      <c r="J10" s="240">
        <v>3.8093750000000002</v>
      </c>
      <c r="K10" s="240">
        <v>3.8093750000000002</v>
      </c>
      <c r="L10" s="240">
        <v>3.8093750000000002</v>
      </c>
      <c r="M10" s="240">
        <v>3.8093750000000002</v>
      </c>
      <c r="N10" s="240">
        <v>3.8093750000000002</v>
      </c>
      <c r="O10" s="240">
        <v>3.8093750000000002</v>
      </c>
      <c r="P10" s="240">
        <v>3.8093750000000002</v>
      </c>
      <c r="Q10" s="240">
        <v>3.8093750000000002</v>
      </c>
      <c r="R10" s="240">
        <v>3.9125000000000001</v>
      </c>
      <c r="S10" s="240">
        <v>3.9125000000000001</v>
      </c>
      <c r="T10" s="240">
        <v>3.9125000000000001</v>
      </c>
      <c r="U10" s="240">
        <v>3.9125000000000001</v>
      </c>
      <c r="V10" s="240">
        <v>3.9125000000000001</v>
      </c>
      <c r="W10" s="241">
        <v>3.9125000000000001</v>
      </c>
    </row>
    <row r="11" spans="1:23">
      <c r="A11" s="50">
        <v>7</v>
      </c>
      <c r="B11" s="44" t="s">
        <v>67</v>
      </c>
      <c r="C11" s="240">
        <v>4.1906249999999998</v>
      </c>
      <c r="D11" s="240">
        <v>3.7718750000000001</v>
      </c>
      <c r="E11" s="240">
        <v>3.7718750000000001</v>
      </c>
      <c r="F11" s="240">
        <v>3.7718750000000001</v>
      </c>
      <c r="G11" s="240">
        <v>3.7718750000000001</v>
      </c>
      <c r="H11" s="240">
        <v>3.7718750000000001</v>
      </c>
      <c r="I11" s="240">
        <v>3.7718750000000001</v>
      </c>
      <c r="J11" s="240">
        <v>3.7718750000000001</v>
      </c>
      <c r="K11" s="240">
        <v>3.7718750000000001</v>
      </c>
      <c r="L11" s="240">
        <v>3.7718750000000001</v>
      </c>
      <c r="M11" s="240">
        <v>3.7718750000000001</v>
      </c>
      <c r="N11" s="240">
        <v>3.7718750000000001</v>
      </c>
      <c r="O11" s="240">
        <v>3.7718750000000001</v>
      </c>
      <c r="P11" s="240">
        <v>3.7718750000000001</v>
      </c>
      <c r="Q11" s="240">
        <v>3.7718750000000001</v>
      </c>
      <c r="R11" s="240">
        <v>3.8739583299999998</v>
      </c>
      <c r="S11" s="240">
        <v>3.8739583299999998</v>
      </c>
      <c r="T11" s="240">
        <v>3.8739583299999998</v>
      </c>
      <c r="U11" s="240">
        <v>3.8739583299999998</v>
      </c>
      <c r="V11" s="240">
        <v>3.8739583299999998</v>
      </c>
      <c r="W11" s="241">
        <v>3.8739583299999998</v>
      </c>
    </row>
    <row r="12" spans="1:23">
      <c r="A12" s="50">
        <v>8</v>
      </c>
      <c r="B12" s="44" t="s">
        <v>68</v>
      </c>
      <c r="C12" s="240">
        <v>4.1906249999999998</v>
      </c>
      <c r="D12" s="240">
        <v>3.7718750000000001</v>
      </c>
      <c r="E12" s="240">
        <v>3.7718750000000001</v>
      </c>
      <c r="F12" s="240">
        <v>3.7718750000000001</v>
      </c>
      <c r="G12" s="240">
        <v>3.7718750000000001</v>
      </c>
      <c r="H12" s="240">
        <v>3.7718750000000001</v>
      </c>
      <c r="I12" s="240">
        <v>3.7718750000000001</v>
      </c>
      <c r="J12" s="240">
        <v>3.7718750000000001</v>
      </c>
      <c r="K12" s="240">
        <v>3.7718750000000001</v>
      </c>
      <c r="L12" s="240">
        <v>3.7718750000000001</v>
      </c>
      <c r="M12" s="240">
        <v>3.7718750000000001</v>
      </c>
      <c r="N12" s="240">
        <v>3.7718750000000001</v>
      </c>
      <c r="O12" s="240">
        <v>3.7718750000000001</v>
      </c>
      <c r="P12" s="240">
        <v>3.7718750000000001</v>
      </c>
      <c r="Q12" s="240">
        <v>3.7718750000000001</v>
      </c>
      <c r="R12" s="240">
        <v>3.8739583299999998</v>
      </c>
      <c r="S12" s="240">
        <v>3.8739583299999998</v>
      </c>
      <c r="T12" s="240">
        <v>3.8739583299999998</v>
      </c>
      <c r="U12" s="240">
        <v>3.8739583299999998</v>
      </c>
      <c r="V12" s="240">
        <v>3.8739583299999998</v>
      </c>
      <c r="W12" s="241">
        <v>3.8739583299999998</v>
      </c>
    </row>
    <row r="13" spans="1:23">
      <c r="A13" s="50">
        <v>9</v>
      </c>
      <c r="B13" s="44" t="s">
        <v>69</v>
      </c>
      <c r="C13" s="240">
        <v>4.2416666699999999</v>
      </c>
      <c r="D13" s="240">
        <v>3.8177083299999999</v>
      </c>
      <c r="E13" s="240">
        <v>3.8177083299999999</v>
      </c>
      <c r="F13" s="240">
        <v>3.8177083299999999</v>
      </c>
      <c r="G13" s="240">
        <v>3.8177083299999999</v>
      </c>
      <c r="H13" s="240">
        <v>3.8177083299999999</v>
      </c>
      <c r="I13" s="240">
        <v>3.8177083299999999</v>
      </c>
      <c r="J13" s="240">
        <v>3.8177083299999999</v>
      </c>
      <c r="K13" s="240">
        <v>3.8177083299999999</v>
      </c>
      <c r="L13" s="240">
        <v>3.8177083299999999</v>
      </c>
      <c r="M13" s="240">
        <v>3.8177083299999999</v>
      </c>
      <c r="N13" s="240">
        <v>3.8177083299999999</v>
      </c>
      <c r="O13" s="240">
        <v>3.8177083299999999</v>
      </c>
      <c r="P13" s="240">
        <v>3.8177083299999999</v>
      </c>
      <c r="Q13" s="240">
        <v>3.8177083299999999</v>
      </c>
      <c r="R13" s="240">
        <v>3.91979167</v>
      </c>
      <c r="S13" s="240">
        <v>3.91979167</v>
      </c>
      <c r="T13" s="240">
        <v>3.91979167</v>
      </c>
      <c r="U13" s="240">
        <v>3.91979167</v>
      </c>
      <c r="V13" s="240">
        <v>3.91979167</v>
      </c>
      <c r="W13" s="241">
        <v>3.91979167</v>
      </c>
    </row>
    <row r="14" spans="1:23">
      <c r="A14" s="50">
        <v>10</v>
      </c>
      <c r="B14" s="44" t="s">
        <v>70</v>
      </c>
      <c r="C14" s="240">
        <v>4.1968750000000004</v>
      </c>
      <c r="D14" s="240">
        <v>3.7781250000000002</v>
      </c>
      <c r="E14" s="240">
        <v>3.7781250000000002</v>
      </c>
      <c r="F14" s="240">
        <v>3.7781250000000002</v>
      </c>
      <c r="G14" s="240">
        <v>3.7781250000000002</v>
      </c>
      <c r="H14" s="240">
        <v>3.7781250000000002</v>
      </c>
      <c r="I14" s="240">
        <v>3.7781250000000002</v>
      </c>
      <c r="J14" s="240">
        <v>3.7781250000000002</v>
      </c>
      <c r="K14" s="240">
        <v>3.7781250000000002</v>
      </c>
      <c r="L14" s="240">
        <v>3.7781250000000002</v>
      </c>
      <c r="M14" s="240">
        <v>3.7781250000000002</v>
      </c>
      <c r="N14" s="240">
        <v>3.7781250000000002</v>
      </c>
      <c r="O14" s="240">
        <v>3.7781250000000002</v>
      </c>
      <c r="P14" s="240">
        <v>3.7781250000000002</v>
      </c>
      <c r="Q14" s="240">
        <v>3.7781250000000002</v>
      </c>
      <c r="R14" s="240">
        <v>3.8802083299999999</v>
      </c>
      <c r="S14" s="240">
        <v>3.8802083299999999</v>
      </c>
      <c r="T14" s="240">
        <v>3.8802083299999999</v>
      </c>
      <c r="U14" s="240">
        <v>3.8802083299999999</v>
      </c>
      <c r="V14" s="240">
        <v>3.8802083299999999</v>
      </c>
      <c r="W14" s="241">
        <v>3.8802083299999999</v>
      </c>
    </row>
    <row r="15" spans="1:23">
      <c r="A15" s="50">
        <v>11</v>
      </c>
      <c r="B15" s="44" t="s">
        <v>71</v>
      </c>
      <c r="C15" s="240">
        <v>4.1968750000000004</v>
      </c>
      <c r="D15" s="240">
        <v>3.7781250000000002</v>
      </c>
      <c r="E15" s="240">
        <v>3.7781250000000002</v>
      </c>
      <c r="F15" s="240">
        <v>3.7781250000000002</v>
      </c>
      <c r="G15" s="240">
        <v>3.7781250000000002</v>
      </c>
      <c r="H15" s="240">
        <v>3.7781250000000002</v>
      </c>
      <c r="I15" s="240">
        <v>3.7781250000000002</v>
      </c>
      <c r="J15" s="240">
        <v>3.7781250000000002</v>
      </c>
      <c r="K15" s="240">
        <v>3.7781250000000002</v>
      </c>
      <c r="L15" s="240">
        <v>3.7781250000000002</v>
      </c>
      <c r="M15" s="240">
        <v>3.7781250000000002</v>
      </c>
      <c r="N15" s="240">
        <v>3.7781250000000002</v>
      </c>
      <c r="O15" s="240">
        <v>3.7781250000000002</v>
      </c>
      <c r="P15" s="240">
        <v>3.7781250000000002</v>
      </c>
      <c r="Q15" s="240">
        <v>3.7781250000000002</v>
      </c>
      <c r="R15" s="240">
        <v>3.8802083299999999</v>
      </c>
      <c r="S15" s="240">
        <v>3.8802083299999999</v>
      </c>
      <c r="T15" s="240">
        <v>3.8802083299999999</v>
      </c>
      <c r="U15" s="240">
        <v>3.8802083299999999</v>
      </c>
      <c r="V15" s="240">
        <v>3.8802083299999999</v>
      </c>
      <c r="W15" s="241">
        <v>3.8802083299999999</v>
      </c>
    </row>
    <row r="16" spans="1:23">
      <c r="A16" s="50">
        <v>12</v>
      </c>
      <c r="B16" s="44" t="s">
        <v>72</v>
      </c>
      <c r="C16" s="242">
        <v>4.1968750000000004</v>
      </c>
      <c r="D16" s="242">
        <v>3.7781250000000002</v>
      </c>
      <c r="E16" s="242">
        <v>3.7781250000000002</v>
      </c>
      <c r="F16" s="242">
        <v>3.7781250000000002</v>
      </c>
      <c r="G16" s="242">
        <v>3.7781250000000002</v>
      </c>
      <c r="H16" s="242">
        <v>3.7781250000000002</v>
      </c>
      <c r="I16" s="242">
        <v>3.7781250000000002</v>
      </c>
      <c r="J16" s="242">
        <v>3.7781250000000002</v>
      </c>
      <c r="K16" s="242">
        <v>3.7781250000000002</v>
      </c>
      <c r="L16" s="242">
        <v>3.7781250000000002</v>
      </c>
      <c r="M16" s="242">
        <v>3.7781250000000002</v>
      </c>
      <c r="N16" s="242">
        <v>3.7781250000000002</v>
      </c>
      <c r="O16" s="242">
        <v>3.7781250000000002</v>
      </c>
      <c r="P16" s="242">
        <v>3.7781250000000002</v>
      </c>
      <c r="Q16" s="242">
        <v>3.7781250000000002</v>
      </c>
      <c r="R16" s="242">
        <v>3.8802083299999999</v>
      </c>
      <c r="S16" s="242">
        <v>3.8802083299999999</v>
      </c>
      <c r="T16" s="242">
        <v>3.8802083299999999</v>
      </c>
      <c r="U16" s="242">
        <v>3.8802083299999999</v>
      </c>
      <c r="V16" s="242">
        <v>3.8802083299999999</v>
      </c>
      <c r="W16" s="241">
        <v>3.8802083299999999</v>
      </c>
    </row>
    <row r="17" spans="1:23" ht="16.2" thickBot="1">
      <c r="B17" s="48" t="s">
        <v>3</v>
      </c>
      <c r="C17" s="243">
        <f>SUM(C5:C16)</f>
        <v>29.44583334</v>
      </c>
      <c r="D17" s="243">
        <f t="shared" ref="D17:V17" si="1">SUM(D5:D16)</f>
        <v>45.80937500000001</v>
      </c>
      <c r="E17" s="243">
        <f t="shared" si="1"/>
        <v>45.80937500000001</v>
      </c>
      <c r="F17" s="243">
        <f t="shared" si="1"/>
        <v>45.80937500000001</v>
      </c>
      <c r="G17" s="243">
        <f t="shared" si="1"/>
        <v>45.80937500000001</v>
      </c>
      <c r="H17" s="243">
        <f t="shared" si="1"/>
        <v>45.80937500000001</v>
      </c>
      <c r="I17" s="243">
        <f t="shared" si="1"/>
        <v>45.80937500000001</v>
      </c>
      <c r="J17" s="243">
        <f t="shared" si="1"/>
        <v>45.80937500000001</v>
      </c>
      <c r="K17" s="243">
        <f t="shared" si="1"/>
        <v>45.80937500000001</v>
      </c>
      <c r="L17" s="243">
        <f t="shared" si="1"/>
        <v>45.80937500000001</v>
      </c>
      <c r="M17" s="243">
        <f t="shared" si="1"/>
        <v>45.80937500000001</v>
      </c>
      <c r="N17" s="243">
        <f t="shared" si="1"/>
        <v>45.80937500000001</v>
      </c>
      <c r="O17" s="243">
        <f t="shared" si="1"/>
        <v>45.80937500000001</v>
      </c>
      <c r="P17" s="243">
        <f t="shared" si="1"/>
        <v>45.80937500000001</v>
      </c>
      <c r="Q17" s="243">
        <f t="shared" si="1"/>
        <v>45.80937500000001</v>
      </c>
      <c r="R17" s="243">
        <f t="shared" si="1"/>
        <v>47.03541666000001</v>
      </c>
      <c r="S17" s="243">
        <f t="shared" si="1"/>
        <v>47.03541666000001</v>
      </c>
      <c r="T17" s="243">
        <f t="shared" si="1"/>
        <v>47.03541666000001</v>
      </c>
      <c r="U17" s="243">
        <f t="shared" si="1"/>
        <v>47.03541666000001</v>
      </c>
      <c r="V17" s="243">
        <f t="shared" si="1"/>
        <v>47.03541666000001</v>
      </c>
      <c r="W17" s="243">
        <f>SUM(C17:V17)</f>
        <v>905.95416664000015</v>
      </c>
    </row>
    <row r="18" spans="1:23" ht="16.2" thickTop="1">
      <c r="W18" s="241">
        <f>SUM(C20:C259)</f>
        <v>905.9541666399997</v>
      </c>
    </row>
    <row r="20" spans="1:23">
      <c r="A20" s="50">
        <v>1</v>
      </c>
      <c r="B20" s="54">
        <v>36526</v>
      </c>
      <c r="C20" s="240">
        <f>VLOOKUP(A20,$A$5:$C$16,3)</f>
        <v>0</v>
      </c>
    </row>
    <row r="21" spans="1:23">
      <c r="A21" s="50">
        <v>2</v>
      </c>
      <c r="B21" s="54">
        <v>36557</v>
      </c>
      <c r="C21" s="240">
        <f t="shared" ref="C21:C31" si="2">VLOOKUP(A21,$A$5:$C$16,3)</f>
        <v>0</v>
      </c>
    </row>
    <row r="22" spans="1:23">
      <c r="A22" s="50">
        <v>3</v>
      </c>
      <c r="B22" s="54">
        <v>36586</v>
      </c>
      <c r="C22" s="240">
        <f t="shared" si="2"/>
        <v>0</v>
      </c>
    </row>
    <row r="23" spans="1:23">
      <c r="A23" s="50">
        <v>4</v>
      </c>
      <c r="B23" s="54">
        <v>36617</v>
      </c>
      <c r="C23" s="240">
        <f t="shared" si="2"/>
        <v>0</v>
      </c>
    </row>
    <row r="24" spans="1:23">
      <c r="A24" s="50">
        <v>5</v>
      </c>
      <c r="B24" s="54">
        <v>36647</v>
      </c>
      <c r="C24" s="240">
        <f t="shared" si="2"/>
        <v>0</v>
      </c>
      <c r="E24" s="675"/>
    </row>
    <row r="25" spans="1:23">
      <c r="A25" s="50">
        <v>6</v>
      </c>
      <c r="B25" s="54">
        <v>36678</v>
      </c>
      <c r="C25" s="240">
        <f t="shared" si="2"/>
        <v>4.2322916700000004</v>
      </c>
      <c r="E25" s="683">
        <f>((C25+'Curve Analysis - Base Case'!G4)*'Revenues &amp; Expenses'!$S$2)/1000</f>
        <v>59.956032311770919</v>
      </c>
    </row>
    <row r="26" spans="1:23">
      <c r="A26" s="50">
        <v>7</v>
      </c>
      <c r="B26" s="54">
        <v>36708</v>
      </c>
      <c r="C26" s="240">
        <f t="shared" si="2"/>
        <v>4.1906249999999998</v>
      </c>
      <c r="E26" s="683">
        <f>((C26+'Curve Analysis - Base Case'!G5)*'Revenues &amp; Expenses'!$S$2)/1000</f>
        <v>59.600059389624214</v>
      </c>
    </row>
    <row r="27" spans="1:23">
      <c r="A27" s="50">
        <v>8</v>
      </c>
      <c r="B27" s="54">
        <v>36739</v>
      </c>
      <c r="C27" s="240">
        <f t="shared" si="2"/>
        <v>4.1906249999999998</v>
      </c>
      <c r="E27" s="683">
        <f>((C27+'Curve Analysis - Base Case'!G6)*'Revenues &amp; Expenses'!$S$2)/1000</f>
        <v>59.643307410464516</v>
      </c>
    </row>
    <row r="28" spans="1:23">
      <c r="A28" s="50">
        <v>9</v>
      </c>
      <c r="B28" s="54">
        <v>36770</v>
      </c>
      <c r="C28" s="240">
        <f t="shared" si="2"/>
        <v>4.2416666699999999</v>
      </c>
      <c r="E28" s="683">
        <f>((C28+'Curve Analysis - Base Case'!G7)*'Revenues &amp; Expenses'!$S$2)/1000</f>
        <v>60.175579712466373</v>
      </c>
    </row>
    <row r="29" spans="1:23">
      <c r="A29" s="50">
        <v>10</v>
      </c>
      <c r="B29" s="54">
        <v>36800</v>
      </c>
      <c r="C29" s="240">
        <f t="shared" si="2"/>
        <v>4.1968750000000004</v>
      </c>
      <c r="E29" s="683">
        <f>((C29+'Curve Analysis - Base Case'!G8)*'Revenues &amp; Expenses'!$S$2)/1000</f>
        <v>59.789960788488116</v>
      </c>
    </row>
    <row r="30" spans="1:23">
      <c r="A30" s="50">
        <v>11</v>
      </c>
      <c r="B30" s="54">
        <v>36831</v>
      </c>
      <c r="C30" s="240">
        <f t="shared" si="2"/>
        <v>4.1968750000000004</v>
      </c>
      <c r="E30" s="683">
        <f>((C30+'Curve Analysis - Base Case'!G9)*'Revenues &amp; Expenses'!$S$2)/1000</f>
        <v>59.833497823442961</v>
      </c>
    </row>
    <row r="31" spans="1:23">
      <c r="A31" s="50">
        <v>12</v>
      </c>
      <c r="B31" s="54">
        <v>36861</v>
      </c>
      <c r="C31" s="240">
        <f t="shared" si="2"/>
        <v>4.1968750000000004</v>
      </c>
      <c r="D31" s="51">
        <f>SUM(C20:C31)</f>
        <v>29.44583334</v>
      </c>
      <c r="E31" s="683">
        <f>((C31+'Curve Analysis - Base Case'!G10)*'Revenues &amp; Expenses'!$S$2)/1000</f>
        <v>59.877131625000011</v>
      </c>
    </row>
    <row r="32" spans="1:23">
      <c r="A32" s="50">
        <v>1</v>
      </c>
      <c r="B32" s="54">
        <v>36892</v>
      </c>
      <c r="C32" s="240">
        <f>VLOOKUP(A32,$A$5:$D$16,4)</f>
        <v>3.8354166699999999</v>
      </c>
      <c r="E32" s="683">
        <f>((C32+'Curve Analysis - Base Case'!G11)*'Revenues &amp; Expenses'!$S$2)/1000</f>
        <v>56.458453065165344</v>
      </c>
    </row>
    <row r="33" spans="1:5">
      <c r="A33" s="50">
        <v>2</v>
      </c>
      <c r="B33" s="54">
        <v>36923</v>
      </c>
      <c r="C33" s="240">
        <f t="shared" ref="C33:C43" si="3">VLOOKUP(A33,$A$5:$D$16,4)</f>
        <v>3.8354166699999999</v>
      </c>
      <c r="E33" s="683">
        <f>((C33+'Curve Analysis - Base Case'!G12)*'Revenues &amp; Expenses'!$S$2)/1000</f>
        <v>56.502281045633097</v>
      </c>
    </row>
    <row r="34" spans="1:5">
      <c r="A34" s="50">
        <v>3</v>
      </c>
      <c r="B34" s="54">
        <v>36951</v>
      </c>
      <c r="C34" s="240">
        <f t="shared" si="3"/>
        <v>3.8354166699999999</v>
      </c>
      <c r="E34" s="683">
        <f>((C34+'Curve Analysis - Base Case'!G13)*'Revenues &amp; Expenses'!$S$2)/1000</f>
        <v>56.5462064393665</v>
      </c>
    </row>
    <row r="35" spans="1:5">
      <c r="A35" s="50">
        <v>4</v>
      </c>
      <c r="B35" s="54">
        <v>36982</v>
      </c>
      <c r="C35" s="240">
        <f t="shared" si="3"/>
        <v>3.98020833</v>
      </c>
      <c r="E35" s="683">
        <f>((C35+'Curve Analysis - Base Case'!G14)*'Revenues &amp; Expenses'!$S$2)/1000</f>
        <v>57.977188774018934</v>
      </c>
    </row>
    <row r="36" spans="1:5">
      <c r="A36" s="50">
        <v>5</v>
      </c>
      <c r="B36" s="54">
        <v>37012</v>
      </c>
      <c r="C36" s="240">
        <f t="shared" si="3"/>
        <v>3.8177083299999999</v>
      </c>
      <c r="E36" s="683">
        <f>((C36+'Curve Analysis - Base Case'!G15)*'Revenues &amp; Expenses'!$S$2)/1000</f>
        <v>56.464722144305</v>
      </c>
    </row>
    <row r="37" spans="1:5">
      <c r="A37" s="50">
        <v>6</v>
      </c>
      <c r="B37" s="54">
        <v>37043</v>
      </c>
      <c r="C37" s="240">
        <f t="shared" si="3"/>
        <v>3.8093750000000002</v>
      </c>
      <c r="E37" s="683">
        <f>((C37+'Curve Analysis - Base Case'!G16)*'Revenues &amp; Expenses'!$S$2)/1000</f>
        <v>56.429116110771616</v>
      </c>
    </row>
    <row r="38" spans="1:5">
      <c r="A38" s="50">
        <v>7</v>
      </c>
      <c r="B38" s="54">
        <v>37073</v>
      </c>
      <c r="C38" s="240">
        <f t="shared" si="3"/>
        <v>3.7718750000000001</v>
      </c>
      <c r="E38" s="683">
        <f>((C38+'Curve Analysis - Base Case'!G17)*'Revenues &amp; Expenses'!$S$2)/1000</f>
        <v>56.114220827519063</v>
      </c>
    </row>
    <row r="39" spans="1:5">
      <c r="A39" s="50">
        <v>8</v>
      </c>
      <c r="B39" s="54">
        <v>37104</v>
      </c>
      <c r="C39" s="240">
        <f t="shared" si="3"/>
        <v>3.7718750000000001</v>
      </c>
      <c r="E39" s="683">
        <f>((C39+'Curve Analysis - Base Case'!G18)*'Revenues &amp; Expenses'!$S$2)/1000</f>
        <v>56.158636544922061</v>
      </c>
    </row>
    <row r="40" spans="1:5">
      <c r="A40" s="50">
        <v>9</v>
      </c>
      <c r="B40" s="54">
        <v>37135</v>
      </c>
      <c r="C40" s="240">
        <f t="shared" si="3"/>
        <v>3.8177083299999999</v>
      </c>
      <c r="E40" s="683">
        <f>((C40+'Curve Analysis - Base Case'!G19)*'Revenues &amp; Expenses'!$S$2)/1000</f>
        <v>56.642188449980864</v>
      </c>
    </row>
    <row r="41" spans="1:5">
      <c r="A41" s="50">
        <v>10</v>
      </c>
      <c r="B41" s="54">
        <v>37165</v>
      </c>
      <c r="C41" s="240">
        <f t="shared" si="3"/>
        <v>3.7781250000000002</v>
      </c>
      <c r="E41" s="683">
        <f>((C41+'Curve Analysis - Base Case'!G20)*'Revenues &amp; Expenses'!$S$2)/1000</f>
        <v>56.307633107902298</v>
      </c>
    </row>
    <row r="42" spans="1:5">
      <c r="A42" s="50">
        <v>11</v>
      </c>
      <c r="B42" s="54">
        <v>37196</v>
      </c>
      <c r="C42" s="240">
        <f t="shared" si="3"/>
        <v>3.7781250000000002</v>
      </c>
      <c r="E42" s="683">
        <f>((C42+'Curve Analysis - Base Case'!G21)*'Revenues &amp; Expenses'!$S$2)/1000</f>
        <v>56.352345642800913</v>
      </c>
    </row>
    <row r="43" spans="1:5">
      <c r="A43" s="50">
        <v>12</v>
      </c>
      <c r="B43" s="54">
        <v>37226</v>
      </c>
      <c r="C43" s="240">
        <f t="shared" si="3"/>
        <v>3.7781250000000002</v>
      </c>
      <c r="D43" s="51">
        <f>SUM(C32:C43)</f>
        <v>45.80937500000001</v>
      </c>
      <c r="E43" s="683">
        <f>((C43+'Curve Analysis - Base Case'!G22)*'Revenues &amp; Expenses'!$S$2)/1000</f>
        <v>56.397157556999993</v>
      </c>
    </row>
    <row r="44" spans="1:5">
      <c r="A44" s="50">
        <v>1</v>
      </c>
      <c r="B44" s="54">
        <v>37257</v>
      </c>
      <c r="C44" s="240">
        <f>VLOOKUP(A44,$A$5:$E$16,5)</f>
        <v>3.8354166699999999</v>
      </c>
      <c r="E44" s="683">
        <f>((C44+'Curve Analysis - Base Case'!G23)*'Revenues &amp; Expenses'!$S$2)/1000</f>
        <v>56.990865978312684</v>
      </c>
    </row>
    <row r="45" spans="1:5">
      <c r="A45" s="50">
        <v>2</v>
      </c>
      <c r="B45" s="54">
        <v>37288</v>
      </c>
      <c r="C45" s="240">
        <f t="shared" ref="C45:C55" si="4">VLOOKUP(A45,$A$5:$E$16,5)</f>
        <v>3.8354166699999999</v>
      </c>
      <c r="E45" s="683">
        <f>((C45+'Curve Analysis - Base Case'!G24)*'Revenues &amp; Expenses'!$S$2)/1000</f>
        <v>57.035877314253071</v>
      </c>
    </row>
    <row r="46" spans="1:5">
      <c r="A46" s="50">
        <v>3</v>
      </c>
      <c r="B46" s="54">
        <v>37316</v>
      </c>
      <c r="C46" s="240">
        <f t="shared" si="4"/>
        <v>3.8354166699999999</v>
      </c>
      <c r="E46" s="683">
        <f>((C46+'Curve Analysis - Base Case'!G25)*'Revenues &amp; Expenses'!$S$2)/1000</f>
        <v>57.080988693617286</v>
      </c>
    </row>
    <row r="47" spans="1:5">
      <c r="A47" s="50">
        <v>4</v>
      </c>
      <c r="B47" s="54">
        <v>37347</v>
      </c>
      <c r="C47" s="240">
        <f t="shared" si="4"/>
        <v>3.98020833</v>
      </c>
      <c r="E47" s="683">
        <f>((C47+'Curve Analysis - Base Case'!G26)*'Revenues &amp; Expenses'!$S$2)/1000</f>
        <v>58.513159649904551</v>
      </c>
    </row>
    <row r="48" spans="1:5">
      <c r="A48" s="50">
        <v>5</v>
      </c>
      <c r="B48" s="54">
        <v>37377</v>
      </c>
      <c r="C48" s="240">
        <f t="shared" si="4"/>
        <v>3.8177083299999999</v>
      </c>
      <c r="E48" s="683">
        <f>((C48+'Curve Analysis - Base Case'!G27)*'Revenues &amp; Expenses'!$S$2)/1000</f>
        <v>57.001884283688341</v>
      </c>
    </row>
    <row r="49" spans="1:5">
      <c r="A49" s="50">
        <v>6</v>
      </c>
      <c r="B49" s="54">
        <v>37408</v>
      </c>
      <c r="C49" s="240">
        <f t="shared" si="4"/>
        <v>3.8093750000000002</v>
      </c>
      <c r="E49" s="683">
        <f>((C49+'Curve Analysis - Base Case'!G28)*'Revenues &amp; Expenses'!$S$2)/1000</f>
        <v>56.967472161387455</v>
      </c>
    </row>
    <row r="50" spans="1:5">
      <c r="A50" s="50">
        <v>7</v>
      </c>
      <c r="B50" s="54">
        <v>37438</v>
      </c>
      <c r="C50" s="240">
        <f t="shared" si="4"/>
        <v>3.7718750000000001</v>
      </c>
      <c r="E50" s="683">
        <f>((C50+'Curve Analysis - Base Case'!G29)*'Revenues &amp; Expenses'!$S$2)/1000</f>
        <v>56.653773442987074</v>
      </c>
    </row>
    <row r="51" spans="1:5">
      <c r="A51" s="50">
        <v>8</v>
      </c>
      <c r="B51" s="54">
        <v>37469</v>
      </c>
      <c r="C51" s="240">
        <f t="shared" si="4"/>
        <v>3.7718750000000001</v>
      </c>
      <c r="E51" s="683">
        <f>((C51+'Curve Analysis - Base Case'!G30)*'Revenues &amp; Expenses'!$S$2)/1000</f>
        <v>56.699388384759949</v>
      </c>
    </row>
    <row r="52" spans="1:5">
      <c r="A52" s="50">
        <v>9</v>
      </c>
      <c r="B52" s="54">
        <v>37500</v>
      </c>
      <c r="C52" s="240">
        <f t="shared" si="4"/>
        <v>3.8177083299999999</v>
      </c>
      <c r="E52" s="683">
        <f>((C52+'Curve Analysis - Base Case'!G31)*'Revenues &amp; Expenses'!$S$2)/1000</f>
        <v>57.184142179617453</v>
      </c>
    </row>
    <row r="53" spans="1:5">
      <c r="A53" s="50">
        <v>10</v>
      </c>
      <c r="B53" s="54">
        <v>37530</v>
      </c>
      <c r="C53" s="240">
        <f t="shared" si="4"/>
        <v>3.7781250000000002</v>
      </c>
      <c r="E53" s="683">
        <f>((C53+'Curve Analysis - Base Case'!G32)*'Revenues &amp; Expenses'!$S$2)/1000</f>
        <v>56.850791398690667</v>
      </c>
    </row>
    <row r="54" spans="1:5">
      <c r="A54" s="50">
        <v>11</v>
      </c>
      <c r="B54" s="54">
        <v>37561</v>
      </c>
      <c r="C54" s="240">
        <f t="shared" si="4"/>
        <v>3.7781250000000002</v>
      </c>
      <c r="E54" s="683">
        <f>((C54+'Curve Analysis - Base Case'!G33)*'Revenues &amp; Expenses'!$S$2)/1000</f>
        <v>56.896711172031537</v>
      </c>
    </row>
    <row r="55" spans="1:5">
      <c r="A55" s="50">
        <v>12</v>
      </c>
      <c r="B55" s="54">
        <v>37591</v>
      </c>
      <c r="C55" s="240">
        <f t="shared" si="4"/>
        <v>3.7781250000000002</v>
      </c>
      <c r="D55" s="51">
        <f>SUM(C44:C55)</f>
        <v>45.80937500000001</v>
      </c>
      <c r="E55" s="683">
        <f>((C55+'Curve Analysis - Base Case'!G34)*'Revenues &amp; Expenses'!$S$2)/1000</f>
        <v>56.942733007914001</v>
      </c>
    </row>
    <row r="56" spans="1:5">
      <c r="A56" s="50">
        <v>1</v>
      </c>
      <c r="B56" s="54">
        <v>37622</v>
      </c>
      <c r="C56" s="240">
        <f>VLOOKUP(A56,$A$5:$F$16,6)</f>
        <v>3.8354166699999999</v>
      </c>
      <c r="E56" s="683">
        <f>((C56+'Curve Analysis - Base Case'!G35)*'Revenues &amp; Expenses'!$S$2)/1000</f>
        <v>57.537654040115022</v>
      </c>
    </row>
    <row r="57" spans="1:5">
      <c r="A57" s="50">
        <v>2</v>
      </c>
      <c r="B57" s="54">
        <v>37653</v>
      </c>
      <c r="C57" s="240">
        <f t="shared" ref="C57:C67" si="5">VLOOKUP(A57,$A$5:$F$16,6)</f>
        <v>3.8354166699999999</v>
      </c>
      <c r="E57" s="683">
        <f>((C57+'Curve Analysis - Base Case'!G36)*'Revenues &amp; Expenses'!$S$2)/1000</f>
        <v>57.583880682125795</v>
      </c>
    </row>
    <row r="58" spans="1:5">
      <c r="A58" s="50">
        <v>3</v>
      </c>
      <c r="B58" s="54">
        <v>37681</v>
      </c>
      <c r="C58" s="240">
        <f t="shared" si="5"/>
        <v>3.8354166699999999</v>
      </c>
      <c r="E58" s="683">
        <f>((C58+'Curve Analysis - Base Case'!G37)*'Revenues &amp; Expenses'!$S$2)/1000</f>
        <v>57.630210068732836</v>
      </c>
    </row>
    <row r="59" spans="1:5">
      <c r="A59" s="50">
        <v>4</v>
      </c>
      <c r="B59" s="54">
        <v>37712</v>
      </c>
      <c r="C59" s="240">
        <f t="shared" si="5"/>
        <v>3.98020833</v>
      </c>
      <c r="E59" s="683">
        <f>((C59+'Curve Analysis - Base Case'!G38)*'Revenues &amp; Expenses'!$S$2)/1000</f>
        <v>59.063601739439079</v>
      </c>
    </row>
    <row r="60" spans="1:5">
      <c r="A60" s="50">
        <v>5</v>
      </c>
      <c r="B60" s="54">
        <v>37742</v>
      </c>
      <c r="C60" s="240">
        <f t="shared" si="5"/>
        <v>3.8177083299999999</v>
      </c>
      <c r="E60" s="683">
        <f>((C60+'Curve Analysis - Base Case'!G39)*'Revenues &amp; Expenses'!$S$2)/1000</f>
        <v>57.553549800835043</v>
      </c>
    </row>
    <row r="61" spans="1:5">
      <c r="A61" s="50">
        <v>6</v>
      </c>
      <c r="B61" s="54">
        <v>37773</v>
      </c>
      <c r="C61" s="240">
        <f t="shared" si="5"/>
        <v>3.8093750000000002</v>
      </c>
      <c r="E61" s="683">
        <f>((C61+'Curve Analysis - Base Case'!G40)*'Revenues &amp; Expenses'!$S$2)/1000</f>
        <v>57.520363825369913</v>
      </c>
    </row>
    <row r="62" spans="1:5">
      <c r="A62" s="50">
        <v>7</v>
      </c>
      <c r="B62" s="54">
        <v>37803</v>
      </c>
      <c r="C62" s="240">
        <f t="shared" si="5"/>
        <v>3.7718750000000001</v>
      </c>
      <c r="E62" s="683">
        <f>((C62+'Curve Analysis - Base Case'!G41)*'Revenues &amp; Expenses'!$S$2)/1000</f>
        <v>57.207893979072722</v>
      </c>
    </row>
    <row r="63" spans="1:5">
      <c r="A63" s="50">
        <v>8</v>
      </c>
      <c r="B63" s="54">
        <v>37834</v>
      </c>
      <c r="C63" s="240">
        <f t="shared" si="5"/>
        <v>3.7718750000000001</v>
      </c>
      <c r="E63" s="683">
        <f>((C63+'Curve Analysis - Base Case'!G42)*'Revenues &amp; Expenses'!$S$2)/1000</f>
        <v>57.254740524273473</v>
      </c>
    </row>
    <row r="64" spans="1:5">
      <c r="A64" s="50">
        <v>9</v>
      </c>
      <c r="B64" s="54">
        <v>37865</v>
      </c>
      <c r="C64" s="240">
        <f t="shared" si="5"/>
        <v>3.8177083299999999</v>
      </c>
      <c r="E64" s="683">
        <f>((C64+'Curve Analysis - Base Case'!G43)*'Revenues &amp; Expenses'!$S$2)/1000</f>
        <v>57.740728659954229</v>
      </c>
    </row>
    <row r="65" spans="1:5">
      <c r="A65" s="50">
        <v>10</v>
      </c>
      <c r="B65" s="54">
        <v>37895</v>
      </c>
      <c r="C65" s="240">
        <f t="shared" si="5"/>
        <v>3.7781250000000002</v>
      </c>
      <c r="E65" s="683">
        <f>((C65+'Curve Analysis - Base Case'!G44)*'Revenues &amp; Expenses'!$S$2)/1000</f>
        <v>57.408614963330315</v>
      </c>
    </row>
    <row r="66" spans="1:5">
      <c r="A66" s="50">
        <v>11</v>
      </c>
      <c r="B66" s="54">
        <v>37926</v>
      </c>
      <c r="C66" s="240">
        <f t="shared" si="5"/>
        <v>3.7781250000000002</v>
      </c>
      <c r="E66" s="683">
        <f>((C66+'Curve Analysis - Base Case'!G45)*'Revenues &amp; Expenses'!$S$2)/1000</f>
        <v>57.455774570551391</v>
      </c>
    </row>
    <row r="67" spans="1:5">
      <c r="A67" s="50">
        <v>12</v>
      </c>
      <c r="B67" s="54">
        <v>37956</v>
      </c>
      <c r="C67" s="240">
        <f t="shared" si="5"/>
        <v>3.7781250000000002</v>
      </c>
      <c r="D67" s="51">
        <f>SUM(C56:C67)</f>
        <v>45.80937500000001</v>
      </c>
      <c r="E67" s="683">
        <f>((C67+'Curve Analysis - Base Case'!G46)*'Revenues &amp; Expenses'!$S$2)/1000</f>
        <v>57.503038996002672</v>
      </c>
    </row>
    <row r="68" spans="1:5">
      <c r="A68" s="50">
        <v>1</v>
      </c>
      <c r="B68" s="54">
        <v>37987</v>
      </c>
      <c r="C68" s="240">
        <f>VLOOKUP(A68,$A$5:$G$16,7)</f>
        <v>3.8354166699999999</v>
      </c>
      <c r="E68" s="683">
        <f>((C68+'Curve Analysis - Base Case'!G47)*'Revenues &amp; Expenses'!$S$2)/1000</f>
        <v>58.09920537958601</v>
      </c>
    </row>
    <row r="69" spans="1:5">
      <c r="A69" s="50">
        <v>2</v>
      </c>
      <c r="B69" s="54">
        <v>38018</v>
      </c>
      <c r="C69" s="240">
        <f t="shared" ref="C69:C79" si="6">VLOOKUP(A69,$A$5:$G$16,7)</f>
        <v>3.8354166699999999</v>
      </c>
      <c r="E69" s="683">
        <f>((C69+'Curve Analysis - Base Case'!G48)*'Revenues &amp; Expenses'!$S$2)/1000</f>
        <v>58.146680140931089</v>
      </c>
    </row>
    <row r="70" spans="1:5">
      <c r="A70" s="50">
        <v>3</v>
      </c>
      <c r="B70" s="54">
        <v>38047</v>
      </c>
      <c r="C70" s="240">
        <f t="shared" si="6"/>
        <v>3.8354166699999999</v>
      </c>
      <c r="E70" s="683">
        <f>((C70+'Curve Analysis - Base Case'!G49)*'Revenues &amp; Expenses'!$S$2)/1000</f>
        <v>58.194260420976512</v>
      </c>
    </row>
    <row r="71" spans="1:5">
      <c r="A71" s="50">
        <v>4</v>
      </c>
      <c r="B71" s="54">
        <v>38078</v>
      </c>
      <c r="C71" s="240">
        <f t="shared" si="6"/>
        <v>3.98020833</v>
      </c>
      <c r="E71" s="683">
        <f>((C71+'Curve Analysis - Base Case'!G50)*'Revenues &amp; Expenses'!$S$2)/1000</f>
        <v>59.628905765391032</v>
      </c>
    </row>
    <row r="72" spans="1:5">
      <c r="A72" s="50">
        <v>5</v>
      </c>
      <c r="B72" s="54">
        <v>38108</v>
      </c>
      <c r="C72" s="240">
        <f t="shared" si="6"/>
        <v>3.8177083299999999</v>
      </c>
      <c r="E72" s="683">
        <f>((C72+'Curve Analysis - Base Case'!G51)*'Revenues &amp; Expenses'!$S$2)/1000</f>
        <v>58.120110286944687</v>
      </c>
    </row>
    <row r="73" spans="1:5">
      <c r="A73" s="50">
        <v>6</v>
      </c>
      <c r="B73" s="54">
        <v>38139</v>
      </c>
      <c r="C73" s="240">
        <f t="shared" si="6"/>
        <v>3.8093750000000002</v>
      </c>
      <c r="E73" s="683">
        <f>((C73+'Curve Analysis - Base Case'!G52)*'Revenues &amp; Expenses'!$S$2)/1000</f>
        <v>58.088183564279895</v>
      </c>
    </row>
    <row r="74" spans="1:5">
      <c r="A74" s="50">
        <v>7</v>
      </c>
      <c r="B74" s="54">
        <v>38169</v>
      </c>
      <c r="C74" s="240">
        <f t="shared" si="6"/>
        <v>3.7718750000000001</v>
      </c>
      <c r="E74" s="683">
        <f>((C74+'Curve Analysis - Base Case'!G53)*'Revenues &amp; Expenses'!$S$2)/1000</f>
        <v>57.776975769632692</v>
      </c>
    </row>
    <row r="75" spans="1:5">
      <c r="A75" s="50">
        <v>8</v>
      </c>
      <c r="B75" s="54">
        <v>38200</v>
      </c>
      <c r="C75" s="240">
        <f t="shared" si="6"/>
        <v>3.7718750000000001</v>
      </c>
      <c r="E75" s="683">
        <f>((C75+'Curve Analysis - Base Case'!G54)*'Revenues &amp; Expenses'!$S$2)/1000</f>
        <v>57.825087171553854</v>
      </c>
    </row>
    <row r="76" spans="1:5">
      <c r="A76" s="50">
        <v>9</v>
      </c>
      <c r="B76" s="54">
        <v>38231</v>
      </c>
      <c r="C76" s="240">
        <f t="shared" si="6"/>
        <v>3.8177083299999999</v>
      </c>
      <c r="E76" s="683">
        <f>((C76+'Curve Analysis - Base Case'!G55)*'Revenues &amp; Expenses'!$S$2)/1000</f>
        <v>58.312342975260108</v>
      </c>
    </row>
    <row r="77" spans="1:5">
      <c r="A77" s="50">
        <v>10</v>
      </c>
      <c r="B77" s="54">
        <v>38261</v>
      </c>
      <c r="C77" s="240">
        <f t="shared" si="6"/>
        <v>3.7781250000000002</v>
      </c>
      <c r="E77" s="683">
        <f>((C77+'Curve Analysis - Base Case'!G56)*'Revenues &amp; Expenses'!$S$2)/1000</f>
        <v>57.981499764215229</v>
      </c>
    </row>
    <row r="78" spans="1:5">
      <c r="A78" s="50">
        <v>11</v>
      </c>
      <c r="B78" s="54">
        <v>38292</v>
      </c>
      <c r="C78" s="240">
        <f t="shared" si="6"/>
        <v>3.7781250000000002</v>
      </c>
      <c r="E78" s="683">
        <f>((C78+'Curve Analysis - Base Case'!G57)*'Revenues &amp; Expenses'!$S$2)/1000</f>
        <v>58.029932680831273</v>
      </c>
    </row>
    <row r="79" spans="1:5">
      <c r="A79" s="50">
        <v>12</v>
      </c>
      <c r="B79" s="54">
        <v>38322</v>
      </c>
      <c r="C79" s="240">
        <f t="shared" si="6"/>
        <v>3.7781250000000002</v>
      </c>
      <c r="D79" s="51">
        <f>SUM(C68:C79)</f>
        <v>45.80937500000001</v>
      </c>
      <c r="E79" s="683">
        <f>((C79+'Curve Analysis - Base Case'!G58)*'Revenues &amp; Expenses'!$S$2)/1000</f>
        <v>58.078473245769743</v>
      </c>
    </row>
    <row r="80" spans="1:5">
      <c r="A80" s="50">
        <v>1</v>
      </c>
      <c r="B80" s="54">
        <v>38353</v>
      </c>
      <c r="C80" s="240">
        <f>VLOOKUP(A80,$A$5:$H$16,8)</f>
        <v>3.8354166699999999</v>
      </c>
      <c r="E80" s="683">
        <f>((C80+'Curve Analysis - Base Case'!G59)*'Revenues &amp; Expenses'!$S$2)/1000</f>
        <v>58.675918605222719</v>
      </c>
    </row>
    <row r="81" spans="1:5">
      <c r="A81" s="50">
        <v>2</v>
      </c>
      <c r="B81" s="54">
        <v>38384</v>
      </c>
      <c r="C81" s="240">
        <f t="shared" ref="C81:C91" si="7">VLOOKUP(A81,$A$5:$H$16,8)</f>
        <v>3.8354166699999999</v>
      </c>
      <c r="E81" s="683">
        <f>((C81+'Curve Analysis - Base Case'!G60)*'Revenues &amp; Expenses'!$S$2)/1000</f>
        <v>58.724675185124106</v>
      </c>
    </row>
    <row r="82" spans="1:5">
      <c r="A82" s="50">
        <v>3</v>
      </c>
      <c r="B82" s="54">
        <v>38412</v>
      </c>
      <c r="C82" s="240">
        <f t="shared" si="7"/>
        <v>3.8354166699999999</v>
      </c>
      <c r="E82" s="683">
        <f>((C82+'Curve Analysis - Base Case'!G61)*'Revenues &amp; Expenses'!$S$2)/1000</f>
        <v>58.773540132730766</v>
      </c>
    </row>
    <row r="83" spans="1:5">
      <c r="A83" s="50">
        <v>4</v>
      </c>
      <c r="B83" s="54">
        <v>38443</v>
      </c>
      <c r="C83" s="240">
        <f t="shared" si="7"/>
        <v>3.98020833</v>
      </c>
      <c r="E83" s="683">
        <f>((C83+'Curve Analysis - Base Case'!G62)*'Revenues &amp; Expenses'!$S$2)/1000</f>
        <v>60.209473000043715</v>
      </c>
    </row>
    <row r="84" spans="1:5">
      <c r="A84" s="50">
        <v>5</v>
      </c>
      <c r="B84" s="54">
        <v>38473</v>
      </c>
      <c r="C84" s="240">
        <f t="shared" si="7"/>
        <v>3.8177083299999999</v>
      </c>
      <c r="E84" s="683">
        <f>((C84+'Curve Analysis - Base Case'!G63)*'Revenues &amp; Expenses'!$S$2)/1000</f>
        <v>58.701967906179298</v>
      </c>
    </row>
    <row r="85" spans="1:5">
      <c r="A85" s="50">
        <v>6</v>
      </c>
      <c r="B85" s="54">
        <v>38504</v>
      </c>
      <c r="C85" s="240">
        <f t="shared" si="7"/>
        <v>3.8093750000000002</v>
      </c>
      <c r="E85" s="683">
        <f>((C85+'Curve Analysis - Base Case'!G64)*'Revenues &amp; Expenses'!$S$2)/1000</f>
        <v>58.671334436140455</v>
      </c>
    </row>
    <row r="86" spans="1:5">
      <c r="A86" s="50">
        <v>7</v>
      </c>
      <c r="B86" s="54">
        <v>38534</v>
      </c>
      <c r="C86" s="240">
        <f t="shared" si="7"/>
        <v>3.7718750000000001</v>
      </c>
      <c r="E86" s="683">
        <f>((C86+'Curve Analysis - Base Case'!G65)*'Revenues &amp; Expenses'!$S$2)/1000</f>
        <v>58.361422768537771</v>
      </c>
    </row>
    <row r="87" spans="1:5">
      <c r="A87" s="50">
        <v>8</v>
      </c>
      <c r="B87" s="54">
        <v>38565</v>
      </c>
      <c r="C87" s="240">
        <f t="shared" si="7"/>
        <v>3.7718750000000001</v>
      </c>
      <c r="E87" s="683">
        <f>((C87+'Curve Analysis - Base Case'!G66)*'Revenues &amp; Expenses'!$S$2)/1000</f>
        <v>58.41083317831081</v>
      </c>
    </row>
    <row r="88" spans="1:5">
      <c r="A88" s="50">
        <v>9</v>
      </c>
      <c r="B88" s="54">
        <v>38596</v>
      </c>
      <c r="C88" s="240">
        <f t="shared" si="7"/>
        <v>3.8177083299999999</v>
      </c>
      <c r="E88" s="683">
        <f>((C88+'Curve Analysis - Base Case'!G67)*'Revenues &amp; Expenses'!$S$2)/1000</f>
        <v>58.899390877079234</v>
      </c>
    </row>
    <row r="89" spans="1:5">
      <c r="A89" s="50">
        <v>10</v>
      </c>
      <c r="B89" s="54">
        <v>38626</v>
      </c>
      <c r="C89" s="240">
        <f t="shared" si="7"/>
        <v>3.7781250000000002</v>
      </c>
      <c r="E89" s="683">
        <f>((C89+'Curve Analysis - Base Case'!G68)*'Revenues &amp; Expenses'!$S$2)/1000</f>
        <v>58.569852454724035</v>
      </c>
    </row>
    <row r="90" spans="1:5">
      <c r="A90" s="50">
        <v>11</v>
      </c>
      <c r="B90" s="54">
        <v>38657</v>
      </c>
      <c r="C90" s="240">
        <f t="shared" si="7"/>
        <v>3.7781250000000002</v>
      </c>
      <c r="E90" s="683">
        <f>((C90+'Curve Analysis - Base Case'!G69)*'Revenues &amp; Expenses'!$S$2)/1000</f>
        <v>58.619593060088732</v>
      </c>
    </row>
    <row r="91" spans="1:5">
      <c r="A91" s="50">
        <v>12</v>
      </c>
      <c r="B91" s="54">
        <v>38687</v>
      </c>
      <c r="C91" s="240">
        <f t="shared" si="7"/>
        <v>3.7781250000000002</v>
      </c>
      <c r="D91" s="51">
        <f>SUM(C80:C91)</f>
        <v>45.80937500000001</v>
      </c>
      <c r="E91" s="683">
        <f>((C91+'Curve Analysis - Base Case'!G70)*'Revenues &amp; Expenses'!$S$2)/1000</f>
        <v>58.669444220280525</v>
      </c>
    </row>
    <row r="92" spans="1:5">
      <c r="A92" s="50">
        <v>1</v>
      </c>
      <c r="B92" s="54">
        <v>38718</v>
      </c>
      <c r="C92" s="240">
        <f>VLOOKUP(A92,$A$5:$I$16,9)</f>
        <v>3.8354166699999999</v>
      </c>
      <c r="E92" s="683">
        <f>((C92+'Curve Analysis - Base Case'!G71)*'Revenues &amp; Expenses'!$S$2)/1000</f>
        <v>59.268203087951619</v>
      </c>
    </row>
    <row r="93" spans="1:5">
      <c r="A93" s="50">
        <v>2</v>
      </c>
      <c r="B93" s="54">
        <v>38749</v>
      </c>
      <c r="C93" s="240">
        <f t="shared" ref="C93:C103" si="8">VLOOKUP(A93,$A$5:$I$16,9)</f>
        <v>3.8354166699999999</v>
      </c>
      <c r="E93" s="683">
        <f>((C93+'Curve Analysis - Base Case'!G72)*'Revenues &amp; Expenses'!$S$2)/1000</f>
        <v>59.318276095510342</v>
      </c>
    </row>
    <row r="94" spans="1:5">
      <c r="A94" s="50">
        <v>3</v>
      </c>
      <c r="B94" s="54">
        <v>38777</v>
      </c>
      <c r="C94" s="240">
        <f t="shared" si="8"/>
        <v>3.8354166699999999</v>
      </c>
      <c r="E94" s="683">
        <f>((C94+'Curve Analysis - Base Case'!G73)*'Revenues &amp; Expenses'!$S$2)/1000</f>
        <v>59.368460396702382</v>
      </c>
    </row>
    <row r="95" spans="1:5">
      <c r="A95" s="50">
        <v>4</v>
      </c>
      <c r="B95" s="54">
        <v>38808</v>
      </c>
      <c r="C95" s="240">
        <f t="shared" si="8"/>
        <v>3.98020833</v>
      </c>
      <c r="E95" s="683">
        <f>((C95+'Curve Analysis - Base Case'!G74)*'Revenues &amp; Expenses'!$S$2)/1000</f>
        <v>60.805715550031991</v>
      </c>
    </row>
    <row r="96" spans="1:5">
      <c r="A96" s="50">
        <v>5</v>
      </c>
      <c r="B96" s="54">
        <v>38838</v>
      </c>
      <c r="C96" s="240">
        <f t="shared" si="8"/>
        <v>3.8177083299999999</v>
      </c>
      <c r="E96" s="683">
        <f>((C96+'Curve Analysis - Base Case'!G75)*'Revenues &amp; Expenses'!$S$2)/1000</f>
        <v>59.299535681133243</v>
      </c>
    </row>
    <row r="97" spans="1:5">
      <c r="A97" s="50">
        <v>6</v>
      </c>
      <c r="B97" s="54">
        <v>38869</v>
      </c>
      <c r="C97" s="240">
        <f t="shared" si="8"/>
        <v>3.8093750000000002</v>
      </c>
      <c r="E97" s="683">
        <f>((C97+'Curve Analysis - Base Case'!G76)*'Revenues &amp; Expenses'!$S$2)/1000</f>
        <v>59.270230381541246</v>
      </c>
    </row>
    <row r="98" spans="1:5">
      <c r="A98" s="50">
        <v>7</v>
      </c>
      <c r="B98" s="54">
        <v>38899</v>
      </c>
      <c r="C98" s="240">
        <f t="shared" si="8"/>
        <v>3.7718750000000001</v>
      </c>
      <c r="E98" s="683">
        <f>((C98+'Curve Analysis - Base Case'!G77)*'Revenues &amp; Expenses'!$S$2)/1000</f>
        <v>58.961649836413287</v>
      </c>
    </row>
    <row r="99" spans="1:5">
      <c r="A99" s="50">
        <v>8</v>
      </c>
      <c r="B99" s="54">
        <v>38930</v>
      </c>
      <c r="C99" s="240">
        <f t="shared" si="8"/>
        <v>3.7718750000000001</v>
      </c>
      <c r="E99" s="683">
        <f>((C99+'Curve Analysis - Base Case'!G78)*'Revenues &amp; Expenses'!$S$2)/1000</f>
        <v>59.012394327250199</v>
      </c>
    </row>
    <row r="100" spans="1:5">
      <c r="A100" s="50">
        <v>9</v>
      </c>
      <c r="B100" s="54">
        <v>38961</v>
      </c>
      <c r="C100" s="240">
        <f t="shared" si="8"/>
        <v>3.8177083299999999</v>
      </c>
      <c r="E100" s="683">
        <f>((C100+'Curve Analysis - Base Case'!G79)*'Revenues &amp; Expenses'!$S$2)/1000</f>
        <v>59.502289072247478</v>
      </c>
    </row>
    <row r="101" spans="1:5">
      <c r="A101" s="50">
        <v>10</v>
      </c>
      <c r="B101" s="54">
        <v>38991</v>
      </c>
      <c r="C101" s="240">
        <f t="shared" si="8"/>
        <v>3.7781250000000002</v>
      </c>
      <c r="E101" s="683">
        <f>((C101+'Curve Analysis - Base Case'!G80)*'Revenues &amp; Expenses'!$S$2)/1000</f>
        <v>59.174090667876591</v>
      </c>
    </row>
    <row r="102" spans="1:5">
      <c r="A102" s="50">
        <v>11</v>
      </c>
      <c r="B102" s="54">
        <v>39022</v>
      </c>
      <c r="C102" s="240">
        <f t="shared" si="8"/>
        <v>3.7781250000000002</v>
      </c>
      <c r="E102" s="683">
        <f>((C102+'Curve Analysis - Base Case'!G81)*'Revenues &amp; Expenses'!$S$2)/1000</f>
        <v>59.22517426958612</v>
      </c>
    </row>
    <row r="103" spans="1:5">
      <c r="A103" s="50">
        <v>12</v>
      </c>
      <c r="B103" s="54">
        <v>39052</v>
      </c>
      <c r="C103" s="240">
        <f t="shared" si="8"/>
        <v>3.7781250000000002</v>
      </c>
      <c r="D103" s="51">
        <f>SUM(C92:C103)</f>
        <v>45.80937500000001</v>
      </c>
      <c r="E103" s="683">
        <f>((C103+'Curve Analysis - Base Case'!G82)*'Revenues &amp; Expenses'!$S$2)/1000</f>
        <v>59.276371411103099</v>
      </c>
    </row>
    <row r="104" spans="1:5">
      <c r="A104" s="50">
        <v>1</v>
      </c>
      <c r="B104" s="54">
        <v>39083</v>
      </c>
      <c r="C104" s="240">
        <f t="shared" ref="C104:C115" si="9">VLOOKUP(A116,$A$5:$J$16,10)</f>
        <v>3.8354166699999999</v>
      </c>
      <c r="E104" s="683">
        <f>((C104+'Curve Analysis - Base Case'!G83)*'Revenues &amp; Expenses'!$S$2)/1000</f>
        <v>59.876479251714208</v>
      </c>
    </row>
    <row r="105" spans="1:5">
      <c r="A105" s="50">
        <v>2</v>
      </c>
      <c r="B105" s="54">
        <v>39114</v>
      </c>
      <c r="C105" s="240">
        <f t="shared" si="9"/>
        <v>3.8354166699999999</v>
      </c>
      <c r="E105" s="683">
        <f>((C105+'Curve Analysis - Base Case'!G84)*'Revenues &amp; Expenses'!$S$2)/1000</f>
        <v>59.927904230477019</v>
      </c>
    </row>
    <row r="106" spans="1:5">
      <c r="A106" s="50">
        <v>3</v>
      </c>
      <c r="B106" s="54">
        <v>39142</v>
      </c>
      <c r="C106" s="240">
        <f t="shared" si="9"/>
        <v>3.8354166699999999</v>
      </c>
      <c r="E106" s="683">
        <f>((C106+'Curve Analysis - Base Case'!G85)*'Revenues &amp; Expenses'!$S$2)/1000</f>
        <v>59.979443507801243</v>
      </c>
    </row>
    <row r="107" spans="1:5">
      <c r="A107" s="50">
        <v>4</v>
      </c>
      <c r="B107" s="54">
        <v>39173</v>
      </c>
      <c r="C107" s="240">
        <f t="shared" si="9"/>
        <v>3.98020833</v>
      </c>
      <c r="E107" s="683">
        <f>((C107+'Curve Analysis - Base Case'!G86)*'Revenues &amp; Expenses'!$S$2)/1000</f>
        <v>61.418056648869971</v>
      </c>
    </row>
    <row r="108" spans="1:5">
      <c r="A108" s="50">
        <v>5</v>
      </c>
      <c r="B108" s="54">
        <v>39203</v>
      </c>
      <c r="C108" s="240">
        <f t="shared" si="9"/>
        <v>3.8177083299999999</v>
      </c>
      <c r="E108" s="683">
        <f>((C108+'Curve Analysis - Base Case'!G87)*'Revenues &amp; Expenses'!$S$2)/1000</f>
        <v>59.91323778601096</v>
      </c>
    </row>
    <row r="109" spans="1:5">
      <c r="A109" s="50">
        <v>6</v>
      </c>
      <c r="B109" s="54">
        <v>39234</v>
      </c>
      <c r="C109" s="240">
        <f t="shared" si="9"/>
        <v>3.8093750000000002</v>
      </c>
      <c r="E109" s="683">
        <f>((C109+'Curve Analysis - Base Case'!G88)*'Revenues &amp; Expenses'!$S$2)/1000</f>
        <v>59.885296517467857</v>
      </c>
    </row>
    <row r="110" spans="1:5">
      <c r="A110" s="50">
        <v>7</v>
      </c>
      <c r="B110" s="54">
        <v>39264</v>
      </c>
      <c r="C110" s="240">
        <f t="shared" si="9"/>
        <v>3.7718750000000001</v>
      </c>
      <c r="E110" s="683">
        <f>((C110+'Curve Analysis - Base Case'!G89)*'Revenues &amp; Expenses'!$S$2)/1000</f>
        <v>59.578083035121445</v>
      </c>
    </row>
    <row r="111" spans="1:5">
      <c r="A111" s="50">
        <v>8</v>
      </c>
      <c r="B111" s="54">
        <v>39295</v>
      </c>
      <c r="C111" s="240">
        <f t="shared" si="9"/>
        <v>3.7718750000000001</v>
      </c>
      <c r="E111" s="683">
        <f>((C111+'Curve Analysis - Base Case'!G90)*'Revenues &amp; Expenses'!$S$2)/1000</f>
        <v>59.630197627210954</v>
      </c>
    </row>
    <row r="112" spans="1:5">
      <c r="A112" s="50">
        <v>9</v>
      </c>
      <c r="B112" s="54">
        <v>39326</v>
      </c>
      <c r="C112" s="240">
        <f t="shared" si="9"/>
        <v>3.8177083299999999</v>
      </c>
      <c r="E112" s="683">
        <f>((C112+'Curve Analysis - Base Case'!G91)*'Revenues &amp; Expenses'!$S$2)/1000</f>
        <v>60.121465518685277</v>
      </c>
    </row>
    <row r="113" spans="1:5">
      <c r="A113" s="50">
        <v>10</v>
      </c>
      <c r="B113" s="54">
        <v>39356</v>
      </c>
      <c r="C113" s="240">
        <f t="shared" si="9"/>
        <v>3.7781250000000002</v>
      </c>
      <c r="E113" s="683">
        <f>((C113+'Curve Analysis - Base Case'!G92)*'Revenues &amp; Expenses'!$S$2)/1000</f>
        <v>59.794643312784245</v>
      </c>
    </row>
    <row r="114" spans="1:5">
      <c r="A114" s="50">
        <v>11</v>
      </c>
      <c r="B114" s="54">
        <v>39387</v>
      </c>
      <c r="C114" s="240">
        <f t="shared" si="9"/>
        <v>3.7781250000000002</v>
      </c>
      <c r="E114" s="683">
        <f>((C114+'Curve Analysis - Base Case'!G93)*'Revenues &amp; Expenses'!$S$2)/1000</f>
        <v>59.847106171739938</v>
      </c>
    </row>
    <row r="115" spans="1:5">
      <c r="A115" s="50">
        <v>12</v>
      </c>
      <c r="B115" s="54">
        <v>39417</v>
      </c>
      <c r="C115" s="240">
        <f t="shared" si="9"/>
        <v>3.7781250000000002</v>
      </c>
      <c r="D115" s="51">
        <f>SUM(C104:C115)</f>
        <v>45.80937500000001</v>
      </c>
      <c r="E115" s="683">
        <f>((C115+'Curve Analysis - Base Case'!G94)*'Revenues &amp; Expenses'!$S$2)/1000</f>
        <v>59.899685636077884</v>
      </c>
    </row>
    <row r="116" spans="1:5">
      <c r="A116" s="50">
        <v>1</v>
      </c>
      <c r="B116" s="54">
        <v>39448</v>
      </c>
      <c r="C116" s="240">
        <f t="shared" ref="C116:C127" si="10">VLOOKUP(A128,$A$5:$K$16,11)</f>
        <v>3.8354166699999999</v>
      </c>
      <c r="E116" s="683">
        <f>((C116+'Curve Analysis - Base Case'!G95)*'Revenues &amp; Expenses'!$S$2)/1000</f>
        <v>60.501178871898375</v>
      </c>
    </row>
    <row r="117" spans="1:5">
      <c r="A117" s="50">
        <v>2</v>
      </c>
      <c r="B117" s="54">
        <v>39479</v>
      </c>
      <c r="C117" s="240">
        <f t="shared" si="10"/>
        <v>3.8354166699999999</v>
      </c>
      <c r="E117" s="683">
        <f>((C117+'Curve Analysis - Base Case'!G96)*'Revenues &amp; Expenses'!$S$2)/1000</f>
        <v>60.553992325087783</v>
      </c>
    </row>
    <row r="118" spans="1:5">
      <c r="A118" s="50">
        <v>3</v>
      </c>
      <c r="B118" s="54">
        <v>39508</v>
      </c>
      <c r="C118" s="240">
        <f t="shared" si="10"/>
        <v>3.8354166699999999</v>
      </c>
      <c r="E118" s="683">
        <f>((C118+'Curve Analysis - Base Case'!G97)*'Revenues &amp; Expenses'!$S$2)/1000</f>
        <v>60.606923162899754</v>
      </c>
    </row>
    <row r="119" spans="1:5">
      <c r="A119" s="50">
        <v>4</v>
      </c>
      <c r="B119" s="54">
        <v>39539</v>
      </c>
      <c r="C119" s="240">
        <f t="shared" si="10"/>
        <v>3.98020833</v>
      </c>
      <c r="E119" s="683">
        <f>((C119+'Curve Analysis - Base Case'!G98)*'Revenues &amp; Expenses'!$S$2)/1000</f>
        <v>62.046930957376567</v>
      </c>
    </row>
    <row r="120" spans="1:5">
      <c r="A120" s="50">
        <v>5</v>
      </c>
      <c r="B120" s="54">
        <v>39569</v>
      </c>
      <c r="C120" s="240">
        <f t="shared" si="10"/>
        <v>3.8177083299999999</v>
      </c>
      <c r="E120" s="683">
        <f>((C120+'Curve Analysis - Base Case'!G99)*'Revenues &amp; Expenses'!$S$2)/1000</f>
        <v>60.543509847720358</v>
      </c>
    </row>
    <row r="121" spans="1:5">
      <c r="A121" s="50">
        <v>6</v>
      </c>
      <c r="B121" s="54">
        <v>39600</v>
      </c>
      <c r="C121" s="240">
        <f t="shared" si="10"/>
        <v>3.8093750000000002</v>
      </c>
      <c r="E121" s="683">
        <f>((C121+'Curve Analysis - Base Case'!G100)*'Revenues &amp; Expenses'!$S$2)/1000</f>
        <v>60.516969439064482</v>
      </c>
    </row>
    <row r="122" spans="1:5">
      <c r="A122" s="50">
        <v>7</v>
      </c>
      <c r="B122" s="54">
        <v>39630</v>
      </c>
      <c r="C122" s="240">
        <f t="shared" si="10"/>
        <v>3.7718750000000001</v>
      </c>
      <c r="E122" s="683">
        <f>((C122+'Curve Analysis - Base Case'!G101)*'Revenues &amp; Expenses'!$S$2)/1000</f>
        <v>60.211159930194711</v>
      </c>
    </row>
    <row r="123" spans="1:5">
      <c r="A123" s="50">
        <v>8</v>
      </c>
      <c r="B123" s="54">
        <v>39661</v>
      </c>
      <c r="C123" s="240">
        <f t="shared" si="10"/>
        <v>3.7718750000000001</v>
      </c>
      <c r="E123" s="683">
        <f>((C123+'Curve Analysis - Base Case'!G102)*'Revenues &amp; Expenses'!$S$2)/1000</f>
        <v>60.264681616270643</v>
      </c>
    </row>
    <row r="124" spans="1:5">
      <c r="A124" s="50">
        <v>9</v>
      </c>
      <c r="B124" s="54">
        <v>39692</v>
      </c>
      <c r="C124" s="240">
        <f t="shared" si="10"/>
        <v>3.8177083299999999</v>
      </c>
      <c r="E124" s="683">
        <f>((C124+'Curve Analysis - Base Case'!G103)*'Revenues &amp; Expenses'!$S$2)/1000</f>
        <v>60.757359729176891</v>
      </c>
    </row>
    <row r="125" spans="1:5">
      <c r="A125" s="50">
        <v>10</v>
      </c>
      <c r="B125" s="54">
        <v>39722</v>
      </c>
      <c r="C125" s="240">
        <f t="shared" si="10"/>
        <v>3.7781250000000002</v>
      </c>
      <c r="E125" s="683">
        <f>((C125+'Curve Analysis - Base Case'!G104)*'Revenues &amp; Expenses'!$S$2)/1000</f>
        <v>60.43195087910442</v>
      </c>
    </row>
    <row r="126" spans="1:5">
      <c r="A126" s="50">
        <v>11</v>
      </c>
      <c r="B126" s="54">
        <v>39753</v>
      </c>
      <c r="C126" s="240">
        <f t="shared" si="10"/>
        <v>3.7781250000000002</v>
      </c>
      <c r="E126" s="683">
        <f>((C126+'Curve Analysis - Base Case'!G105)*'Revenues &amp; Expenses'!$S$2)/1000</f>
        <v>60.48583023525191</v>
      </c>
    </row>
    <row r="127" spans="1:5">
      <c r="A127" s="50">
        <v>12</v>
      </c>
      <c r="B127" s="54">
        <v>39783</v>
      </c>
      <c r="C127" s="240">
        <f t="shared" si="10"/>
        <v>3.7781250000000002</v>
      </c>
      <c r="D127" s="51">
        <f>SUM(C116:C127)</f>
        <v>45.80937500000001</v>
      </c>
      <c r="E127" s="683">
        <f>((C127+'Curve Analysis - Base Case'!G106)*'Revenues &amp; Expenses'!$S$2)/1000</f>
        <v>60.539829345126968</v>
      </c>
    </row>
    <row r="128" spans="1:5">
      <c r="A128" s="50">
        <v>1</v>
      </c>
      <c r="B128" s="54">
        <v>39814</v>
      </c>
      <c r="C128" s="240">
        <f t="shared" ref="C128:C139" si="11">VLOOKUP(A140,$A$5:$L$16,12)</f>
        <v>3.8354166699999999</v>
      </c>
      <c r="E128" s="683">
        <f>((C128+'Curve Analysis - Base Case'!G107)*'Revenues &amp; Expenses'!$S$2)/1000</f>
        <v>61.142745381827517</v>
      </c>
    </row>
    <row r="129" spans="1:5">
      <c r="A129" s="50">
        <v>2</v>
      </c>
      <c r="B129" s="54">
        <v>39845</v>
      </c>
      <c r="C129" s="240">
        <f t="shared" si="11"/>
        <v>3.8354166699999999</v>
      </c>
      <c r="E129" s="683">
        <f>((C129+'Curve Analysis - Base Case'!G108)*'Revenues &amp; Expenses'!$S$2)/1000</f>
        <v>61.196984798253034</v>
      </c>
    </row>
    <row r="130" spans="1:5">
      <c r="A130" s="50">
        <v>3</v>
      </c>
      <c r="B130" s="54">
        <v>39873</v>
      </c>
      <c r="C130" s="240">
        <f t="shared" si="11"/>
        <v>3.8354166699999999</v>
      </c>
      <c r="E130" s="683">
        <f>((C130+'Curve Analysis - Base Case'!G109)*'Revenues &amp; Expenses'!$S$2)/1000</f>
        <v>61.251344768685939</v>
      </c>
    </row>
    <row r="131" spans="1:5">
      <c r="A131" s="50">
        <v>4</v>
      </c>
      <c r="B131" s="54">
        <v>39904</v>
      </c>
      <c r="C131" s="240">
        <f t="shared" si="11"/>
        <v>3.98020833</v>
      </c>
      <c r="E131" s="683">
        <f>((C131+'Curve Analysis - Base Case'!G110)*'Revenues &amp; Expenses'!$S$2)/1000</f>
        <v>62.692784872212847</v>
      </c>
    </row>
    <row r="132" spans="1:5">
      <c r="A132" s="50">
        <v>5</v>
      </c>
      <c r="B132" s="54">
        <v>39934</v>
      </c>
      <c r="C132" s="240">
        <f t="shared" si="11"/>
        <v>3.8177083299999999</v>
      </c>
      <c r="E132" s="683">
        <f>((C132+'Curve Analysis - Base Case'!G111)*'Revenues &amp; Expenses'!$S$2)/1000</f>
        <v>61.190799255095918</v>
      </c>
    </row>
    <row r="133" spans="1:5">
      <c r="A133" s="50">
        <v>6</v>
      </c>
      <c r="B133" s="54">
        <v>39965</v>
      </c>
      <c r="C133" s="240">
        <f t="shared" si="11"/>
        <v>3.8093750000000002</v>
      </c>
      <c r="E133" s="683">
        <f>((C133+'Curve Analysis - Base Case'!G112)*'Revenues &amp; Expenses'!$S$2)/1000</f>
        <v>61.165697529544225</v>
      </c>
    </row>
    <row r="134" spans="1:5">
      <c r="A134" s="50">
        <v>7</v>
      </c>
      <c r="B134" s="54">
        <v>39995</v>
      </c>
      <c r="C134" s="240">
        <f t="shared" si="11"/>
        <v>3.7718750000000001</v>
      </c>
      <c r="E134" s="683">
        <f>((C134+'Curve Analysis - Base Case'!G113)*'Revenues &amp; Expenses'!$S$2)/1000</f>
        <v>60.861329901434971</v>
      </c>
    </row>
    <row r="135" spans="1:5">
      <c r="A135" s="50">
        <v>8</v>
      </c>
      <c r="B135" s="54">
        <v>40026</v>
      </c>
      <c r="C135" s="240">
        <f t="shared" si="11"/>
        <v>3.7718750000000001</v>
      </c>
      <c r="E135" s="683">
        <f>((C135+'Curve Analysis - Base Case'!G114)*'Revenues &amp; Expenses'!$S$2)/1000</f>
        <v>60.916296673034957</v>
      </c>
    </row>
    <row r="136" spans="1:5">
      <c r="A136" s="50">
        <v>9</v>
      </c>
      <c r="B136" s="54">
        <v>40057</v>
      </c>
      <c r="C136" s="240">
        <f t="shared" si="11"/>
        <v>3.8177083299999999</v>
      </c>
      <c r="E136" s="683">
        <f>((C136+'Curve Analysis - Base Case'!G115)*'Revenues &amp; Expenses'!$S$2)/1000</f>
        <v>61.410423083351766</v>
      </c>
    </row>
    <row r="137" spans="1:5">
      <c r="A137" s="50">
        <v>10</v>
      </c>
      <c r="B137" s="54">
        <v>40087</v>
      </c>
      <c r="C137" s="240">
        <f t="shared" si="11"/>
        <v>3.7781250000000002</v>
      </c>
      <c r="E137" s="683">
        <f>((C137+'Curve Analysis - Base Case'!G116)*'Revenues &amp; Expenses'!$S$2)/1000</f>
        <v>61.086465749715245</v>
      </c>
    </row>
    <row r="138" spans="1:5">
      <c r="A138" s="50">
        <v>11</v>
      </c>
      <c r="B138" s="54">
        <v>40118</v>
      </c>
      <c r="C138" s="240">
        <f t="shared" si="11"/>
        <v>3.7781250000000002</v>
      </c>
      <c r="E138" s="683">
        <f>((C138+'Curve Analysis - Base Case'!G117)*'Revenues &amp; Expenses'!$S$2)/1000</f>
        <v>61.141799848478719</v>
      </c>
    </row>
    <row r="139" spans="1:5">
      <c r="A139" s="50">
        <v>12</v>
      </c>
      <c r="B139" s="54">
        <v>40148</v>
      </c>
      <c r="C139" s="240">
        <f t="shared" si="11"/>
        <v>3.7781250000000002</v>
      </c>
      <c r="D139" s="51">
        <f>SUM(C128:C139)</f>
        <v>45.80937500000001</v>
      </c>
      <c r="E139" s="683">
        <f>((C139+'Curve Analysis - Base Case'!G118)*'Revenues &amp; Expenses'!$S$2)/1000</f>
        <v>61.197256934320393</v>
      </c>
    </row>
    <row r="140" spans="1:5">
      <c r="A140" s="50">
        <v>1</v>
      </c>
      <c r="B140" s="54">
        <v>40179</v>
      </c>
      <c r="C140" s="240">
        <f t="shared" ref="C140:C151" si="12">VLOOKUP(A152,$A$5:$M$16,13)</f>
        <v>3.8354166699999999</v>
      </c>
      <c r="E140" s="683">
        <f>((C140+'Curve Analysis - Base Case'!G119)*'Revenues &amp; Expenses'!$S$2)/1000</f>
        <v>61.801634187524748</v>
      </c>
    </row>
    <row r="141" spans="1:5">
      <c r="A141" s="50">
        <v>2</v>
      </c>
      <c r="B141" s="54">
        <v>40210</v>
      </c>
      <c r="C141" s="240">
        <f t="shared" si="12"/>
        <v>3.8354166699999999</v>
      </c>
      <c r="E141" s="683">
        <f>((C141+'Curve Analysis - Base Case'!G120)*'Revenues &amp; Expenses'!$S$2)/1000</f>
        <v>61.857338068193762</v>
      </c>
    </row>
    <row r="142" spans="1:5">
      <c r="A142" s="50">
        <v>3</v>
      </c>
      <c r="B142" s="54">
        <v>40238</v>
      </c>
      <c r="C142" s="240">
        <f t="shared" si="12"/>
        <v>3.8354166699999999</v>
      </c>
      <c r="E142" s="683">
        <f>((C142+'Curve Analysis - Base Case'!G121)*'Revenues &amp; Expenses'!$S$2)/1000</f>
        <v>61.913165757828338</v>
      </c>
    </row>
    <row r="143" spans="1:5">
      <c r="A143" s="50">
        <v>4</v>
      </c>
      <c r="B143" s="54">
        <v>40269</v>
      </c>
      <c r="C143" s="240">
        <f t="shared" si="12"/>
        <v>3.98020833</v>
      </c>
      <c r="E143" s="683">
        <f>((C143+'Curve Analysis - Base Case'!G122)*'Revenues &amp; Expenses'!$S$2)/1000</f>
        <v>63.356076842749694</v>
      </c>
    </row>
    <row r="144" spans="1:5">
      <c r="A144" s="50">
        <v>5</v>
      </c>
      <c r="B144" s="54">
        <v>40299</v>
      </c>
      <c r="C144" s="240">
        <f t="shared" si="12"/>
        <v>3.8177083299999999</v>
      </c>
      <c r="E144" s="683">
        <f>((C144+'Curve Analysis - Base Case'!G123)*'Revenues &amp; Expenses'!$S$2)/1000</f>
        <v>61.855565476470616</v>
      </c>
    </row>
    <row r="145" spans="1:5">
      <c r="A145" s="50">
        <v>6</v>
      </c>
      <c r="B145" s="54">
        <v>40330</v>
      </c>
      <c r="C145" s="240">
        <f t="shared" si="12"/>
        <v>3.8093750000000002</v>
      </c>
      <c r="E145" s="683">
        <f>((C145+'Curve Analysis - Base Case'!G124)*'Revenues &amp; Expenses'!$S$2)/1000</f>
        <v>61.831941278466914</v>
      </c>
    </row>
    <row r="146" spans="1:5">
      <c r="A146" s="50">
        <v>7</v>
      </c>
      <c r="B146" s="54">
        <v>40360</v>
      </c>
      <c r="C146" s="240">
        <f t="shared" si="12"/>
        <v>3.7718750000000001</v>
      </c>
      <c r="E146" s="683">
        <f>((C146+'Curve Analysis - Base Case'!G125)*'Revenues &amp; Expenses'!$S$2)/1000</f>
        <v>61.529054461898717</v>
      </c>
    </row>
    <row r="147" spans="1:5">
      <c r="A147" s="50">
        <v>8</v>
      </c>
      <c r="B147" s="54">
        <v>40391</v>
      </c>
      <c r="C147" s="240">
        <f t="shared" si="12"/>
        <v>3.7718750000000001</v>
      </c>
      <c r="E147" s="683">
        <f>((C147+'Curve Analysis - Base Case'!G126)*'Revenues &amp; Expenses'!$S$2)/1000</f>
        <v>61.585505336331892</v>
      </c>
    </row>
    <row r="148" spans="1:5">
      <c r="A148" s="50">
        <v>9</v>
      </c>
      <c r="B148" s="54">
        <v>40422</v>
      </c>
      <c r="C148" s="240">
        <f t="shared" si="12"/>
        <v>3.8177083299999999</v>
      </c>
      <c r="E148" s="683">
        <f>((C148+'Curve Analysis - Base Case'!G127)*'Revenues &amp; Expenses'!$S$2)/1000</f>
        <v>62.081119148089364</v>
      </c>
    </row>
    <row r="149" spans="1:5">
      <c r="A149" s="50">
        <v>10</v>
      </c>
      <c r="B149" s="54">
        <v>40452</v>
      </c>
      <c r="C149" s="240">
        <f t="shared" si="12"/>
        <v>3.7781250000000002</v>
      </c>
      <c r="E149" s="683">
        <f>((C149+'Curve Analysis - Base Case'!G128)*'Revenues &amp; Expenses'!$S$2)/1000</f>
        <v>61.758652521832545</v>
      </c>
    </row>
    <row r="150" spans="1:5">
      <c r="A150" s="50">
        <v>11</v>
      </c>
      <c r="B150" s="54">
        <v>40483</v>
      </c>
      <c r="C150" s="240">
        <f t="shared" si="12"/>
        <v>3.7781250000000002</v>
      </c>
      <c r="E150" s="683">
        <f>((C150+'Curve Analysis - Base Case'!G129)*'Revenues &amp; Expenses'!$S$2)/1000</f>
        <v>61.815480641262631</v>
      </c>
    </row>
    <row r="151" spans="1:5">
      <c r="A151" s="50">
        <v>12</v>
      </c>
      <c r="B151" s="54">
        <v>40513</v>
      </c>
      <c r="C151" s="240">
        <f t="shared" si="12"/>
        <v>3.7781250000000002</v>
      </c>
      <c r="D151" s="51">
        <f>SUM(C140:C151)</f>
        <v>45.80937500000001</v>
      </c>
      <c r="E151" s="683">
        <f>((C151+'Curve Analysis - Base Case'!G130)*'Revenues &amp; Expenses'!$S$2)/1000</f>
        <v>61.872435068422057</v>
      </c>
    </row>
    <row r="152" spans="1:5">
      <c r="A152" s="50">
        <v>1</v>
      </c>
      <c r="B152" s="54">
        <v>40544</v>
      </c>
      <c r="C152" s="240">
        <f t="shared" ref="C152:C163" si="13">VLOOKUP(A164,$A$5:$N$16,14)</f>
        <v>3.8354166699999999</v>
      </c>
      <c r="E152" s="683">
        <f>((C152+'Curve Analysis - Base Case'!G131)*'Revenues &amp; Expenses'!$S$2)/1000</f>
        <v>62.478312990975809</v>
      </c>
    </row>
    <row r="153" spans="1:5">
      <c r="A153" s="50">
        <v>2</v>
      </c>
      <c r="B153" s="54">
        <v>40575</v>
      </c>
      <c r="C153" s="240">
        <f t="shared" si="13"/>
        <v>3.8354166699999999</v>
      </c>
      <c r="E153" s="683">
        <f>((C153+'Curve Analysis - Base Case'!G132)*'Revenues &amp; Expenses'!$S$2)/1000</f>
        <v>62.535520876422879</v>
      </c>
    </row>
    <row r="154" spans="1:5">
      <c r="A154" s="50">
        <v>3</v>
      </c>
      <c r="B154" s="54">
        <v>40603</v>
      </c>
      <c r="C154" s="240">
        <f t="shared" si="13"/>
        <v>3.8354166699999999</v>
      </c>
      <c r="E154" s="683">
        <f>((C154+'Curve Analysis - Base Case'!G133)*'Revenues &amp; Expenses'!$S$2)/1000</f>
        <v>62.592855913677596</v>
      </c>
    </row>
    <row r="155" spans="1:5">
      <c r="A155" s="50">
        <v>4</v>
      </c>
      <c r="B155" s="54">
        <v>40634</v>
      </c>
      <c r="C155" s="240">
        <f t="shared" si="13"/>
        <v>3.98020833</v>
      </c>
      <c r="E155" s="683">
        <f>((C155+'Curve Analysis - Base Case'!G134)*'Revenues &amp; Expenses'!$S$2)/1000</f>
        <v>64.037277696491046</v>
      </c>
    </row>
    <row r="156" spans="1:5">
      <c r="A156" s="50">
        <v>5</v>
      </c>
      <c r="B156" s="54">
        <v>40664</v>
      </c>
      <c r="C156" s="240">
        <f t="shared" si="13"/>
        <v>3.8177083299999999</v>
      </c>
      <c r="E156" s="683">
        <f>((C156+'Curve Analysis - Base Case'!G135)*'Revenues &amp; Expenses'!$S$2)/1000</f>
        <v>62.538280385822432</v>
      </c>
    </row>
    <row r="157" spans="1:5">
      <c r="A157" s="50">
        <v>6</v>
      </c>
      <c r="B157" s="54">
        <v>40695</v>
      </c>
      <c r="C157" s="240">
        <f t="shared" si="13"/>
        <v>3.8093750000000002</v>
      </c>
      <c r="E157" s="683">
        <f>((C157+'Curve Analysis - Base Case'!G136)*'Revenues &amp; Expenses'!$S$2)/1000</f>
        <v>62.516173608610515</v>
      </c>
    </row>
    <row r="158" spans="1:5">
      <c r="A158" s="50">
        <v>7</v>
      </c>
      <c r="B158" s="54">
        <v>40725</v>
      </c>
      <c r="C158" s="240">
        <f t="shared" si="13"/>
        <v>3.7718750000000001</v>
      </c>
      <c r="E158" s="683">
        <f>((C158+'Curve Analysis - Base Case'!G137)*'Revenues &amp; Expenses'!$S$2)/1000</f>
        <v>62.214807585494981</v>
      </c>
    </row>
    <row r="159" spans="1:5">
      <c r="A159" s="50">
        <v>8</v>
      </c>
      <c r="B159" s="54">
        <v>40756</v>
      </c>
      <c r="C159" s="240">
        <f t="shared" si="13"/>
        <v>3.7718750000000001</v>
      </c>
      <c r="E159" s="683">
        <f>((C159+'Curve Analysis - Base Case'!G138)*'Revenues &amp; Expenses'!$S$2)/1000</f>
        <v>62.272782633537858</v>
      </c>
    </row>
    <row r="160" spans="1:5">
      <c r="A160" s="50">
        <v>9</v>
      </c>
      <c r="B160" s="54">
        <v>40787</v>
      </c>
      <c r="C160" s="240">
        <f t="shared" si="13"/>
        <v>3.8177083299999999</v>
      </c>
      <c r="E160" s="683">
        <f>((C160+'Curve Analysis - Base Case'!G139)*'Revenues &amp; Expenses'!$S$2)/1000</f>
        <v>62.769924006574897</v>
      </c>
    </row>
    <row r="161" spans="1:5">
      <c r="A161" s="50">
        <v>10</v>
      </c>
      <c r="B161" s="54">
        <v>40817</v>
      </c>
      <c r="C161" s="240">
        <f t="shared" si="13"/>
        <v>3.7781250000000002</v>
      </c>
      <c r="E161" s="683">
        <f>((C161+'Curve Analysis - Base Case'!G140)*'Revenues &amp; Expenses'!$S$2)/1000</f>
        <v>62.448988336797022</v>
      </c>
    </row>
    <row r="162" spans="1:5">
      <c r="A162" s="50">
        <v>11</v>
      </c>
      <c r="B162" s="54">
        <v>40848</v>
      </c>
      <c r="C162" s="240">
        <f t="shared" si="13"/>
        <v>3.7781250000000002</v>
      </c>
      <c r="E162" s="683">
        <f>((C162+'Curve Analysis - Base Case'!G141)*'Revenues &amp; Expenses'!$S$2)/1000</f>
        <v>62.507350815451723</v>
      </c>
    </row>
    <row r="163" spans="1:5">
      <c r="A163" s="50">
        <v>12</v>
      </c>
      <c r="B163" s="54">
        <v>40878</v>
      </c>
      <c r="C163" s="240">
        <f t="shared" si="13"/>
        <v>3.7781250000000002</v>
      </c>
      <c r="D163" s="51">
        <f>SUM(C152:C163)</f>
        <v>45.80937500000001</v>
      </c>
      <c r="E163" s="683">
        <f>((C163+'Curve Analysis - Base Case'!G142)*'Revenues &amp; Expenses'!$S$2)/1000</f>
        <v>62.565843012144448</v>
      </c>
    </row>
    <row r="164" spans="1:5">
      <c r="A164" s="50">
        <v>1</v>
      </c>
      <c r="B164" s="54">
        <v>40909</v>
      </c>
      <c r="C164" s="240">
        <f t="shared" ref="C164:C175" si="14">VLOOKUP(A176,$A$5:$O$16,15)</f>
        <v>3.8354166699999999</v>
      </c>
      <c r="E164" s="683">
        <f>((C164+'Curve Analysis - Base Case'!G143)*'Revenues &amp; Expenses'!$S$2)/1000</f>
        <v>63.173262122120036</v>
      </c>
    </row>
    <row r="165" spans="1:5">
      <c r="A165" s="50">
        <v>2</v>
      </c>
      <c r="B165" s="54">
        <v>40940</v>
      </c>
      <c r="C165" s="240">
        <f t="shared" si="14"/>
        <v>3.8354166699999999</v>
      </c>
      <c r="E165" s="683">
        <f>((C165+'Curve Analysis - Base Case'!G144)*'Revenues &amp; Expenses'!$S$2)/1000</f>
        <v>63.232014620474189</v>
      </c>
    </row>
    <row r="166" spans="1:5">
      <c r="A166" s="50">
        <v>3</v>
      </c>
      <c r="B166" s="54">
        <v>40969</v>
      </c>
      <c r="C166" s="240">
        <f t="shared" si="14"/>
        <v>3.8354166699999999</v>
      </c>
      <c r="E166" s="683">
        <f>((C166+'Curve Analysis - Base Case'!G145)*'Revenues &amp; Expenses'!$S$2)/1000</f>
        <v>63.290897703734778</v>
      </c>
    </row>
    <row r="167" spans="1:5">
      <c r="A167" s="50">
        <v>4</v>
      </c>
      <c r="B167" s="54">
        <v>41000</v>
      </c>
      <c r="C167" s="240">
        <f t="shared" si="14"/>
        <v>3.98020833</v>
      </c>
      <c r="E167" s="683">
        <f>((C167+'Curve Analysis - Base Case'!G146)*'Revenues &amp; Expenses'!$S$2)/1000</f>
        <v>64.736870973283416</v>
      </c>
    </row>
    <row r="168" spans="1:5">
      <c r="A168" s="50">
        <v>5</v>
      </c>
      <c r="B168" s="54">
        <v>41030</v>
      </c>
      <c r="C168" s="240">
        <f t="shared" si="14"/>
        <v>3.8177083299999999</v>
      </c>
      <c r="E168" s="683">
        <f>((C168+'Curve Analysis - Base Case'!G147)*'Revenues &amp; Expenses'!$S$2)/1000</f>
        <v>63.239428597726743</v>
      </c>
    </row>
    <row r="169" spans="1:5">
      <c r="A169" s="50">
        <v>6</v>
      </c>
      <c r="B169" s="54">
        <v>41061</v>
      </c>
      <c r="C169" s="240">
        <f t="shared" si="14"/>
        <v>3.8093750000000002</v>
      </c>
      <c r="E169" s="683">
        <f>((C169+'Curve Analysis - Base Case'!G148)*'Revenues &amp; Expenses'!$S$2)/1000</f>
        <v>63.218880211667994</v>
      </c>
    </row>
    <row r="170" spans="1:5">
      <c r="A170" s="50">
        <v>7</v>
      </c>
      <c r="B170" s="54">
        <v>41091</v>
      </c>
      <c r="C170" s="240">
        <f t="shared" si="14"/>
        <v>3.7718750000000001</v>
      </c>
      <c r="E170" s="683">
        <f>((C170+'Curve Analysis - Base Case'!G149)*'Revenues &amp; Expenses'!$S$2)/1000</f>
        <v>62.919076043428333</v>
      </c>
    </row>
    <row r="171" spans="1:5">
      <c r="A171" s="50">
        <v>8</v>
      </c>
      <c r="B171" s="54">
        <v>41122</v>
      </c>
      <c r="C171" s="240">
        <f t="shared" si="14"/>
        <v>3.7718750000000001</v>
      </c>
      <c r="E171" s="683">
        <f>((C171+'Curve Analysis - Base Case'!G150)*'Revenues &amp; Expenses'!$S$2)/1000</f>
        <v>62.978616417768364</v>
      </c>
    </row>
    <row r="172" spans="1:5">
      <c r="A172" s="50">
        <v>9</v>
      </c>
      <c r="B172" s="54">
        <v>41153</v>
      </c>
      <c r="C172" s="240">
        <f t="shared" si="14"/>
        <v>3.8177083299999999</v>
      </c>
      <c r="E172" s="683">
        <f>((C172+'Curve Analysis - Base Case'!G151)*'Revenues &amp; Expenses'!$S$2)/1000</f>
        <v>63.477326596239514</v>
      </c>
    </row>
    <row r="173" spans="1:5">
      <c r="A173" s="50">
        <v>10</v>
      </c>
      <c r="B173" s="54">
        <v>41183</v>
      </c>
      <c r="C173" s="240">
        <f t="shared" si="14"/>
        <v>3.7781250000000002</v>
      </c>
      <c r="E173" s="683">
        <f>((C173+'Curve Analysis - Base Case'!G152)*'Revenues &amp; Expenses'!$S$2)/1000</f>
        <v>63.157963218765538</v>
      </c>
    </row>
    <row r="174" spans="1:5">
      <c r="A174" s="50">
        <v>11</v>
      </c>
      <c r="B174" s="54">
        <v>41214</v>
      </c>
      <c r="C174" s="240">
        <f t="shared" si="14"/>
        <v>3.7781250000000002</v>
      </c>
      <c r="E174" s="683">
        <f>((C174+'Curve Analysis - Base Case'!G153)*'Revenues &amp; Expenses'!$S$2)/1000</f>
        <v>63.217901484343912</v>
      </c>
    </row>
    <row r="175" spans="1:5">
      <c r="A175" s="50">
        <v>12</v>
      </c>
      <c r="B175" s="54">
        <v>41244</v>
      </c>
      <c r="C175" s="240">
        <f t="shared" si="14"/>
        <v>3.7781250000000002</v>
      </c>
      <c r="D175" s="51">
        <f>SUM(C164:C175)</f>
        <v>45.80937500000001</v>
      </c>
      <c r="E175" s="683">
        <f>((C175+'Curve Analysis - Base Case'!G154)*'Revenues &amp; Expenses'!$S$2)/1000</f>
        <v>63.277972970347342</v>
      </c>
    </row>
    <row r="176" spans="1:5">
      <c r="A176" s="50">
        <v>1</v>
      </c>
      <c r="B176" s="54">
        <v>41275</v>
      </c>
      <c r="C176" s="240">
        <f t="shared" ref="C176:C187" si="15">VLOOKUP(A188,$A$5:$P$16,16)</f>
        <v>3.8354166699999999</v>
      </c>
      <c r="E176" s="683">
        <f>((C176+'Curve Analysis - Base Case'!G155)*'Revenues &amp; Expenses'!$S$2)/1000</f>
        <v>63.886974879805173</v>
      </c>
    </row>
    <row r="177" spans="1:5">
      <c r="A177" s="50">
        <v>2</v>
      </c>
      <c r="B177" s="54">
        <v>41306</v>
      </c>
      <c r="C177" s="240">
        <f t="shared" si="15"/>
        <v>3.8354166699999999</v>
      </c>
      <c r="E177" s="683">
        <f>((C177+'Curve Analysis - Base Case'!G156)*'Revenues &amp; Expenses'!$S$2)/1000</f>
        <v>63.947313695614874</v>
      </c>
    </row>
    <row r="178" spans="1:5">
      <c r="A178" s="50">
        <v>3</v>
      </c>
      <c r="B178" s="54">
        <v>41334</v>
      </c>
      <c r="C178" s="240">
        <f t="shared" si="15"/>
        <v>3.8354166699999999</v>
      </c>
      <c r="E178" s="683">
        <f>((C178+'Curve Analysis - Base Case'!G157)*'Revenues &amp; Expenses'!$S$2)/1000</f>
        <v>64.007786622123504</v>
      </c>
    </row>
    <row r="179" spans="1:5">
      <c r="A179" s="50">
        <v>4</v>
      </c>
      <c r="B179" s="54">
        <v>41365</v>
      </c>
      <c r="C179" s="240">
        <f t="shared" si="15"/>
        <v>3.98020833</v>
      </c>
      <c r="E179" s="683">
        <f>((C179+'Curve Analysis - Base Case'!G158)*'Revenues &amp; Expenses'!$S$2)/1000</f>
        <v>65.455353268549175</v>
      </c>
    </row>
    <row r="180" spans="1:5">
      <c r="A180" s="50">
        <v>5</v>
      </c>
      <c r="B180" s="54">
        <v>41395</v>
      </c>
      <c r="C180" s="240">
        <f t="shared" si="15"/>
        <v>3.8177083299999999</v>
      </c>
      <c r="E180" s="683">
        <f>((C180+'Curve Analysis - Base Case'!G159)*'Revenues &amp; Expenses'!$S$2)/1000</f>
        <v>63.959507811352474</v>
      </c>
    </row>
    <row r="181" spans="1:5">
      <c r="A181" s="50">
        <v>6</v>
      </c>
      <c r="B181" s="54">
        <v>41426</v>
      </c>
      <c r="C181" s="240">
        <f t="shared" si="15"/>
        <v>3.8093750000000002</v>
      </c>
      <c r="E181" s="683">
        <f>((C181+'Curve Analysis - Base Case'!G160)*'Revenues &amp; Expenses'!$S$2)/1000</f>
        <v>63.940559893008029</v>
      </c>
    </row>
    <row r="182" spans="1:5">
      <c r="A182" s="50">
        <v>7</v>
      </c>
      <c r="B182" s="54">
        <v>41456</v>
      </c>
      <c r="C182" s="240">
        <f t="shared" si="15"/>
        <v>3.7718750000000001</v>
      </c>
      <c r="E182" s="683">
        <f>((C182+'Curve Analysis - Base Case'!G161)*'Revenues &amp; Expenses'!$S$2)/1000</f>
        <v>63.642359749725905</v>
      </c>
    </row>
    <row r="183" spans="1:5">
      <c r="A183" s="50">
        <v>8</v>
      </c>
      <c r="B183" s="54">
        <v>41487</v>
      </c>
      <c r="C183" s="240">
        <f t="shared" si="15"/>
        <v>3.7718750000000001</v>
      </c>
      <c r="E183" s="683">
        <f>((C183+'Curve Analysis - Base Case'!G162)*'Revenues &amp; Expenses'!$S$2)/1000</f>
        <v>63.703507714173107</v>
      </c>
    </row>
    <row r="184" spans="1:5">
      <c r="A184" s="50">
        <v>9</v>
      </c>
      <c r="B184" s="54">
        <v>41518</v>
      </c>
      <c r="C184" s="240">
        <f t="shared" si="15"/>
        <v>3.8177083299999999</v>
      </c>
      <c r="E184" s="683">
        <f>((C184+'Curve Analysis - Base Case'!G163)*'Revenues &amp; Expenses'!$S$2)/1000</f>
        <v>64.203829055825082</v>
      </c>
    </row>
    <row r="185" spans="1:5">
      <c r="A185" s="50">
        <v>10</v>
      </c>
      <c r="B185" s="54">
        <v>41548</v>
      </c>
      <c r="C185" s="240">
        <f t="shared" si="15"/>
        <v>3.7781250000000002</v>
      </c>
      <c r="E185" s="683">
        <f>((C185+'Curve Analysis - Base Case'!G164)*'Revenues &amp; Expenses'!$S$2)/1000</f>
        <v>63.886080422547217</v>
      </c>
    </row>
    <row r="186" spans="1:5">
      <c r="A186" s="50">
        <v>11</v>
      </c>
      <c r="B186" s="54">
        <v>41579</v>
      </c>
      <c r="C186" s="240">
        <f t="shared" si="15"/>
        <v>3.7781250000000002</v>
      </c>
      <c r="E186" s="683">
        <f>((C186+'Curve Analysis - Base Case'!G165)*'Revenues &amp; Expenses'!$S$2)/1000</f>
        <v>63.947637021296202</v>
      </c>
    </row>
    <row r="187" spans="1:5">
      <c r="A187" s="50">
        <v>12</v>
      </c>
      <c r="B187" s="54">
        <v>41609</v>
      </c>
      <c r="C187" s="240">
        <f t="shared" si="15"/>
        <v>3.7781250000000002</v>
      </c>
      <c r="D187" s="51">
        <f>SUM(C176:C187)</f>
        <v>45.80937500000001</v>
      </c>
      <c r="E187" s="683">
        <f>((C187+'Curve Analysis - Base Case'!G166)*'Revenues &amp; Expenses'!$S$2)/1000</f>
        <v>64.009330437421724</v>
      </c>
    </row>
    <row r="188" spans="1:5">
      <c r="A188" s="50">
        <v>1</v>
      </c>
      <c r="B188" s="54">
        <v>41640</v>
      </c>
      <c r="C188" s="240">
        <f t="shared" ref="C188:C199" si="16">VLOOKUP(A200,$A$5:$Q$16,17)</f>
        <v>3.8354166699999999</v>
      </c>
      <c r="E188" s="683">
        <f>((C188+'Curve Analysis - Base Case'!G167)*'Revenues &amp; Expenses'!$S$2)/1000</f>
        <v>64.619957881947784</v>
      </c>
    </row>
    <row r="189" spans="1:5">
      <c r="A189" s="50">
        <v>2</v>
      </c>
      <c r="B189" s="54">
        <v>41671</v>
      </c>
      <c r="C189" s="240">
        <f t="shared" si="16"/>
        <v>3.8354166699999999</v>
      </c>
      <c r="E189" s="683">
        <f>((C189+'Curve Analysis - Base Case'!G168)*'Revenues &amp; Expenses'!$S$2)/1000</f>
        <v>64.681925845784363</v>
      </c>
    </row>
    <row r="190" spans="1:5">
      <c r="A190" s="50">
        <v>3</v>
      </c>
      <c r="B190" s="54">
        <v>41699</v>
      </c>
      <c r="C190" s="240">
        <f t="shared" si="16"/>
        <v>3.8354166699999999</v>
      </c>
      <c r="E190" s="683">
        <f>((C190+'Curve Analysis - Base Case'!G169)*'Revenues &amp; Expenses'!$S$2)/1000</f>
        <v>64.744031541308729</v>
      </c>
    </row>
    <row r="191" spans="1:5">
      <c r="A191" s="50">
        <v>4</v>
      </c>
      <c r="B191" s="54">
        <v>41730</v>
      </c>
      <c r="C191" s="240">
        <f t="shared" si="16"/>
        <v>3.98020833</v>
      </c>
      <c r="E191" s="683">
        <f>((C191+'Curve Analysis - Base Case'!G170)*'Revenues &amp; Expenses'!$S$2)/1000</f>
        <v>66.193234585787096</v>
      </c>
    </row>
    <row r="192" spans="1:5">
      <c r="A192" s="50">
        <v>5</v>
      </c>
      <c r="B192" s="54">
        <v>41760</v>
      </c>
      <c r="C192" s="240">
        <f t="shared" si="16"/>
        <v>3.8177083299999999</v>
      </c>
      <c r="E192" s="683">
        <f>((C192+'Curve Analysis - Base Case'!G171)*'Revenues &amp; Expenses'!$S$2)/1000</f>
        <v>64.699029163746104</v>
      </c>
    </row>
    <row r="193" spans="1:5">
      <c r="A193" s="50">
        <v>6</v>
      </c>
      <c r="B193" s="54">
        <v>41791</v>
      </c>
      <c r="C193" s="240">
        <f t="shared" si="16"/>
        <v>3.8093750000000002</v>
      </c>
      <c r="E193" s="683">
        <f>((C193+'Curve Analysis - Base Case'!G172)*'Revenues &amp; Expenses'!$S$2)/1000</f>
        <v>64.681724925744248</v>
      </c>
    </row>
    <row r="194" spans="1:5">
      <c r="A194" s="50">
        <v>7</v>
      </c>
      <c r="B194" s="54">
        <v>41821</v>
      </c>
      <c r="C194" s="240">
        <f t="shared" si="16"/>
        <v>3.7718750000000001</v>
      </c>
      <c r="E194" s="683">
        <f>((C194+'Curve Analysis - Base Case'!G173)*'Revenues &amp; Expenses'!$S$2)/1000</f>
        <v>64.3851721160935</v>
      </c>
    </row>
    <row r="195" spans="1:5">
      <c r="A195" s="50">
        <v>8</v>
      </c>
      <c r="B195" s="54">
        <v>41852</v>
      </c>
      <c r="C195" s="240">
        <f t="shared" si="16"/>
        <v>3.7718750000000001</v>
      </c>
      <c r="E195" s="683">
        <f>((C195+'Curve Analysis - Base Case'!G174)*'Revenues &amp; Expenses'!$S$2)/1000</f>
        <v>64.447971075580782</v>
      </c>
    </row>
    <row r="196" spans="1:5">
      <c r="A196" s="50">
        <v>9</v>
      </c>
      <c r="B196" s="54">
        <v>41883</v>
      </c>
      <c r="C196" s="240">
        <f t="shared" si="16"/>
        <v>3.8177083299999999</v>
      </c>
      <c r="E196" s="683">
        <f>((C196+'Curve Analysis - Base Case'!G175)*'Revenues &amp; Expenses'!$S$2)/1000</f>
        <v>64.949947081819488</v>
      </c>
    </row>
    <row r="197" spans="1:5">
      <c r="A197" s="50">
        <v>10</v>
      </c>
      <c r="B197" s="54">
        <v>41913</v>
      </c>
      <c r="C197" s="240">
        <f t="shared" si="16"/>
        <v>3.7781250000000002</v>
      </c>
      <c r="E197" s="683">
        <f>((C197+'Curve Analysis - Base Case'!G176)*'Revenues &amp; Expenses'!$S$2)/1000</f>
        <v>64.633856790830976</v>
      </c>
    </row>
    <row r="198" spans="1:5">
      <c r="A198" s="50">
        <v>11</v>
      </c>
      <c r="B198" s="54">
        <v>41944</v>
      </c>
      <c r="C198" s="240">
        <f t="shared" si="16"/>
        <v>3.7781250000000002</v>
      </c>
      <c r="E198" s="683">
        <f>((C198+'Curve Analysis - Base Case'!G177)*'Revenues &amp; Expenses'!$S$2)/1000</f>
        <v>64.697075417746191</v>
      </c>
    </row>
    <row r="199" spans="1:5">
      <c r="A199" s="50">
        <v>12</v>
      </c>
      <c r="B199" s="54">
        <v>41974</v>
      </c>
      <c r="C199" s="240">
        <f t="shared" si="16"/>
        <v>3.7781250000000002</v>
      </c>
      <c r="D199" s="51">
        <f>SUM(C188:C199)</f>
        <v>45.80937500000001</v>
      </c>
      <c r="E199" s="683">
        <f>((C199+'Curve Analysis - Base Case'!G178)*'Revenues &amp; Expenses'!$S$2)/1000</f>
        <v>64.7604345561071</v>
      </c>
    </row>
    <row r="200" spans="1:5">
      <c r="A200" s="50">
        <v>1</v>
      </c>
      <c r="B200" s="54">
        <v>42005</v>
      </c>
      <c r="C200" s="240">
        <f t="shared" ref="C200:C211" si="17">VLOOKUP(A212,$A$5:$R$16,18)</f>
        <v>3.9375</v>
      </c>
      <c r="E200" s="683">
        <f>((C200+'Curve Analysis - Base Case'!G179)*'Revenues &amp; Expenses'!$S$2)/1000</f>
        <v>66.35058764321829</v>
      </c>
    </row>
    <row r="201" spans="1:5">
      <c r="A201" s="50">
        <v>2</v>
      </c>
      <c r="B201" s="54">
        <v>42036</v>
      </c>
      <c r="C201" s="240">
        <f t="shared" si="17"/>
        <v>3.9375</v>
      </c>
      <c r="E201" s="683">
        <f>((C201+'Curve Analysis - Base Case'!G180)*'Revenues &amp; Expenses'!$S$2)/1000</f>
        <v>66.414228742078421</v>
      </c>
    </row>
    <row r="202" spans="1:5">
      <c r="A202" s="50">
        <v>3</v>
      </c>
      <c r="B202" s="54">
        <v>42064</v>
      </c>
      <c r="C202" s="240">
        <f t="shared" si="17"/>
        <v>3.9375</v>
      </c>
      <c r="E202" s="683">
        <f>((C202+'Curve Analysis - Base Case'!G181)*'Revenues &amp; Expenses'!$S$2)/1000</f>
        <v>66.478011291381961</v>
      </c>
    </row>
    <row r="203" spans="1:5">
      <c r="A203" s="50">
        <v>4</v>
      </c>
      <c r="B203" s="54">
        <v>42095</v>
      </c>
      <c r="C203" s="240">
        <f t="shared" si="17"/>
        <v>4.08229167</v>
      </c>
      <c r="E203" s="683">
        <f>((C203+'Curve Analysis - Base Case'!G182)*'Revenues &amp; Expenses'!$S$2)/1000</f>
        <v>67.928895012450468</v>
      </c>
    </row>
    <row r="204" spans="1:5">
      <c r="A204" s="50">
        <v>5</v>
      </c>
      <c r="B204" s="54">
        <v>42125</v>
      </c>
      <c r="C204" s="240">
        <f t="shared" si="17"/>
        <v>3.91979167</v>
      </c>
      <c r="E204" s="683">
        <f>((C204+'Curve Analysis - Base Case'!G183)*'Revenues &amp; Expenses'!$S$2)/1000</f>
        <v>66.436373906514348</v>
      </c>
    </row>
    <row r="205" spans="1:5">
      <c r="A205" s="50">
        <v>6</v>
      </c>
      <c r="B205" s="54">
        <v>42156</v>
      </c>
      <c r="C205" s="240">
        <f t="shared" si="17"/>
        <v>3.9125000000000001</v>
      </c>
      <c r="E205" s="683">
        <f>((C205+'Curve Analysis - Base Case'!G184)*'Revenues &amp; Expenses'!$S$2)/1000</f>
        <v>66.430735789364334</v>
      </c>
    </row>
    <row r="206" spans="1:5">
      <c r="A206" s="50">
        <v>7</v>
      </c>
      <c r="B206" s="54">
        <v>42186</v>
      </c>
      <c r="C206" s="240">
        <f t="shared" si="17"/>
        <v>3.8739583299999998</v>
      </c>
      <c r="E206" s="683">
        <f>((C206+'Curve Analysis - Base Case'!G185)*'Revenues &amp; Expenses'!$S$2)/1000</f>
        <v>66.125896634423029</v>
      </c>
    </row>
    <row r="207" spans="1:5">
      <c r="A207" s="50">
        <v>8</v>
      </c>
      <c r="B207" s="54">
        <v>42217</v>
      </c>
      <c r="C207" s="240">
        <f t="shared" si="17"/>
        <v>3.8739583299999998</v>
      </c>
      <c r="E207" s="683">
        <f>((C207+'Curve Analysis - Base Case'!G186)*'Revenues &amp; Expenses'!$S$2)/1000</f>
        <v>66.190391165816465</v>
      </c>
    </row>
    <row r="208" spans="1:5">
      <c r="A208" s="50">
        <v>9</v>
      </c>
      <c r="B208" s="54">
        <v>42248</v>
      </c>
      <c r="C208" s="240">
        <f t="shared" si="17"/>
        <v>3.91979167</v>
      </c>
      <c r="E208" s="683">
        <f>((C208+'Curve Analysis - Base Case'!G187)*'Revenues &amp; Expenses'!$S$2)/1000</f>
        <v>66.694066608375707</v>
      </c>
    </row>
    <row r="209" spans="1:5">
      <c r="A209" s="50">
        <v>10</v>
      </c>
      <c r="B209" s="54">
        <v>42278</v>
      </c>
      <c r="C209" s="240">
        <f t="shared" si="17"/>
        <v>3.8802083299999999</v>
      </c>
      <c r="E209" s="683">
        <f>((C209+'Curve Analysis - Base Case'!G188)*'Revenues &amp; Expenses'!$S$2)/1000</f>
        <v>66.379679339128415</v>
      </c>
    </row>
    <row r="210" spans="1:5">
      <c r="A210" s="50">
        <v>11</v>
      </c>
      <c r="B210" s="54">
        <v>42309</v>
      </c>
      <c r="C210" s="240">
        <f t="shared" si="17"/>
        <v>3.8802083299999999</v>
      </c>
      <c r="E210" s="683">
        <f>((C210+'Curve Analysis - Base Case'!G189)*'Revenues &amp; Expenses'!$S$2)/1000</f>
        <v>66.44460486897033</v>
      </c>
    </row>
    <row r="211" spans="1:5">
      <c r="A211" s="50">
        <v>12</v>
      </c>
      <c r="B211" s="54">
        <v>42339</v>
      </c>
      <c r="C211" s="240">
        <f t="shared" si="17"/>
        <v>3.8802083299999999</v>
      </c>
      <c r="D211" s="51">
        <f>SUM(C200:C211)</f>
        <v>47.03541666000001</v>
      </c>
      <c r="E211" s="683">
        <f>((C211+'Curve Analysis - Base Case'!G190)*'Revenues &amp; Expenses'!$S$2)/1000</f>
        <v>66.509674704066981</v>
      </c>
    </row>
    <row r="212" spans="1:5">
      <c r="A212" s="50">
        <v>1</v>
      </c>
      <c r="B212" s="54">
        <v>42370</v>
      </c>
      <c r="C212" s="240">
        <f t="shared" ref="C212:C223" si="18">VLOOKUP(A224,$A$5:$S$16,19)</f>
        <v>3.9375</v>
      </c>
      <c r="E212" s="683">
        <f>((C212+'Curve Analysis - Base Case'!G191)*'Revenues &amp; Expenses'!$S$2)/1000</f>
        <v>67.123686072085164</v>
      </c>
    </row>
    <row r="213" spans="1:5">
      <c r="A213" s="50">
        <v>2</v>
      </c>
      <c r="B213" s="54">
        <v>42401</v>
      </c>
      <c r="C213" s="240">
        <f t="shared" si="18"/>
        <v>3.9375</v>
      </c>
      <c r="E213" s="683">
        <f>((C213+'Curve Analysis - Base Case'!G192)*'Revenues &amp; Expenses'!$S$2)/1000</f>
        <v>67.189045480614553</v>
      </c>
    </row>
    <row r="214" spans="1:5">
      <c r="A214" s="50">
        <v>3</v>
      </c>
      <c r="B214" s="54">
        <v>42430</v>
      </c>
      <c r="C214" s="240">
        <f t="shared" si="18"/>
        <v>3.9375</v>
      </c>
      <c r="E214" s="683">
        <f>((C214+'Curve Analysis - Base Case'!G193)*'Revenues &amp; Expenses'!$S$2)/1000</f>
        <v>67.254550158749268</v>
      </c>
    </row>
    <row r="215" spans="1:5">
      <c r="A215" s="50">
        <v>4</v>
      </c>
      <c r="B215" s="54">
        <v>42461</v>
      </c>
      <c r="C215" s="240">
        <f t="shared" si="18"/>
        <v>4.08229167</v>
      </c>
      <c r="E215" s="683">
        <f>((C215+'Curve Analysis - Base Case'!G194)*'Revenues &amp; Expenses'!$S$2)/1000</f>
        <v>68.70715983629951</v>
      </c>
    </row>
    <row r="216" spans="1:5">
      <c r="A216" s="50">
        <v>5</v>
      </c>
      <c r="B216" s="54">
        <v>42491</v>
      </c>
      <c r="C216" s="240">
        <f t="shared" si="18"/>
        <v>3.91979167</v>
      </c>
      <c r="E216" s="683">
        <f>((C216+'Curve Analysis - Base Case'!G195)*'Revenues &amp; Expenses'!$S$2)/1000</f>
        <v>67.216368523003126</v>
      </c>
    </row>
    <row r="217" spans="1:5">
      <c r="A217" s="50">
        <v>6</v>
      </c>
      <c r="B217" s="54">
        <v>42522</v>
      </c>
      <c r="C217" s="240">
        <f t="shared" si="18"/>
        <v>3.9125000000000001</v>
      </c>
      <c r="E217" s="683">
        <f>((C217+'Curve Analysis - Base Case'!G196)*'Revenues &amp; Expenses'!$S$2)/1000</f>
        <v>67.212464043177178</v>
      </c>
    </row>
    <row r="218" spans="1:5">
      <c r="A218" s="50">
        <v>7</v>
      </c>
      <c r="B218" s="54">
        <v>42552</v>
      </c>
      <c r="C218" s="240">
        <f t="shared" si="18"/>
        <v>3.8739583299999998</v>
      </c>
      <c r="E218" s="683">
        <f>((C218+'Curve Analysis - Base Case'!G197)*'Revenues &amp; Expenses'!$S$2)/1000</f>
        <v>66.909362378789552</v>
      </c>
    </row>
    <row r="219" spans="1:5">
      <c r="A219" s="50">
        <v>8</v>
      </c>
      <c r="B219" s="54">
        <v>42583</v>
      </c>
      <c r="C219" s="240">
        <f t="shared" si="18"/>
        <v>3.8739583299999998</v>
      </c>
      <c r="E219" s="683">
        <f>((C219+'Curve Analysis - Base Case'!G198)*'Revenues &amp; Expenses'!$S$2)/1000</f>
        <v>66.97559826253061</v>
      </c>
    </row>
    <row r="220" spans="1:5">
      <c r="A220" s="50">
        <v>9</v>
      </c>
      <c r="B220" s="54">
        <v>42614</v>
      </c>
      <c r="C220" s="240">
        <f t="shared" si="18"/>
        <v>3.91979167</v>
      </c>
      <c r="E220" s="683">
        <f>((C220+'Curve Analysis - Base Case'!G199)*'Revenues &amp; Expenses'!$S$2)/1000</f>
        <v>67.481018927814745</v>
      </c>
    </row>
    <row r="221" spans="1:5">
      <c r="A221" s="50">
        <v>10</v>
      </c>
      <c r="B221" s="54">
        <v>42644</v>
      </c>
      <c r="C221" s="240">
        <f t="shared" si="18"/>
        <v>3.8802083299999999</v>
      </c>
      <c r="E221" s="683">
        <f>((C221+'Curve Analysis - Base Case'!G200)*'Revenues &amp; Expenses'!$S$2)/1000</f>
        <v>67.168380760271987</v>
      </c>
    </row>
    <row r="222" spans="1:5">
      <c r="A222" s="50">
        <v>11</v>
      </c>
      <c r="B222" s="54">
        <v>42675</v>
      </c>
      <c r="C222" s="240">
        <f t="shared" si="18"/>
        <v>3.8802083299999999</v>
      </c>
      <c r="E222" s="683">
        <f>((C222+'Curve Analysis - Base Case'!G201)*'Revenues &amp; Expenses'!$S$2)/1000</f>
        <v>67.235059279419659</v>
      </c>
    </row>
    <row r="223" spans="1:5">
      <c r="A223" s="50">
        <v>12</v>
      </c>
      <c r="B223" s="54">
        <v>42705</v>
      </c>
      <c r="C223" s="240">
        <f t="shared" si="18"/>
        <v>3.8802083299999999</v>
      </c>
      <c r="D223" s="51">
        <f>SUM(C212:C223)</f>
        <v>47.03541666000001</v>
      </c>
      <c r="E223" s="683">
        <f>((C223+'Curve Analysis - Base Case'!G202)*'Revenues &amp; Expenses'!$S$2)/1000</f>
        <v>67.301886000063917</v>
      </c>
    </row>
    <row r="224" spans="1:5">
      <c r="A224" s="50">
        <v>1</v>
      </c>
      <c r="B224" s="54">
        <v>42736</v>
      </c>
      <c r="C224" s="240">
        <f t="shared" ref="C224:C235" si="19">VLOOKUP(A236,$A$5:$T$16,20)</f>
        <v>3.9375</v>
      </c>
      <c r="E224" s="683">
        <f>((C224+'Curve Analysis - Base Case'!G203)*'Revenues &amp; Expenses'!$S$2)/1000</f>
        <v>67.917658158531466</v>
      </c>
    </row>
    <row r="225" spans="1:5">
      <c r="A225" s="50">
        <v>2</v>
      </c>
      <c r="B225" s="54">
        <v>42767</v>
      </c>
      <c r="C225" s="240">
        <f t="shared" si="19"/>
        <v>3.9375</v>
      </c>
      <c r="E225" s="683">
        <f>((C225+'Curve Analysis - Base Case'!G204)*'Revenues &amp; Expenses'!$S$2)/1000</f>
        <v>67.984782271091149</v>
      </c>
    </row>
    <row r="226" spans="1:5">
      <c r="A226" s="50">
        <v>3</v>
      </c>
      <c r="B226" s="54">
        <v>42795</v>
      </c>
      <c r="C226" s="240">
        <f t="shared" si="19"/>
        <v>3.9375</v>
      </c>
      <c r="E226" s="683">
        <f>((C226+'Curve Analysis - Base Case'!G205)*'Revenues &amp; Expenses'!$S$2)/1000</f>
        <v>68.052055575535491</v>
      </c>
    </row>
    <row r="227" spans="1:5">
      <c r="A227" s="50">
        <v>4</v>
      </c>
      <c r="B227" s="54">
        <v>42826</v>
      </c>
      <c r="C227" s="240">
        <f t="shared" si="19"/>
        <v>4.08229167</v>
      </c>
      <c r="E227" s="683">
        <f>((C227+'Curve Analysis - Base Case'!G206)*'Revenues &amp; Expenses'!$S$2)/1000</f>
        <v>69.506437810392498</v>
      </c>
    </row>
    <row r="228" spans="1:5">
      <c r="A228" s="50">
        <v>5</v>
      </c>
      <c r="B228" s="54">
        <v>42856</v>
      </c>
      <c r="C228" s="240">
        <f t="shared" si="19"/>
        <v>3.91979167</v>
      </c>
      <c r="E228" s="683">
        <f>((C228+'Curve Analysis - Base Case'!G207)*'Revenues &amp; Expenses'!$S$2)/1000</f>
        <v>68.017422994137107</v>
      </c>
    </row>
    <row r="229" spans="1:5">
      <c r="A229" s="50">
        <v>6</v>
      </c>
      <c r="B229" s="54">
        <v>42887</v>
      </c>
      <c r="C229" s="240">
        <f t="shared" si="19"/>
        <v>3.9125000000000001</v>
      </c>
      <c r="E229" s="683">
        <f>((C229+'Curve Analysis - Base Case'!G208)*'Revenues &amp; Expenses'!$S$2)/1000</f>
        <v>68.015298959842951</v>
      </c>
    </row>
    <row r="230" spans="1:5">
      <c r="A230" s="50">
        <v>7</v>
      </c>
      <c r="B230" s="54">
        <v>42917</v>
      </c>
      <c r="C230" s="240">
        <f t="shared" si="19"/>
        <v>3.8739583299999998</v>
      </c>
      <c r="E230" s="683">
        <f>((C230+'Curve Analysis - Base Case'!G209)*'Revenues &amp; Expenses'!$S$2)/1000</f>
        <v>67.713981698253974</v>
      </c>
    </row>
    <row r="231" spans="1:5">
      <c r="A231" s="50">
        <v>8</v>
      </c>
      <c r="B231" s="54">
        <v>42948</v>
      </c>
      <c r="C231" s="240">
        <f t="shared" si="19"/>
        <v>3.8739583299999998</v>
      </c>
      <c r="E231" s="683">
        <f>((C231+'Curve Analysis - Base Case'!G210)*'Revenues &amp; Expenses'!$S$2)/1000</f>
        <v>67.782005950856046</v>
      </c>
    </row>
    <row r="232" spans="1:5">
      <c r="A232" s="50">
        <v>9</v>
      </c>
      <c r="B232" s="54">
        <v>42979</v>
      </c>
      <c r="C232" s="240">
        <f t="shared" si="19"/>
        <v>3.91979167</v>
      </c>
      <c r="E232" s="683">
        <f>((C232+'Curve Analysis - Base Case'!G211)*'Revenues &amp; Expenses'!$S$2)/1000</f>
        <v>68.289218959878639</v>
      </c>
    </row>
    <row r="233" spans="1:5">
      <c r="A233" s="50">
        <v>10</v>
      </c>
      <c r="B233" s="54">
        <v>43009</v>
      </c>
      <c r="C233" s="240">
        <f t="shared" si="19"/>
        <v>3.8802083299999999</v>
      </c>
      <c r="E233" s="683">
        <f>((C233+'Curve Analysis - Base Case'!G212)*'Revenues &amp; Expenses'!$S$2)/1000</f>
        <v>67.978377119786444</v>
      </c>
    </row>
    <row r="234" spans="1:5">
      <c r="A234" s="50">
        <v>11</v>
      </c>
      <c r="B234" s="54">
        <v>43040</v>
      </c>
      <c r="C234" s="240">
        <f t="shared" si="19"/>
        <v>3.8802083299999999</v>
      </c>
      <c r="E234" s="683">
        <f>((C234+'Curve Analysis - Base Case'!G213)*'Revenues &amp; Expenses'!$S$2)/1000</f>
        <v>68.046855958951085</v>
      </c>
    </row>
    <row r="235" spans="1:5">
      <c r="A235" s="50">
        <v>12</v>
      </c>
      <c r="B235" s="54">
        <v>43070</v>
      </c>
      <c r="C235" s="240">
        <f t="shared" si="19"/>
        <v>3.8802083299999999</v>
      </c>
      <c r="D235" s="51">
        <f>SUM(C224:C235)</f>
        <v>47.03541666000001</v>
      </c>
      <c r="E235" s="683">
        <f>((C235+'Curve Analysis - Base Case'!G214)*'Revenues &amp; Expenses'!$S$2)/1000</f>
        <v>68.115487001052742</v>
      </c>
    </row>
    <row r="236" spans="1:5">
      <c r="A236" s="50">
        <v>1</v>
      </c>
      <c r="B236" s="54">
        <v>43101</v>
      </c>
      <c r="C236" s="240">
        <f t="shared" ref="C236:C247" si="20">VLOOKUP(A248,$A$5:$U$16,21)</f>
        <v>3.9375</v>
      </c>
      <c r="E236" s="683">
        <f>((C236+'Curve Analysis - Base Case'!G215)*'Revenues &amp; Expenses'!$S$2)/1000</f>
        <v>68.733067491311814</v>
      </c>
    </row>
    <row r="237" spans="1:5">
      <c r="A237" s="50">
        <v>2</v>
      </c>
      <c r="B237" s="54">
        <v>43132</v>
      </c>
      <c r="C237" s="240">
        <f t="shared" si="20"/>
        <v>3.9375</v>
      </c>
      <c r="E237" s="683">
        <f>((C237+'Curve Analysis - Base Case'!G216)*'Revenues &amp; Expenses'!$S$2)/1000</f>
        <v>68.802003954910603</v>
      </c>
    </row>
    <row r="238" spans="1:5">
      <c r="A238" s="50">
        <v>3</v>
      </c>
      <c r="B238" s="54">
        <v>43160</v>
      </c>
      <c r="C238" s="240">
        <f t="shared" si="20"/>
        <v>3.9375</v>
      </c>
      <c r="E238" s="683">
        <f>((C238+'Curve Analysis - Base Case'!G217)*'Revenues &amp; Expenses'!$S$2)/1000</f>
        <v>68.871093638574948</v>
      </c>
    </row>
    <row r="239" spans="1:5">
      <c r="A239" s="50">
        <v>4</v>
      </c>
      <c r="B239" s="54">
        <v>43191</v>
      </c>
      <c r="C239" s="240">
        <f t="shared" si="20"/>
        <v>4.08229167</v>
      </c>
      <c r="E239" s="683">
        <f>((C239+'Curve Analysis - Base Case'!G218)*'Revenues &amp; Expenses'!$S$2)/1000</f>
        <v>70.327296289785977</v>
      </c>
    </row>
    <row r="240" spans="1:5">
      <c r="A240" s="50">
        <v>5</v>
      </c>
      <c r="B240" s="54">
        <v>43221</v>
      </c>
      <c r="C240" s="240">
        <f t="shared" si="20"/>
        <v>3.91979167</v>
      </c>
      <c r="E240" s="683">
        <f>((C240+'Curve Analysis - Base Case'!G219)*'Revenues &amp; Expenses'!$S$2)/1000</f>
        <v>68.840105935991687</v>
      </c>
    </row>
    <row r="241" spans="1:5">
      <c r="A241" s="50">
        <v>6</v>
      </c>
      <c r="B241" s="54">
        <v>43252</v>
      </c>
      <c r="C241" s="240">
        <f t="shared" si="20"/>
        <v>3.9125000000000001</v>
      </c>
      <c r="E241" s="683">
        <f>((C241+'Curve Analysis - Base Case'!G220)*'Revenues &amp; Expenses'!$S$2)/1000</f>
        <v>68.839810419258711</v>
      </c>
    </row>
    <row r="242" spans="1:5">
      <c r="A242" s="50">
        <v>7</v>
      </c>
      <c r="B242" s="54">
        <v>43282</v>
      </c>
      <c r="C242" s="240">
        <f t="shared" si="20"/>
        <v>3.8739583299999998</v>
      </c>
      <c r="E242" s="683">
        <f>((C242+'Curve Analysis - Base Case'!G221)*'Revenues &amp; Expenses'!$S$2)/1000</f>
        <v>68.540325739343942</v>
      </c>
    </row>
    <row r="243" spans="1:5">
      <c r="A243" s="50">
        <v>8</v>
      </c>
      <c r="B243" s="54">
        <v>43313</v>
      </c>
      <c r="C243" s="240">
        <f t="shared" si="20"/>
        <v>3.8739583299999998</v>
      </c>
      <c r="E243" s="683">
        <f>((C243+'Curve Analysis - Base Case'!G222)*'Revenues &amp; Expenses'!$S$2)/1000</f>
        <v>68.610186646766266</v>
      </c>
    </row>
    <row r="244" spans="1:5">
      <c r="A244" s="50">
        <v>9</v>
      </c>
      <c r="B244" s="54">
        <v>43344</v>
      </c>
      <c r="C244" s="240">
        <f t="shared" si="20"/>
        <v>3.91979167</v>
      </c>
      <c r="E244" s="683">
        <f>((C244+'Curve Analysis - Base Case'!G223)*'Revenues &amp; Expenses'!$S$2)/1000</f>
        <v>69.119240392808237</v>
      </c>
    </row>
    <row r="245" spans="1:5">
      <c r="A245" s="50">
        <v>10</v>
      </c>
      <c r="B245" s="54">
        <v>43374</v>
      </c>
      <c r="C245" s="240">
        <f t="shared" si="20"/>
        <v>3.8802083299999999</v>
      </c>
      <c r="E245" s="683">
        <f>((C245+'Curve Analysis - Base Case'!G224)*'Revenues &amp; Expenses'!$S$2)/1000</f>
        <v>68.81024338100778</v>
      </c>
    </row>
    <row r="246" spans="1:5">
      <c r="A246" s="50">
        <v>11</v>
      </c>
      <c r="B246" s="54">
        <v>43405</v>
      </c>
      <c r="C246" s="240">
        <f t="shared" si="20"/>
        <v>3.8802083299999999</v>
      </c>
      <c r="E246" s="683">
        <f>((C246+'Curve Analysis - Base Case'!G225)*'Revenues &amp; Expenses'!$S$2)/1000</f>
        <v>68.880571148829873</v>
      </c>
    </row>
    <row r="247" spans="1:5">
      <c r="A247" s="50">
        <v>12</v>
      </c>
      <c r="B247" s="54">
        <v>43435</v>
      </c>
      <c r="C247" s="240">
        <f t="shared" si="20"/>
        <v>3.8802083299999999</v>
      </c>
      <c r="D247" s="51">
        <f>SUM(C236:C247)</f>
        <v>47.03541666000001</v>
      </c>
      <c r="E247" s="683">
        <f>((C247+'Curve Analysis - Base Case'!G226)*'Revenues &amp; Expenses'!$S$2)/1000</f>
        <v>68.951055229068274</v>
      </c>
    </row>
    <row r="248" spans="1:5">
      <c r="A248" s="50">
        <v>1</v>
      </c>
      <c r="B248" s="54">
        <v>43466</v>
      </c>
      <c r="C248" s="240">
        <f t="shared" ref="C248:C259" si="21">VLOOKUP(A260,$A$5:$V$16,22)</f>
        <v>3.9375</v>
      </c>
      <c r="E248" s="683">
        <f>((C248+'Curve Analysis - Base Case'!G227)*'Revenues &amp; Expenses'!$S$2)/1000</f>
        <v>69.570492876077211</v>
      </c>
    </row>
    <row r="249" spans="1:5">
      <c r="A249" s="50">
        <v>2</v>
      </c>
      <c r="B249" s="54">
        <v>43497</v>
      </c>
      <c r="C249" s="240">
        <f t="shared" si="21"/>
        <v>3.9375</v>
      </c>
      <c r="E249" s="683">
        <f>((C249+'Curve Analysis - Base Case'!G228)*'Revenues &amp; Expenses'!$S$2)/1000</f>
        <v>69.641290624193175</v>
      </c>
    </row>
    <row r="250" spans="1:5">
      <c r="A250" s="50">
        <v>3</v>
      </c>
      <c r="B250" s="54">
        <v>43525</v>
      </c>
      <c r="C250" s="240">
        <f t="shared" si="21"/>
        <v>3.9375</v>
      </c>
      <c r="E250" s="683">
        <f>((C250+'Curve Analysis - Base Case'!G229)*'Revenues &amp; Expenses'!$S$2)/1000</f>
        <v>69.712245729316479</v>
      </c>
    </row>
    <row r="251" spans="1:5">
      <c r="A251" s="50">
        <v>4</v>
      </c>
      <c r="B251" s="54">
        <v>43556</v>
      </c>
      <c r="C251" s="240">
        <f t="shared" si="21"/>
        <v>4.08229167</v>
      </c>
      <c r="E251" s="683">
        <f>((C251+'Curve Analysis - Base Case'!G230)*'Revenues &amp; Expenses'!$S$2)/1000</f>
        <v>71.170317948123085</v>
      </c>
    </row>
    <row r="252" spans="1:5">
      <c r="A252" s="50">
        <v>5</v>
      </c>
      <c r="B252" s="54">
        <v>43586</v>
      </c>
      <c r="C252" s="240">
        <f t="shared" si="21"/>
        <v>3.91979167</v>
      </c>
      <c r="E252" s="683">
        <f>((C252+'Curve Analysis - Base Case'!G231)*'Revenues &amp; Expenses'!$S$2)/1000</f>
        <v>69.685001317276345</v>
      </c>
    </row>
    <row r="253" spans="1:5">
      <c r="A253" s="50">
        <v>6</v>
      </c>
      <c r="B253" s="54">
        <v>43617</v>
      </c>
      <c r="C253" s="240">
        <f t="shared" si="21"/>
        <v>3.9125000000000001</v>
      </c>
      <c r="E253" s="683">
        <f>((C253+'Curve Analysis - Base Case'!G232)*'Revenues &amp; Expenses'!$S$2)/1000</f>
        <v>69.686583688078699</v>
      </c>
    </row>
    <row r="254" spans="1:5">
      <c r="A254" s="50">
        <v>7</v>
      </c>
      <c r="B254" s="54">
        <v>43647</v>
      </c>
      <c r="C254" s="240">
        <f t="shared" si="21"/>
        <v>3.8739583299999998</v>
      </c>
      <c r="E254" s="683">
        <f>((C254+'Curve Analysis - Base Case'!G233)*'Revenues &amp; Expenses'!$S$2)/1000</f>
        <v>69.388981069543334</v>
      </c>
    </row>
    <row r="255" spans="1:5">
      <c r="A255" s="50">
        <v>8</v>
      </c>
      <c r="B255" s="54">
        <v>43678</v>
      </c>
      <c r="C255" s="240">
        <f t="shared" si="21"/>
        <v>3.8739583299999998</v>
      </c>
      <c r="E255" s="683">
        <f>((C255+'Curve Analysis - Base Case'!G234)*'Revenues &amp; Expenses'!$S$2)/1000</f>
        <v>69.46072822146607</v>
      </c>
    </row>
    <row r="256" spans="1:5">
      <c r="A256" s="50">
        <v>9</v>
      </c>
      <c r="B256" s="54">
        <v>43709</v>
      </c>
      <c r="C256" s="240">
        <f t="shared" si="21"/>
        <v>3.91979167</v>
      </c>
      <c r="E256" s="683">
        <f>((C256+'Curve Analysis - Base Case'!G235)*'Revenues &amp; Expenses'!$S$2)/1000</f>
        <v>69.971672404426954</v>
      </c>
    </row>
    <row r="257" spans="1:5">
      <c r="A257" s="50">
        <v>10</v>
      </c>
      <c r="B257" s="54">
        <v>43739</v>
      </c>
      <c r="C257" s="240">
        <f t="shared" si="21"/>
        <v>3.8802083299999999</v>
      </c>
      <c r="E257" s="683">
        <f>((C257+'Curve Analysis - Base Case'!G236)*'Revenues &amp; Expenses'!$S$2)/1000</f>
        <v>69.664570031282082</v>
      </c>
    </row>
    <row r="258" spans="1:5">
      <c r="A258" s="50">
        <v>11</v>
      </c>
      <c r="B258" s="54">
        <v>43770</v>
      </c>
      <c r="C258" s="240">
        <f t="shared" si="21"/>
        <v>3.8802083299999999</v>
      </c>
      <c r="E258" s="683">
        <f>((C258+'Curve Analysis - Base Case'!G237)*'Revenues &amp; Expenses'!$S$2)/1000</f>
        <v>69.73679664883538</v>
      </c>
    </row>
    <row r="259" spans="1:5">
      <c r="A259" s="50">
        <v>12</v>
      </c>
      <c r="B259" s="54">
        <v>43800</v>
      </c>
      <c r="C259" s="240">
        <f t="shared" si="21"/>
        <v>3.8802083299999999</v>
      </c>
      <c r="D259" s="51">
        <f>SUM(C248:C259)</f>
        <v>47.03541666000001</v>
      </c>
      <c r="E259" s="683">
        <f>((C259+'Curve Analysis - Base Case'!G238)*'Revenues &amp; Expenses'!$S$2)/1000</f>
        <v>69.809183799240216</v>
      </c>
    </row>
    <row r="260" spans="1:5">
      <c r="A260" s="50">
        <v>1</v>
      </c>
      <c r="B260" s="54">
        <v>43831</v>
      </c>
    </row>
    <row r="261" spans="1:5">
      <c r="A261" s="50">
        <v>2</v>
      </c>
      <c r="B261" s="54">
        <v>43862</v>
      </c>
    </row>
    <row r="262" spans="1:5">
      <c r="A262" s="50">
        <v>3</v>
      </c>
      <c r="B262" s="54">
        <v>43891</v>
      </c>
    </row>
    <row r="263" spans="1:5">
      <c r="A263" s="50">
        <v>4</v>
      </c>
      <c r="B263" s="54">
        <v>43922</v>
      </c>
    </row>
    <row r="264" spans="1:5">
      <c r="A264" s="50">
        <v>5</v>
      </c>
      <c r="B264" s="54">
        <v>43952</v>
      </c>
    </row>
    <row r="265" spans="1:5">
      <c r="A265" s="50">
        <v>6</v>
      </c>
      <c r="B265" s="54">
        <v>43983</v>
      </c>
    </row>
    <row r="266" spans="1:5">
      <c r="A266" s="50">
        <v>7</v>
      </c>
      <c r="B266" s="54">
        <v>44013</v>
      </c>
    </row>
    <row r="267" spans="1:5">
      <c r="A267" s="50">
        <v>8</v>
      </c>
      <c r="B267" s="54">
        <v>44044</v>
      </c>
    </row>
    <row r="268" spans="1:5">
      <c r="A268" s="50">
        <v>9</v>
      </c>
      <c r="B268" s="54">
        <v>44075</v>
      </c>
    </row>
    <row r="269" spans="1:5">
      <c r="A269" s="50">
        <v>10</v>
      </c>
      <c r="B269" s="54">
        <v>44105</v>
      </c>
    </row>
    <row r="270" spans="1:5">
      <c r="A270" s="50">
        <v>11</v>
      </c>
      <c r="B270" s="54">
        <v>44136</v>
      </c>
    </row>
    <row r="271" spans="1:5">
      <c r="A271" s="50">
        <v>12</v>
      </c>
      <c r="B271" s="54">
        <v>44166</v>
      </c>
    </row>
    <row r="272" spans="1:5">
      <c r="A272" s="50">
        <v>1</v>
      </c>
      <c r="B272" s="54">
        <v>44197</v>
      </c>
      <c r="C272" s="240">
        <f>VLOOKUP(A272,$A$5:$W$16,23)</f>
        <v>3.9375</v>
      </c>
    </row>
    <row r="273" spans="1:4">
      <c r="A273" s="50">
        <v>2</v>
      </c>
      <c r="B273" s="54">
        <v>44228</v>
      </c>
      <c r="C273" s="240">
        <f t="shared" ref="C273:C283" si="22">VLOOKUP(A273,$A$5:$W$16,23)</f>
        <v>3.9375</v>
      </c>
    </row>
    <row r="274" spans="1:4">
      <c r="A274" s="50">
        <v>3</v>
      </c>
      <c r="B274" s="54">
        <v>44256</v>
      </c>
      <c r="C274" s="240">
        <f t="shared" si="22"/>
        <v>3.9375</v>
      </c>
    </row>
    <row r="275" spans="1:4">
      <c r="A275" s="50">
        <v>4</v>
      </c>
      <c r="B275" s="54">
        <v>44287</v>
      </c>
      <c r="C275" s="240">
        <f t="shared" si="22"/>
        <v>4.08229167</v>
      </c>
    </row>
    <row r="276" spans="1:4">
      <c r="A276" s="50">
        <v>5</v>
      </c>
      <c r="B276" s="54">
        <v>44317</v>
      </c>
      <c r="C276" s="240">
        <f t="shared" si="22"/>
        <v>3.91979167</v>
      </c>
    </row>
    <row r="277" spans="1:4">
      <c r="A277" s="50">
        <v>6</v>
      </c>
      <c r="B277" s="54">
        <v>44348</v>
      </c>
      <c r="C277" s="240">
        <f t="shared" si="22"/>
        <v>3.9125000000000001</v>
      </c>
    </row>
    <row r="278" spans="1:4">
      <c r="A278" s="50">
        <v>7</v>
      </c>
      <c r="B278" s="54">
        <v>44378</v>
      </c>
      <c r="C278" s="240">
        <f t="shared" si="22"/>
        <v>3.8739583299999998</v>
      </c>
    </row>
    <row r="279" spans="1:4">
      <c r="A279" s="50">
        <v>8</v>
      </c>
      <c r="B279" s="54">
        <v>44409</v>
      </c>
      <c r="C279" s="240">
        <f t="shared" si="22"/>
        <v>3.8739583299999998</v>
      </c>
    </row>
    <row r="280" spans="1:4">
      <c r="A280" s="50">
        <v>9</v>
      </c>
      <c r="B280" s="54">
        <v>44440</v>
      </c>
      <c r="C280" s="240">
        <f t="shared" si="22"/>
        <v>3.91979167</v>
      </c>
    </row>
    <row r="281" spans="1:4">
      <c r="A281" s="50">
        <v>10</v>
      </c>
      <c r="B281" s="54">
        <v>44470</v>
      </c>
      <c r="C281" s="240">
        <f t="shared" si="22"/>
        <v>3.8802083299999999</v>
      </c>
    </row>
    <row r="282" spans="1:4">
      <c r="A282" s="50">
        <v>11</v>
      </c>
      <c r="B282" s="54">
        <v>44501</v>
      </c>
      <c r="C282" s="240">
        <f t="shared" si="22"/>
        <v>3.8802083299999999</v>
      </c>
    </row>
    <row r="283" spans="1:4">
      <c r="A283" s="50">
        <v>12</v>
      </c>
      <c r="B283" s="54">
        <v>44531</v>
      </c>
      <c r="C283" s="240">
        <f t="shared" si="22"/>
        <v>3.8802083299999999</v>
      </c>
      <c r="D283" s="51">
        <f>SUM(C272:C283)</f>
        <v>47.03541666000001</v>
      </c>
    </row>
    <row r="284" spans="1:4">
      <c r="A284" s="50">
        <v>1</v>
      </c>
      <c r="B284" s="54">
        <v>44562</v>
      </c>
    </row>
    <row r="285" spans="1:4">
      <c r="A285" s="50">
        <v>2</v>
      </c>
      <c r="B285" s="54">
        <v>44593</v>
      </c>
    </row>
    <row r="286" spans="1:4">
      <c r="A286" s="50">
        <v>3</v>
      </c>
      <c r="B286" s="54">
        <v>44621</v>
      </c>
    </row>
    <row r="287" spans="1:4">
      <c r="A287" s="50">
        <v>4</v>
      </c>
      <c r="B287" s="54">
        <v>44652</v>
      </c>
    </row>
    <row r="288" spans="1:4">
      <c r="A288" s="50">
        <v>5</v>
      </c>
      <c r="B288" s="54">
        <v>44682</v>
      </c>
    </row>
    <row r="289" spans="1:2">
      <c r="A289" s="50">
        <v>6</v>
      </c>
      <c r="B289" s="54">
        <v>44713</v>
      </c>
    </row>
    <row r="290" spans="1:2">
      <c r="A290" s="50">
        <v>7</v>
      </c>
      <c r="B290" s="54">
        <v>44743</v>
      </c>
    </row>
    <row r="291" spans="1:2">
      <c r="A291" s="50">
        <v>8</v>
      </c>
      <c r="B291" s="54">
        <v>44774</v>
      </c>
    </row>
    <row r="292" spans="1:2">
      <c r="A292" s="50">
        <v>9</v>
      </c>
      <c r="B292" s="54">
        <v>44805</v>
      </c>
    </row>
    <row r="293" spans="1:2">
      <c r="A293" s="50">
        <v>10</v>
      </c>
      <c r="B293" s="54">
        <v>44835</v>
      </c>
    </row>
    <row r="294" spans="1:2">
      <c r="A294" s="50">
        <v>11</v>
      </c>
      <c r="B294" s="54">
        <v>44866</v>
      </c>
    </row>
    <row r="295" spans="1:2">
      <c r="A295" s="50">
        <v>12</v>
      </c>
      <c r="B295" s="54">
        <v>44896</v>
      </c>
    </row>
    <row r="296" spans="1:2">
      <c r="A296" s="50">
        <v>1</v>
      </c>
      <c r="B296" s="54">
        <v>44927</v>
      </c>
    </row>
    <row r="297" spans="1:2">
      <c r="A297" s="50">
        <v>2</v>
      </c>
      <c r="B297" s="54">
        <v>44958</v>
      </c>
    </row>
    <row r="298" spans="1:2">
      <c r="A298" s="50">
        <v>3</v>
      </c>
      <c r="B298" s="54">
        <v>44986</v>
      </c>
    </row>
    <row r="299" spans="1:2">
      <c r="A299" s="50">
        <v>4</v>
      </c>
      <c r="B299" s="54">
        <v>45017</v>
      </c>
    </row>
    <row r="300" spans="1:2">
      <c r="A300" s="50">
        <v>5</v>
      </c>
      <c r="B300" s="54">
        <v>45047</v>
      </c>
    </row>
    <row r="301" spans="1:2">
      <c r="A301" s="50">
        <v>6</v>
      </c>
      <c r="B301" s="54">
        <v>45078</v>
      </c>
    </row>
    <row r="302" spans="1:2">
      <c r="A302" s="50">
        <v>7</v>
      </c>
      <c r="B302" s="54">
        <v>45108</v>
      </c>
    </row>
    <row r="303" spans="1:2">
      <c r="A303" s="50">
        <v>8</v>
      </c>
      <c r="B303" s="54">
        <v>45139</v>
      </c>
    </row>
    <row r="304" spans="1:2">
      <c r="A304" s="50">
        <v>9</v>
      </c>
      <c r="B304" s="54">
        <v>45170</v>
      </c>
    </row>
    <row r="305" spans="1:2">
      <c r="A305" s="50">
        <v>10</v>
      </c>
      <c r="B305" s="54">
        <v>45200</v>
      </c>
    </row>
    <row r="306" spans="1:2">
      <c r="A306" s="50">
        <v>11</v>
      </c>
      <c r="B306" s="54">
        <v>45231</v>
      </c>
    </row>
    <row r="307" spans="1:2">
      <c r="A307" s="50">
        <v>12</v>
      </c>
      <c r="B307" s="54">
        <v>45261</v>
      </c>
    </row>
    <row r="308" spans="1:2">
      <c r="A308" s="50">
        <v>1</v>
      </c>
      <c r="B308" s="54">
        <v>45292</v>
      </c>
    </row>
    <row r="309" spans="1:2">
      <c r="A309" s="50">
        <v>2</v>
      </c>
      <c r="B309" s="54">
        <v>45323</v>
      </c>
    </row>
    <row r="310" spans="1:2">
      <c r="A310" s="50">
        <v>3</v>
      </c>
      <c r="B310" s="54">
        <v>45352</v>
      </c>
    </row>
    <row r="311" spans="1:2">
      <c r="A311" s="50">
        <v>4</v>
      </c>
      <c r="B311" s="54">
        <v>45383</v>
      </c>
    </row>
    <row r="312" spans="1:2">
      <c r="A312" s="50">
        <v>5</v>
      </c>
      <c r="B312" s="54">
        <v>45413</v>
      </c>
    </row>
    <row r="313" spans="1:2">
      <c r="A313" s="50">
        <v>6</v>
      </c>
      <c r="B313" s="54">
        <v>45444</v>
      </c>
    </row>
    <row r="314" spans="1:2">
      <c r="A314" s="50">
        <v>7</v>
      </c>
      <c r="B314" s="54">
        <v>45474</v>
      </c>
    </row>
    <row r="315" spans="1:2">
      <c r="A315" s="50">
        <v>8</v>
      </c>
      <c r="B315" s="54">
        <v>45505</v>
      </c>
    </row>
    <row r="316" spans="1:2">
      <c r="A316" s="50">
        <v>9</v>
      </c>
      <c r="B316" s="54">
        <v>45536</v>
      </c>
    </row>
    <row r="317" spans="1:2">
      <c r="A317" s="50">
        <v>10</v>
      </c>
      <c r="B317" s="54">
        <v>45566</v>
      </c>
    </row>
    <row r="318" spans="1:2">
      <c r="A318" s="50">
        <v>11</v>
      </c>
      <c r="B318" s="54">
        <v>45597</v>
      </c>
    </row>
    <row r="319" spans="1:2">
      <c r="A319" s="50">
        <v>12</v>
      </c>
      <c r="B319" s="54">
        <v>45627</v>
      </c>
    </row>
    <row r="320" spans="1:2">
      <c r="A320" s="50">
        <v>1</v>
      </c>
      <c r="B320" s="54">
        <v>45658</v>
      </c>
    </row>
    <row r="321" spans="1:2">
      <c r="A321" s="50">
        <v>2</v>
      </c>
      <c r="B321" s="54">
        <v>45689</v>
      </c>
    </row>
    <row r="322" spans="1:2">
      <c r="A322" s="50">
        <v>3</v>
      </c>
      <c r="B322" s="54">
        <v>45717</v>
      </c>
    </row>
    <row r="323" spans="1:2">
      <c r="A323" s="50">
        <v>4</v>
      </c>
      <c r="B323" s="54">
        <v>45748</v>
      </c>
    </row>
    <row r="324" spans="1:2">
      <c r="A324" s="50">
        <v>5</v>
      </c>
      <c r="B324" s="54">
        <v>45778</v>
      </c>
    </row>
    <row r="325" spans="1:2">
      <c r="A325" s="50">
        <v>6</v>
      </c>
      <c r="B325" s="54">
        <v>45809</v>
      </c>
    </row>
    <row r="326" spans="1:2">
      <c r="A326" s="50">
        <v>7</v>
      </c>
      <c r="B326" s="54">
        <v>45839</v>
      </c>
    </row>
    <row r="327" spans="1:2">
      <c r="A327" s="50">
        <v>8</v>
      </c>
      <c r="B327" s="54">
        <v>45870</v>
      </c>
    </row>
    <row r="328" spans="1:2">
      <c r="A328" s="50">
        <v>9</v>
      </c>
      <c r="B328" s="54">
        <v>45901</v>
      </c>
    </row>
    <row r="329" spans="1:2">
      <c r="A329" s="50">
        <v>10</v>
      </c>
      <c r="B329" s="54">
        <v>45931</v>
      </c>
    </row>
    <row r="330" spans="1:2">
      <c r="A330" s="50">
        <v>11</v>
      </c>
      <c r="B330" s="54">
        <v>45962</v>
      </c>
    </row>
    <row r="331" spans="1:2">
      <c r="A331" s="50">
        <v>12</v>
      </c>
      <c r="B331" s="54">
        <v>45992</v>
      </c>
    </row>
    <row r="332" spans="1:2">
      <c r="A332" s="50">
        <v>1</v>
      </c>
      <c r="B332" s="54">
        <v>46023</v>
      </c>
    </row>
    <row r="333" spans="1:2">
      <c r="A333" s="50">
        <v>2</v>
      </c>
      <c r="B333" s="54">
        <v>46054</v>
      </c>
    </row>
    <row r="334" spans="1:2">
      <c r="A334" s="50">
        <v>3</v>
      </c>
      <c r="B334" s="54">
        <v>46082</v>
      </c>
    </row>
    <row r="335" spans="1:2">
      <c r="A335" s="50">
        <v>4</v>
      </c>
      <c r="B335" s="54">
        <v>46113</v>
      </c>
    </row>
    <row r="336" spans="1:2">
      <c r="A336" s="50">
        <v>5</v>
      </c>
      <c r="B336" s="54">
        <v>46143</v>
      </c>
    </row>
    <row r="337" spans="1:2">
      <c r="A337" s="50">
        <v>6</v>
      </c>
      <c r="B337" s="54">
        <v>46174</v>
      </c>
    </row>
    <row r="338" spans="1:2">
      <c r="A338" s="50">
        <v>7</v>
      </c>
      <c r="B338" s="54">
        <v>46204</v>
      </c>
    </row>
    <row r="339" spans="1:2">
      <c r="A339" s="50">
        <v>8</v>
      </c>
      <c r="B339" s="54">
        <v>46235</v>
      </c>
    </row>
    <row r="340" spans="1:2">
      <c r="A340" s="50">
        <v>9</v>
      </c>
      <c r="B340" s="54">
        <v>46266</v>
      </c>
    </row>
    <row r="341" spans="1:2">
      <c r="A341" s="50">
        <v>10</v>
      </c>
      <c r="B341" s="54">
        <v>46296</v>
      </c>
    </row>
    <row r="342" spans="1:2">
      <c r="A342" s="50">
        <v>11</v>
      </c>
      <c r="B342" s="54">
        <v>46327</v>
      </c>
    </row>
    <row r="343" spans="1:2">
      <c r="A343" s="50">
        <v>12</v>
      </c>
      <c r="B343" s="54">
        <v>46357</v>
      </c>
    </row>
    <row r="344" spans="1:2">
      <c r="A344" s="50">
        <v>1</v>
      </c>
      <c r="B344" s="54">
        <v>46388</v>
      </c>
    </row>
    <row r="345" spans="1:2">
      <c r="A345" s="50">
        <v>2</v>
      </c>
      <c r="B345" s="54">
        <v>46419</v>
      </c>
    </row>
    <row r="346" spans="1:2">
      <c r="A346" s="50">
        <v>3</v>
      </c>
      <c r="B346" s="54">
        <v>46447</v>
      </c>
    </row>
    <row r="347" spans="1:2">
      <c r="A347" s="50">
        <v>4</v>
      </c>
      <c r="B347" s="54">
        <v>46478</v>
      </c>
    </row>
    <row r="348" spans="1:2">
      <c r="A348" s="50">
        <v>5</v>
      </c>
      <c r="B348" s="54">
        <v>46508</v>
      </c>
    </row>
    <row r="349" spans="1:2">
      <c r="A349" s="50">
        <v>6</v>
      </c>
      <c r="B349" s="54">
        <v>46539</v>
      </c>
    </row>
    <row r="350" spans="1:2">
      <c r="A350" s="50">
        <v>7</v>
      </c>
      <c r="B350" s="54">
        <v>46569</v>
      </c>
    </row>
    <row r="351" spans="1:2">
      <c r="A351" s="50">
        <v>8</v>
      </c>
      <c r="B351" s="54">
        <v>46600</v>
      </c>
    </row>
    <row r="352" spans="1:2">
      <c r="A352" s="50">
        <v>9</v>
      </c>
      <c r="B352" s="54">
        <v>46631</v>
      </c>
    </row>
    <row r="353" spans="1:2">
      <c r="A353" s="50">
        <v>10</v>
      </c>
      <c r="B353" s="54">
        <v>46661</v>
      </c>
    </row>
    <row r="354" spans="1:2">
      <c r="A354" s="50">
        <v>11</v>
      </c>
      <c r="B354" s="54">
        <v>46692</v>
      </c>
    </row>
    <row r="355" spans="1:2">
      <c r="A355" s="50">
        <v>12</v>
      </c>
      <c r="B355" s="54">
        <v>46722</v>
      </c>
    </row>
    <row r="356" spans="1:2">
      <c r="A356" s="50">
        <v>1</v>
      </c>
      <c r="B356" s="54">
        <v>46753</v>
      </c>
    </row>
    <row r="357" spans="1:2">
      <c r="A357" s="50">
        <v>2</v>
      </c>
      <c r="B357" s="54">
        <v>46784</v>
      </c>
    </row>
    <row r="358" spans="1:2">
      <c r="A358" s="50">
        <v>3</v>
      </c>
      <c r="B358" s="54">
        <v>46813</v>
      </c>
    </row>
    <row r="359" spans="1:2">
      <c r="A359" s="50">
        <v>4</v>
      </c>
      <c r="B359" s="54">
        <v>46844</v>
      </c>
    </row>
    <row r="360" spans="1:2">
      <c r="A360" s="50">
        <v>5</v>
      </c>
      <c r="B360" s="54">
        <v>46874</v>
      </c>
    </row>
    <row r="361" spans="1:2">
      <c r="A361" s="50">
        <v>6</v>
      </c>
      <c r="B361" s="54">
        <v>46905</v>
      </c>
    </row>
    <row r="362" spans="1:2">
      <c r="A362" s="50">
        <v>7</v>
      </c>
      <c r="B362" s="54">
        <v>46935</v>
      </c>
    </row>
    <row r="363" spans="1:2">
      <c r="A363" s="50">
        <v>8</v>
      </c>
      <c r="B363" s="54">
        <v>46966</v>
      </c>
    </row>
    <row r="364" spans="1:2">
      <c r="A364" s="50">
        <v>9</v>
      </c>
      <c r="B364" s="54">
        <v>46997</v>
      </c>
    </row>
    <row r="365" spans="1:2">
      <c r="A365" s="50">
        <v>10</v>
      </c>
      <c r="B365" s="54">
        <v>47027</v>
      </c>
    </row>
    <row r="366" spans="1:2">
      <c r="A366" s="50">
        <v>11</v>
      </c>
      <c r="B366" s="54">
        <v>47058</v>
      </c>
    </row>
    <row r="367" spans="1:2">
      <c r="A367" s="50">
        <v>12</v>
      </c>
      <c r="B367" s="54">
        <v>47088</v>
      </c>
    </row>
    <row r="368" spans="1:2">
      <c r="A368" s="50">
        <v>1</v>
      </c>
      <c r="B368" s="54">
        <v>47119</v>
      </c>
    </row>
    <row r="369" spans="1:2">
      <c r="A369" s="50">
        <v>2</v>
      </c>
      <c r="B369" s="54">
        <v>47150</v>
      </c>
    </row>
    <row r="370" spans="1:2">
      <c r="A370" s="50">
        <v>3</v>
      </c>
      <c r="B370" s="54">
        <v>47178</v>
      </c>
    </row>
    <row r="371" spans="1:2">
      <c r="A371" s="50">
        <v>4</v>
      </c>
      <c r="B371" s="54">
        <v>47209</v>
      </c>
    </row>
    <row r="372" spans="1:2">
      <c r="A372" s="50">
        <v>5</v>
      </c>
      <c r="B372" s="54">
        <v>47239</v>
      </c>
    </row>
    <row r="373" spans="1:2">
      <c r="A373" s="50">
        <v>6</v>
      </c>
      <c r="B373" s="54">
        <v>47270</v>
      </c>
    </row>
    <row r="374" spans="1:2">
      <c r="A374" s="50">
        <v>7</v>
      </c>
      <c r="B374" s="54">
        <v>47300</v>
      </c>
    </row>
    <row r="375" spans="1:2">
      <c r="A375" s="50">
        <v>8</v>
      </c>
      <c r="B375" s="54">
        <v>47331</v>
      </c>
    </row>
    <row r="376" spans="1:2">
      <c r="A376" s="50">
        <v>9</v>
      </c>
      <c r="B376" s="54">
        <v>47362</v>
      </c>
    </row>
    <row r="377" spans="1:2">
      <c r="A377" s="50">
        <v>10</v>
      </c>
      <c r="B377" s="54">
        <v>47392</v>
      </c>
    </row>
    <row r="378" spans="1:2">
      <c r="A378" s="50">
        <v>11</v>
      </c>
      <c r="B378" s="54">
        <v>47423</v>
      </c>
    </row>
    <row r="379" spans="1:2">
      <c r="A379" s="50">
        <v>12</v>
      </c>
      <c r="B379" s="54">
        <v>47453</v>
      </c>
    </row>
    <row r="380" spans="1:2">
      <c r="A380" s="50">
        <v>1</v>
      </c>
      <c r="B380" s="54">
        <v>47484</v>
      </c>
    </row>
    <row r="381" spans="1:2">
      <c r="A381" s="50">
        <v>2</v>
      </c>
      <c r="B381" s="54">
        <v>47515</v>
      </c>
    </row>
    <row r="382" spans="1:2">
      <c r="A382" s="50">
        <v>3</v>
      </c>
      <c r="B382" s="54">
        <v>47543</v>
      </c>
    </row>
    <row r="383" spans="1:2">
      <c r="A383" s="50">
        <v>4</v>
      </c>
      <c r="B383" s="54">
        <v>47574</v>
      </c>
    </row>
    <row r="384" spans="1:2">
      <c r="A384" s="50">
        <v>5</v>
      </c>
      <c r="B384" s="54">
        <v>47604</v>
      </c>
    </row>
    <row r="385" spans="1:2">
      <c r="A385" s="50">
        <v>6</v>
      </c>
      <c r="B385" s="54">
        <v>47635</v>
      </c>
    </row>
    <row r="386" spans="1:2">
      <c r="A386" s="50">
        <v>7</v>
      </c>
      <c r="B386" s="54">
        <v>47665</v>
      </c>
    </row>
    <row r="387" spans="1:2">
      <c r="A387" s="50">
        <v>8</v>
      </c>
      <c r="B387" s="54">
        <v>47696</v>
      </c>
    </row>
    <row r="388" spans="1:2">
      <c r="A388" s="50">
        <v>9</v>
      </c>
      <c r="B388" s="54">
        <v>47727</v>
      </c>
    </row>
    <row r="389" spans="1:2">
      <c r="A389" s="50">
        <v>10</v>
      </c>
      <c r="B389" s="54">
        <v>47757</v>
      </c>
    </row>
    <row r="390" spans="1:2">
      <c r="A390" s="50">
        <v>11</v>
      </c>
      <c r="B390" s="54">
        <v>47788</v>
      </c>
    </row>
    <row r="391" spans="1:2">
      <c r="A391" s="50">
        <v>12</v>
      </c>
      <c r="B391" s="54">
        <v>47818</v>
      </c>
    </row>
    <row r="392" spans="1:2">
      <c r="A392" s="50">
        <v>1</v>
      </c>
      <c r="B392" s="54">
        <v>47849</v>
      </c>
    </row>
    <row r="393" spans="1:2">
      <c r="A393" s="50">
        <v>2</v>
      </c>
      <c r="B393" s="54">
        <v>47880</v>
      </c>
    </row>
    <row r="394" spans="1:2">
      <c r="A394" s="50">
        <v>3</v>
      </c>
      <c r="B394" s="54">
        <v>47908</v>
      </c>
    </row>
    <row r="395" spans="1:2">
      <c r="A395" s="50">
        <v>4</v>
      </c>
      <c r="B395" s="54">
        <v>47939</v>
      </c>
    </row>
    <row r="396" spans="1:2">
      <c r="A396" s="50">
        <v>5</v>
      </c>
      <c r="B396" s="54">
        <v>47969</v>
      </c>
    </row>
    <row r="397" spans="1:2">
      <c r="A397" s="50">
        <v>6</v>
      </c>
      <c r="B397" s="54">
        <v>48000</v>
      </c>
    </row>
    <row r="398" spans="1:2">
      <c r="A398" s="50">
        <v>7</v>
      </c>
      <c r="B398" s="54">
        <v>48030</v>
      </c>
    </row>
    <row r="399" spans="1:2">
      <c r="A399" s="50">
        <v>8</v>
      </c>
      <c r="B399" s="54">
        <v>48061</v>
      </c>
    </row>
    <row r="400" spans="1:2">
      <c r="A400" s="50">
        <v>9</v>
      </c>
      <c r="B400" s="54">
        <v>48092</v>
      </c>
    </row>
    <row r="401" spans="1:2">
      <c r="A401" s="50">
        <v>10</v>
      </c>
      <c r="B401" s="54">
        <v>48122</v>
      </c>
    </row>
    <row r="402" spans="1:2">
      <c r="A402" s="50">
        <v>11</v>
      </c>
      <c r="B402" s="54">
        <v>48153</v>
      </c>
    </row>
    <row r="403" spans="1:2">
      <c r="A403" s="50">
        <v>12</v>
      </c>
      <c r="B403" s="54">
        <v>48183</v>
      </c>
    </row>
    <row r="404" spans="1:2">
      <c r="A404" s="50">
        <v>1</v>
      </c>
      <c r="B404" s="54">
        <v>48214</v>
      </c>
    </row>
    <row r="405" spans="1:2">
      <c r="A405" s="50">
        <v>2</v>
      </c>
      <c r="B405" s="54">
        <v>48245</v>
      </c>
    </row>
    <row r="406" spans="1:2">
      <c r="A406" s="50">
        <v>3</v>
      </c>
      <c r="B406" s="54">
        <v>48274</v>
      </c>
    </row>
    <row r="407" spans="1:2">
      <c r="A407" s="50">
        <v>4</v>
      </c>
      <c r="B407" s="54">
        <v>48305</v>
      </c>
    </row>
    <row r="408" spans="1:2">
      <c r="A408" s="50">
        <v>5</v>
      </c>
      <c r="B408" s="54">
        <v>48335</v>
      </c>
    </row>
    <row r="409" spans="1:2">
      <c r="A409" s="50">
        <v>6</v>
      </c>
      <c r="B409" s="54">
        <v>48366</v>
      </c>
    </row>
    <row r="410" spans="1:2">
      <c r="A410" s="50">
        <v>7</v>
      </c>
      <c r="B410" s="54">
        <v>48396</v>
      </c>
    </row>
    <row r="411" spans="1:2">
      <c r="A411" s="50">
        <v>8</v>
      </c>
      <c r="B411" s="54">
        <v>48427</v>
      </c>
    </row>
    <row r="412" spans="1:2">
      <c r="A412" s="50">
        <v>9</v>
      </c>
      <c r="B412" s="54">
        <v>48458</v>
      </c>
    </row>
    <row r="413" spans="1:2">
      <c r="A413" s="50">
        <v>10</v>
      </c>
      <c r="B413" s="54">
        <v>48488</v>
      </c>
    </row>
    <row r="414" spans="1:2">
      <c r="A414" s="50">
        <v>11</v>
      </c>
      <c r="B414" s="54">
        <v>48519</v>
      </c>
    </row>
    <row r="415" spans="1:2">
      <c r="A415" s="50">
        <v>12</v>
      </c>
      <c r="B415" s="54">
        <v>48549</v>
      </c>
    </row>
    <row r="416" spans="1:2">
      <c r="A416" s="50">
        <v>1</v>
      </c>
      <c r="B416" s="54">
        <v>48580</v>
      </c>
    </row>
    <row r="417" spans="1:2">
      <c r="A417" s="50">
        <v>2</v>
      </c>
      <c r="B417" s="54">
        <v>48611</v>
      </c>
    </row>
    <row r="418" spans="1:2">
      <c r="A418" s="50">
        <v>3</v>
      </c>
      <c r="B418" s="54">
        <v>48639</v>
      </c>
    </row>
    <row r="419" spans="1:2">
      <c r="A419" s="50">
        <v>4</v>
      </c>
      <c r="B419" s="54">
        <v>48670</v>
      </c>
    </row>
    <row r="420" spans="1:2">
      <c r="A420" s="50">
        <v>5</v>
      </c>
      <c r="B420" s="54">
        <v>48700</v>
      </c>
    </row>
    <row r="421" spans="1:2">
      <c r="A421" s="50">
        <v>6</v>
      </c>
      <c r="B421" s="54">
        <v>48731</v>
      </c>
    </row>
    <row r="422" spans="1:2">
      <c r="A422" s="50">
        <v>7</v>
      </c>
      <c r="B422" s="54">
        <v>48761</v>
      </c>
    </row>
    <row r="423" spans="1:2">
      <c r="A423" s="50">
        <v>8</v>
      </c>
      <c r="B423" s="54">
        <v>48792</v>
      </c>
    </row>
    <row r="424" spans="1:2">
      <c r="A424" s="50">
        <v>9</v>
      </c>
      <c r="B424" s="54">
        <v>48823</v>
      </c>
    </row>
    <row r="425" spans="1:2">
      <c r="A425" s="50">
        <v>10</v>
      </c>
      <c r="B425" s="54">
        <v>48853</v>
      </c>
    </row>
    <row r="426" spans="1:2">
      <c r="A426" s="50">
        <v>11</v>
      </c>
      <c r="B426" s="54">
        <v>48884</v>
      </c>
    </row>
    <row r="427" spans="1:2">
      <c r="A427" s="50">
        <v>12</v>
      </c>
      <c r="B427" s="54">
        <v>48914</v>
      </c>
    </row>
    <row r="428" spans="1:2">
      <c r="A428" s="50">
        <v>1</v>
      </c>
      <c r="B428" s="54">
        <v>48945</v>
      </c>
    </row>
    <row r="429" spans="1:2">
      <c r="A429" s="50">
        <v>2</v>
      </c>
      <c r="B429" s="54">
        <v>48976</v>
      </c>
    </row>
    <row r="430" spans="1:2">
      <c r="A430" s="50">
        <v>3</v>
      </c>
      <c r="B430" s="54">
        <v>49004</v>
      </c>
    </row>
    <row r="431" spans="1:2">
      <c r="A431" s="50">
        <v>4</v>
      </c>
      <c r="B431" s="54">
        <v>49035</v>
      </c>
    </row>
    <row r="432" spans="1:2">
      <c r="A432" s="50">
        <v>5</v>
      </c>
      <c r="B432" s="54">
        <v>49065</v>
      </c>
    </row>
    <row r="433" spans="1:2">
      <c r="A433" s="50">
        <v>6</v>
      </c>
      <c r="B433" s="54">
        <v>49096</v>
      </c>
    </row>
    <row r="434" spans="1:2">
      <c r="A434" s="50">
        <v>7</v>
      </c>
      <c r="B434" s="54">
        <v>49126</v>
      </c>
    </row>
    <row r="435" spans="1:2">
      <c r="A435" s="50">
        <v>8</v>
      </c>
      <c r="B435" s="54">
        <v>49157</v>
      </c>
    </row>
    <row r="436" spans="1:2">
      <c r="A436" s="50">
        <v>9</v>
      </c>
      <c r="B436" s="54">
        <v>49188</v>
      </c>
    </row>
    <row r="437" spans="1:2">
      <c r="A437" s="50">
        <v>10</v>
      </c>
      <c r="B437" s="54">
        <v>49218</v>
      </c>
    </row>
    <row r="438" spans="1:2">
      <c r="A438" s="50">
        <v>11</v>
      </c>
      <c r="B438" s="54">
        <v>49249</v>
      </c>
    </row>
    <row r="439" spans="1:2">
      <c r="A439" s="50">
        <v>12</v>
      </c>
      <c r="B439" s="54">
        <v>49279</v>
      </c>
    </row>
    <row r="440" spans="1:2">
      <c r="A440" s="50">
        <v>1</v>
      </c>
      <c r="B440" s="54">
        <v>49310</v>
      </c>
    </row>
    <row r="441" spans="1:2">
      <c r="A441" s="50">
        <v>2</v>
      </c>
      <c r="B441" s="54">
        <v>49341</v>
      </c>
    </row>
    <row r="442" spans="1:2">
      <c r="A442" s="50">
        <v>3</v>
      </c>
      <c r="B442" s="54">
        <v>49369</v>
      </c>
    </row>
    <row r="443" spans="1:2">
      <c r="A443" s="50">
        <v>4</v>
      </c>
      <c r="B443" s="54">
        <v>49400</v>
      </c>
    </row>
    <row r="444" spans="1:2">
      <c r="A444" s="50">
        <v>5</v>
      </c>
      <c r="B444" s="54">
        <v>49430</v>
      </c>
    </row>
    <row r="445" spans="1:2">
      <c r="A445" s="50">
        <v>6</v>
      </c>
      <c r="B445" s="54">
        <v>49461</v>
      </c>
    </row>
    <row r="446" spans="1:2">
      <c r="A446" s="50">
        <v>7</v>
      </c>
      <c r="B446" s="54">
        <v>49491</v>
      </c>
    </row>
    <row r="447" spans="1:2">
      <c r="A447" s="50">
        <v>8</v>
      </c>
      <c r="B447" s="54">
        <v>49522</v>
      </c>
    </row>
    <row r="448" spans="1:2">
      <c r="A448" s="50">
        <v>9</v>
      </c>
      <c r="B448" s="54">
        <v>49553</v>
      </c>
    </row>
    <row r="449" spans="1:2">
      <c r="A449" s="50">
        <v>10</v>
      </c>
      <c r="B449" s="54">
        <v>49583</v>
      </c>
    </row>
    <row r="450" spans="1:2">
      <c r="A450" s="50">
        <v>11</v>
      </c>
      <c r="B450" s="54">
        <v>49614</v>
      </c>
    </row>
    <row r="451" spans="1:2">
      <c r="A451" s="50">
        <v>12</v>
      </c>
      <c r="B451" s="54">
        <v>49644</v>
      </c>
    </row>
    <row r="452" spans="1:2">
      <c r="A452" s="50">
        <v>1</v>
      </c>
      <c r="B452" s="54">
        <v>49675</v>
      </c>
    </row>
    <row r="453" spans="1:2">
      <c r="A453" s="50">
        <v>2</v>
      </c>
      <c r="B453" s="54">
        <v>49706</v>
      </c>
    </row>
    <row r="454" spans="1:2">
      <c r="A454" s="50">
        <v>3</v>
      </c>
      <c r="B454" s="54">
        <v>49735</v>
      </c>
    </row>
    <row r="455" spans="1:2">
      <c r="A455" s="50">
        <v>4</v>
      </c>
      <c r="B455" s="54">
        <v>49766</v>
      </c>
    </row>
    <row r="456" spans="1:2">
      <c r="A456" s="50">
        <v>5</v>
      </c>
      <c r="B456" s="54">
        <v>49796</v>
      </c>
    </row>
    <row r="457" spans="1:2">
      <c r="A457" s="50">
        <v>6</v>
      </c>
      <c r="B457" s="54">
        <v>49827</v>
      </c>
    </row>
    <row r="458" spans="1:2">
      <c r="A458" s="50">
        <v>7</v>
      </c>
      <c r="B458" s="54">
        <v>49857</v>
      </c>
    </row>
    <row r="459" spans="1:2">
      <c r="A459" s="50">
        <v>8</v>
      </c>
      <c r="B459" s="54">
        <v>49888</v>
      </c>
    </row>
    <row r="460" spans="1:2">
      <c r="A460" s="50">
        <v>9</v>
      </c>
      <c r="B460" s="54">
        <v>49919</v>
      </c>
    </row>
    <row r="461" spans="1:2">
      <c r="A461" s="50">
        <v>10</v>
      </c>
      <c r="B461" s="54">
        <v>49949</v>
      </c>
    </row>
    <row r="462" spans="1:2">
      <c r="A462" s="50">
        <v>11</v>
      </c>
      <c r="B462" s="54">
        <v>49980</v>
      </c>
    </row>
    <row r="463" spans="1:2">
      <c r="A463" s="50">
        <v>12</v>
      </c>
      <c r="B463" s="54">
        <v>50010</v>
      </c>
    </row>
    <row r="464" spans="1:2">
      <c r="A464" s="50">
        <v>1</v>
      </c>
      <c r="B464" s="54">
        <v>50041</v>
      </c>
    </row>
    <row r="465" spans="1:2">
      <c r="A465" s="50">
        <v>2</v>
      </c>
      <c r="B465" s="54">
        <v>50072</v>
      </c>
    </row>
    <row r="466" spans="1:2">
      <c r="A466" s="50">
        <v>3</v>
      </c>
      <c r="B466" s="54">
        <v>50100</v>
      </c>
    </row>
    <row r="467" spans="1:2">
      <c r="A467" s="50">
        <v>4</v>
      </c>
      <c r="B467" s="54">
        <v>50131</v>
      </c>
    </row>
    <row r="468" spans="1:2">
      <c r="A468" s="50">
        <v>5</v>
      </c>
      <c r="B468" s="54">
        <v>50161</v>
      </c>
    </row>
    <row r="469" spans="1:2">
      <c r="A469" s="50">
        <v>6</v>
      </c>
      <c r="B469" s="54">
        <v>50192</v>
      </c>
    </row>
    <row r="470" spans="1:2">
      <c r="A470" s="50">
        <v>7</v>
      </c>
      <c r="B470" s="54">
        <v>50222</v>
      </c>
    </row>
    <row r="471" spans="1:2">
      <c r="A471" s="50">
        <v>8</v>
      </c>
      <c r="B471" s="54">
        <v>50253</v>
      </c>
    </row>
    <row r="472" spans="1:2">
      <c r="A472" s="50">
        <v>9</v>
      </c>
      <c r="B472" s="54">
        <v>50284</v>
      </c>
    </row>
    <row r="473" spans="1:2">
      <c r="A473" s="50">
        <v>10</v>
      </c>
      <c r="B473" s="54">
        <v>50314</v>
      </c>
    </row>
    <row r="474" spans="1:2">
      <c r="A474" s="50">
        <v>11</v>
      </c>
      <c r="B474" s="54">
        <v>50345</v>
      </c>
    </row>
    <row r="475" spans="1:2">
      <c r="A475" s="50">
        <v>12</v>
      </c>
      <c r="B475" s="54">
        <v>50375</v>
      </c>
    </row>
    <row r="476" spans="1:2">
      <c r="A476" s="50">
        <v>1</v>
      </c>
      <c r="B476" s="54">
        <v>50406</v>
      </c>
    </row>
    <row r="477" spans="1:2">
      <c r="A477" s="50">
        <v>2</v>
      </c>
      <c r="B477" s="54">
        <v>50437</v>
      </c>
    </row>
    <row r="478" spans="1:2">
      <c r="A478" s="50">
        <v>3</v>
      </c>
      <c r="B478" s="54">
        <v>50465</v>
      </c>
    </row>
    <row r="479" spans="1:2">
      <c r="A479" s="50">
        <v>4</v>
      </c>
      <c r="B479" s="54">
        <v>50496</v>
      </c>
    </row>
    <row r="480" spans="1:2">
      <c r="A480" s="50">
        <v>5</v>
      </c>
      <c r="B480" s="54">
        <v>50526</v>
      </c>
    </row>
    <row r="481" spans="1:2">
      <c r="A481" s="50">
        <v>6</v>
      </c>
      <c r="B481" s="54">
        <v>50557</v>
      </c>
    </row>
    <row r="482" spans="1:2">
      <c r="A482" s="50">
        <v>7</v>
      </c>
      <c r="B482" s="54">
        <v>50587</v>
      </c>
    </row>
    <row r="483" spans="1:2">
      <c r="A483" s="50">
        <v>8</v>
      </c>
      <c r="B483" s="54">
        <v>50618</v>
      </c>
    </row>
    <row r="484" spans="1:2">
      <c r="A484" s="50">
        <v>9</v>
      </c>
      <c r="B484" s="54">
        <v>50649</v>
      </c>
    </row>
    <row r="485" spans="1:2">
      <c r="A485" s="50">
        <v>10</v>
      </c>
      <c r="B485" s="54">
        <v>50679</v>
      </c>
    </row>
    <row r="486" spans="1:2">
      <c r="A486" s="50">
        <v>11</v>
      </c>
      <c r="B486" s="54">
        <v>50710</v>
      </c>
    </row>
    <row r="487" spans="1:2">
      <c r="A487" s="50">
        <v>12</v>
      </c>
      <c r="B487" s="54">
        <v>50740</v>
      </c>
    </row>
    <row r="488" spans="1:2">
      <c r="A488" s="50">
        <v>1</v>
      </c>
      <c r="B488" s="54">
        <v>50771</v>
      </c>
    </row>
    <row r="489" spans="1:2">
      <c r="A489" s="50">
        <v>2</v>
      </c>
      <c r="B489" s="54">
        <v>50802</v>
      </c>
    </row>
    <row r="490" spans="1:2">
      <c r="A490" s="50">
        <v>3</v>
      </c>
      <c r="B490" s="54">
        <v>50830</v>
      </c>
    </row>
    <row r="491" spans="1:2">
      <c r="A491" s="50">
        <v>4</v>
      </c>
      <c r="B491" s="54">
        <v>50861</v>
      </c>
    </row>
    <row r="492" spans="1:2">
      <c r="A492" s="50">
        <v>5</v>
      </c>
      <c r="B492" s="54">
        <v>50891</v>
      </c>
    </row>
    <row r="493" spans="1:2">
      <c r="A493" s="50">
        <v>6</v>
      </c>
      <c r="B493" s="54">
        <v>50922</v>
      </c>
    </row>
    <row r="494" spans="1:2">
      <c r="A494" s="50">
        <v>7</v>
      </c>
      <c r="B494" s="54">
        <v>50952</v>
      </c>
    </row>
    <row r="495" spans="1:2">
      <c r="A495" s="50">
        <v>8</v>
      </c>
      <c r="B495" s="54">
        <v>50983</v>
      </c>
    </row>
    <row r="496" spans="1:2">
      <c r="A496" s="50">
        <v>9</v>
      </c>
      <c r="B496" s="54">
        <v>51014</v>
      </c>
    </row>
    <row r="497" spans="1:2">
      <c r="A497" s="50">
        <v>10</v>
      </c>
      <c r="B497" s="54">
        <v>51044</v>
      </c>
    </row>
    <row r="498" spans="1:2">
      <c r="A498" s="50">
        <v>11</v>
      </c>
      <c r="B498" s="54">
        <v>51075</v>
      </c>
    </row>
    <row r="499" spans="1:2">
      <c r="A499" s="50">
        <v>12</v>
      </c>
      <c r="B499" s="54">
        <v>51105</v>
      </c>
    </row>
    <row r="500" spans="1:2">
      <c r="A500" s="50">
        <v>1</v>
      </c>
      <c r="B500" s="54">
        <v>51136</v>
      </c>
    </row>
    <row r="501" spans="1:2">
      <c r="A501" s="50">
        <v>2</v>
      </c>
      <c r="B501" s="54">
        <v>51167</v>
      </c>
    </row>
    <row r="502" spans="1:2">
      <c r="A502" s="50">
        <v>3</v>
      </c>
      <c r="B502" s="54">
        <v>51196</v>
      </c>
    </row>
    <row r="503" spans="1:2">
      <c r="A503" s="50">
        <v>4</v>
      </c>
      <c r="B503" s="54">
        <v>51227</v>
      </c>
    </row>
    <row r="504" spans="1:2">
      <c r="A504" s="50">
        <v>5</v>
      </c>
      <c r="B504" s="54">
        <v>51257</v>
      </c>
    </row>
    <row r="505" spans="1:2">
      <c r="A505" s="50">
        <v>6</v>
      </c>
      <c r="B505" s="54">
        <v>51288</v>
      </c>
    </row>
    <row r="506" spans="1:2">
      <c r="A506" s="50">
        <v>7</v>
      </c>
      <c r="B506" s="54">
        <v>51318</v>
      </c>
    </row>
    <row r="507" spans="1:2">
      <c r="A507" s="50">
        <v>8</v>
      </c>
      <c r="B507" s="54">
        <v>51349</v>
      </c>
    </row>
    <row r="508" spans="1:2">
      <c r="A508" s="50">
        <v>9</v>
      </c>
      <c r="B508" s="54">
        <v>51380</v>
      </c>
    </row>
    <row r="509" spans="1:2">
      <c r="A509" s="50">
        <v>10</v>
      </c>
      <c r="B509" s="54">
        <v>51410</v>
      </c>
    </row>
    <row r="510" spans="1:2">
      <c r="A510" s="50">
        <v>11</v>
      </c>
      <c r="B510" s="54">
        <v>51441</v>
      </c>
    </row>
    <row r="511" spans="1:2">
      <c r="A511" s="50">
        <v>12</v>
      </c>
      <c r="B511" s="54">
        <v>51471</v>
      </c>
    </row>
    <row r="512" spans="1:2">
      <c r="A512" s="50">
        <v>1</v>
      </c>
      <c r="B512" s="54">
        <v>51502</v>
      </c>
    </row>
    <row r="513" spans="1:2">
      <c r="A513" s="50">
        <v>2</v>
      </c>
      <c r="B513" s="54">
        <v>51533</v>
      </c>
    </row>
    <row r="514" spans="1:2">
      <c r="A514" s="50">
        <v>3</v>
      </c>
      <c r="B514" s="54">
        <v>51561</v>
      </c>
    </row>
    <row r="515" spans="1:2">
      <c r="A515" s="50">
        <v>4</v>
      </c>
      <c r="B515" s="54">
        <v>51592</v>
      </c>
    </row>
    <row r="516" spans="1:2">
      <c r="A516" s="50">
        <v>5</v>
      </c>
      <c r="B516" s="54">
        <v>51622</v>
      </c>
    </row>
    <row r="517" spans="1:2">
      <c r="A517" s="50">
        <v>6</v>
      </c>
      <c r="B517" s="54">
        <v>51653</v>
      </c>
    </row>
    <row r="518" spans="1:2">
      <c r="A518" s="50">
        <v>7</v>
      </c>
      <c r="B518" s="54">
        <v>51683</v>
      </c>
    </row>
    <row r="519" spans="1:2">
      <c r="A519" s="50">
        <v>8</v>
      </c>
      <c r="B519" s="54">
        <v>51714</v>
      </c>
    </row>
    <row r="520" spans="1:2">
      <c r="A520" s="50">
        <v>9</v>
      </c>
      <c r="B520" s="54">
        <v>51745</v>
      </c>
    </row>
    <row r="521" spans="1:2">
      <c r="A521" s="50">
        <v>10</v>
      </c>
      <c r="B521" s="54">
        <v>51775</v>
      </c>
    </row>
    <row r="522" spans="1:2">
      <c r="A522" s="50">
        <v>11</v>
      </c>
      <c r="B522" s="54">
        <v>51806</v>
      </c>
    </row>
    <row r="523" spans="1:2">
      <c r="A523" s="50">
        <v>12</v>
      </c>
      <c r="B523" s="54">
        <v>51836</v>
      </c>
    </row>
    <row r="524" spans="1:2">
      <c r="A524" s="50">
        <v>1</v>
      </c>
      <c r="B524" s="54">
        <v>51867</v>
      </c>
    </row>
    <row r="525" spans="1:2">
      <c r="A525" s="50">
        <v>2</v>
      </c>
      <c r="B525" s="54">
        <v>51898</v>
      </c>
    </row>
    <row r="526" spans="1:2">
      <c r="A526" s="50">
        <v>3</v>
      </c>
      <c r="B526" s="54">
        <v>51926</v>
      </c>
    </row>
    <row r="527" spans="1:2">
      <c r="A527" s="50">
        <v>4</v>
      </c>
      <c r="B527" s="54">
        <v>51957</v>
      </c>
    </row>
    <row r="528" spans="1:2">
      <c r="A528" s="50">
        <v>5</v>
      </c>
      <c r="B528" s="54">
        <v>51987</v>
      </c>
    </row>
    <row r="529" spans="1:2">
      <c r="A529" s="50">
        <v>6</v>
      </c>
      <c r="B529" s="54">
        <v>52018</v>
      </c>
    </row>
    <row r="530" spans="1:2">
      <c r="A530" s="50">
        <v>7</v>
      </c>
      <c r="B530" s="54">
        <v>52048</v>
      </c>
    </row>
    <row r="531" spans="1:2">
      <c r="A531" s="50">
        <v>8</v>
      </c>
      <c r="B531" s="54">
        <v>52079</v>
      </c>
    </row>
    <row r="532" spans="1:2">
      <c r="A532" s="50">
        <v>9</v>
      </c>
      <c r="B532" s="54">
        <v>52110</v>
      </c>
    </row>
    <row r="533" spans="1:2">
      <c r="A533" s="50">
        <v>10</v>
      </c>
      <c r="B533" s="54">
        <v>52140</v>
      </c>
    </row>
    <row r="534" spans="1:2">
      <c r="A534" s="50">
        <v>11</v>
      </c>
      <c r="B534" s="54">
        <v>52171</v>
      </c>
    </row>
    <row r="535" spans="1:2">
      <c r="A535" s="50">
        <v>12</v>
      </c>
      <c r="B535" s="54">
        <v>52201</v>
      </c>
    </row>
    <row r="536" spans="1:2">
      <c r="A536" s="50">
        <v>1</v>
      </c>
      <c r="B536" s="54">
        <v>52232</v>
      </c>
    </row>
    <row r="537" spans="1:2">
      <c r="A537" s="50">
        <v>2</v>
      </c>
      <c r="B537" s="54">
        <v>52263</v>
      </c>
    </row>
    <row r="538" spans="1:2">
      <c r="A538" s="50">
        <v>3</v>
      </c>
      <c r="B538" s="54">
        <v>52291</v>
      </c>
    </row>
    <row r="539" spans="1:2">
      <c r="A539" s="50">
        <v>4</v>
      </c>
      <c r="B539" s="54">
        <v>52322</v>
      </c>
    </row>
    <row r="540" spans="1:2">
      <c r="A540" s="50">
        <v>5</v>
      </c>
      <c r="B540" s="54">
        <v>52352</v>
      </c>
    </row>
    <row r="541" spans="1:2">
      <c r="A541" s="50">
        <v>6</v>
      </c>
      <c r="B541" s="54">
        <v>52383</v>
      </c>
    </row>
    <row r="542" spans="1:2">
      <c r="A542" s="50">
        <v>7</v>
      </c>
      <c r="B542" s="54">
        <v>52413</v>
      </c>
    </row>
    <row r="543" spans="1:2">
      <c r="A543" s="50">
        <v>8</v>
      </c>
      <c r="B543" s="54">
        <v>52444</v>
      </c>
    </row>
    <row r="544" spans="1:2">
      <c r="A544" s="50">
        <v>9</v>
      </c>
      <c r="B544" s="54">
        <v>52475</v>
      </c>
    </row>
    <row r="545" spans="1:2">
      <c r="A545" s="50">
        <v>10</v>
      </c>
      <c r="B545" s="54">
        <v>52505</v>
      </c>
    </row>
    <row r="546" spans="1:2">
      <c r="A546" s="50">
        <v>11</v>
      </c>
      <c r="B546" s="54">
        <v>52536</v>
      </c>
    </row>
    <row r="547" spans="1:2">
      <c r="A547" s="50">
        <v>12</v>
      </c>
      <c r="B547" s="54">
        <v>52566</v>
      </c>
    </row>
    <row r="548" spans="1:2">
      <c r="A548" s="50">
        <v>1</v>
      </c>
      <c r="B548" s="54">
        <v>52597</v>
      </c>
    </row>
    <row r="549" spans="1:2">
      <c r="A549" s="50">
        <v>2</v>
      </c>
      <c r="B549" s="54">
        <v>52628</v>
      </c>
    </row>
    <row r="550" spans="1:2">
      <c r="A550" s="50">
        <v>3</v>
      </c>
      <c r="B550" s="54">
        <v>52657</v>
      </c>
    </row>
    <row r="551" spans="1:2">
      <c r="A551" s="50">
        <v>4</v>
      </c>
      <c r="B551" s="54">
        <v>52688</v>
      </c>
    </row>
    <row r="552" spans="1:2">
      <c r="A552" s="50">
        <v>5</v>
      </c>
      <c r="B552" s="54">
        <v>52718</v>
      </c>
    </row>
    <row r="553" spans="1:2">
      <c r="A553" s="50">
        <v>6</v>
      </c>
      <c r="B553" s="54">
        <v>52749</v>
      </c>
    </row>
    <row r="554" spans="1:2">
      <c r="A554" s="50">
        <v>7</v>
      </c>
      <c r="B554" s="54">
        <v>52779</v>
      </c>
    </row>
    <row r="555" spans="1:2">
      <c r="A555" s="50">
        <v>8</v>
      </c>
      <c r="B555" s="54">
        <v>52810</v>
      </c>
    </row>
    <row r="556" spans="1:2">
      <c r="A556" s="50">
        <v>9</v>
      </c>
      <c r="B556" s="54">
        <v>52841</v>
      </c>
    </row>
    <row r="557" spans="1:2">
      <c r="A557" s="50">
        <v>10</v>
      </c>
      <c r="B557" s="54">
        <v>52871</v>
      </c>
    </row>
    <row r="558" spans="1:2">
      <c r="A558" s="50">
        <v>11</v>
      </c>
      <c r="B558" s="54">
        <v>52902</v>
      </c>
    </row>
    <row r="559" spans="1:2">
      <c r="A559" s="50">
        <v>12</v>
      </c>
      <c r="B559" s="54">
        <v>52932</v>
      </c>
    </row>
    <row r="560" spans="1:2">
      <c r="A560" s="50">
        <v>1</v>
      </c>
      <c r="B560" s="54">
        <v>52963</v>
      </c>
    </row>
    <row r="561" spans="1:2">
      <c r="A561" s="50">
        <v>2</v>
      </c>
      <c r="B561" s="54">
        <v>52994</v>
      </c>
    </row>
    <row r="562" spans="1:2">
      <c r="A562" s="50">
        <v>3</v>
      </c>
      <c r="B562" s="54">
        <v>53022</v>
      </c>
    </row>
    <row r="563" spans="1:2">
      <c r="A563" s="50">
        <v>4</v>
      </c>
      <c r="B563" s="54">
        <v>53053</v>
      </c>
    </row>
    <row r="564" spans="1:2">
      <c r="A564" s="50">
        <v>5</v>
      </c>
      <c r="B564" s="54">
        <v>53083</v>
      </c>
    </row>
    <row r="565" spans="1:2">
      <c r="A565" s="50">
        <v>6</v>
      </c>
      <c r="B565" s="54">
        <v>53114</v>
      </c>
    </row>
    <row r="566" spans="1:2">
      <c r="A566" s="50">
        <v>7</v>
      </c>
      <c r="B566" s="54">
        <v>53144</v>
      </c>
    </row>
    <row r="567" spans="1:2">
      <c r="A567" s="50">
        <v>8</v>
      </c>
      <c r="B567" s="54">
        <v>53175</v>
      </c>
    </row>
    <row r="568" spans="1:2">
      <c r="A568" s="50">
        <v>9</v>
      </c>
      <c r="B568" s="54">
        <v>53206</v>
      </c>
    </row>
    <row r="569" spans="1:2">
      <c r="A569" s="50">
        <v>10</v>
      </c>
      <c r="B569" s="54">
        <v>53236</v>
      </c>
    </row>
    <row r="570" spans="1:2">
      <c r="A570" s="50">
        <v>11</v>
      </c>
      <c r="B570" s="54">
        <v>53267</v>
      </c>
    </row>
    <row r="571" spans="1:2">
      <c r="A571" s="50">
        <v>12</v>
      </c>
      <c r="B571" s="54">
        <v>53297</v>
      </c>
    </row>
    <row r="572" spans="1:2">
      <c r="A572" s="50">
        <v>1</v>
      </c>
      <c r="B572" s="54">
        <v>53328</v>
      </c>
    </row>
    <row r="573" spans="1:2">
      <c r="A573" s="50">
        <v>2</v>
      </c>
      <c r="B573" s="54">
        <v>53359</v>
      </c>
    </row>
    <row r="574" spans="1:2">
      <c r="A574" s="50">
        <v>3</v>
      </c>
      <c r="B574" s="54">
        <v>53387</v>
      </c>
    </row>
    <row r="575" spans="1:2">
      <c r="A575" s="50">
        <v>4</v>
      </c>
      <c r="B575" s="54">
        <v>53418</v>
      </c>
    </row>
    <row r="576" spans="1:2">
      <c r="A576" s="50">
        <v>5</v>
      </c>
      <c r="B576" s="54">
        <v>53448</v>
      </c>
    </row>
    <row r="577" spans="1:2">
      <c r="A577" s="50">
        <v>6</v>
      </c>
      <c r="B577" s="54">
        <v>53479</v>
      </c>
    </row>
    <row r="578" spans="1:2">
      <c r="A578" s="50">
        <v>7</v>
      </c>
      <c r="B578" s="54">
        <v>53509</v>
      </c>
    </row>
    <row r="579" spans="1:2">
      <c r="A579" s="50">
        <v>8</v>
      </c>
      <c r="B579" s="54">
        <v>53540</v>
      </c>
    </row>
    <row r="580" spans="1:2">
      <c r="A580" s="50">
        <v>9</v>
      </c>
      <c r="B580" s="54">
        <v>53571</v>
      </c>
    </row>
    <row r="581" spans="1:2">
      <c r="A581" s="50">
        <v>10</v>
      </c>
      <c r="B581" s="54">
        <v>53601</v>
      </c>
    </row>
    <row r="582" spans="1:2">
      <c r="A582" s="50">
        <v>11</v>
      </c>
      <c r="B582" s="54">
        <v>53632</v>
      </c>
    </row>
    <row r="583" spans="1:2">
      <c r="A583" s="50">
        <v>12</v>
      </c>
      <c r="B583" s="54">
        <v>53662</v>
      </c>
    </row>
    <row r="584" spans="1:2">
      <c r="A584" s="50">
        <v>1</v>
      </c>
      <c r="B584" s="54">
        <v>53693</v>
      </c>
    </row>
    <row r="585" spans="1:2">
      <c r="A585" s="50">
        <v>2</v>
      </c>
      <c r="B585" s="54">
        <v>53724</v>
      </c>
    </row>
    <row r="586" spans="1:2">
      <c r="A586" s="50">
        <v>3</v>
      </c>
      <c r="B586" s="54">
        <v>53752</v>
      </c>
    </row>
    <row r="587" spans="1:2">
      <c r="A587" s="50">
        <v>4</v>
      </c>
      <c r="B587" s="54">
        <v>53783</v>
      </c>
    </row>
    <row r="588" spans="1:2">
      <c r="A588" s="50">
        <v>5</v>
      </c>
      <c r="B588" s="54">
        <v>53813</v>
      </c>
    </row>
    <row r="589" spans="1:2">
      <c r="A589" s="50">
        <v>6</v>
      </c>
      <c r="B589" s="54">
        <v>53844</v>
      </c>
    </row>
    <row r="590" spans="1:2">
      <c r="A590" s="50">
        <v>7</v>
      </c>
      <c r="B590" s="54">
        <v>53874</v>
      </c>
    </row>
    <row r="591" spans="1:2">
      <c r="A591" s="50">
        <v>8</v>
      </c>
      <c r="B591" s="54">
        <v>53905</v>
      </c>
    </row>
    <row r="592" spans="1:2">
      <c r="A592" s="50">
        <v>9</v>
      </c>
      <c r="B592" s="54">
        <v>53936</v>
      </c>
    </row>
    <row r="593" spans="1:2">
      <c r="A593" s="50">
        <v>10</v>
      </c>
      <c r="B593" s="54">
        <v>53966</v>
      </c>
    </row>
    <row r="594" spans="1:2">
      <c r="A594" s="50">
        <v>11</v>
      </c>
      <c r="B594" s="54">
        <v>53997</v>
      </c>
    </row>
    <row r="595" spans="1:2">
      <c r="A595" s="50">
        <v>12</v>
      </c>
      <c r="B595" s="54">
        <v>54027</v>
      </c>
    </row>
    <row r="596" spans="1:2">
      <c r="A596" s="50">
        <v>1</v>
      </c>
      <c r="B596" s="54">
        <v>54058</v>
      </c>
    </row>
    <row r="597" spans="1:2">
      <c r="A597" s="50">
        <v>2</v>
      </c>
      <c r="B597" s="54">
        <v>54089</v>
      </c>
    </row>
    <row r="598" spans="1:2">
      <c r="A598" s="50">
        <v>3</v>
      </c>
      <c r="B598" s="54">
        <v>54118</v>
      </c>
    </row>
    <row r="599" spans="1:2">
      <c r="A599" s="50">
        <v>4</v>
      </c>
      <c r="B599" s="54">
        <v>54149</v>
      </c>
    </row>
    <row r="600" spans="1:2">
      <c r="A600" s="50">
        <v>5</v>
      </c>
      <c r="B600" s="54">
        <v>54179</v>
      </c>
    </row>
    <row r="601" spans="1:2">
      <c r="A601" s="50">
        <v>6</v>
      </c>
      <c r="B601" s="54">
        <v>54210</v>
      </c>
    </row>
    <row r="602" spans="1:2">
      <c r="A602" s="50">
        <v>7</v>
      </c>
      <c r="B602" s="54">
        <v>54240</v>
      </c>
    </row>
    <row r="603" spans="1:2">
      <c r="A603" s="50">
        <v>8</v>
      </c>
      <c r="B603" s="54">
        <v>54271</v>
      </c>
    </row>
    <row r="604" spans="1:2">
      <c r="A604" s="50">
        <v>9</v>
      </c>
      <c r="B604" s="54">
        <v>54302</v>
      </c>
    </row>
    <row r="605" spans="1:2">
      <c r="A605" s="50">
        <v>10</v>
      </c>
      <c r="B605" s="54">
        <v>54332</v>
      </c>
    </row>
    <row r="606" spans="1:2">
      <c r="A606" s="50">
        <v>11</v>
      </c>
      <c r="B606" s="54">
        <v>54363</v>
      </c>
    </row>
    <row r="607" spans="1:2">
      <c r="A607" s="50">
        <v>12</v>
      </c>
      <c r="B607" s="54">
        <v>54393</v>
      </c>
    </row>
    <row r="608" spans="1:2">
      <c r="A608" s="50">
        <v>1</v>
      </c>
      <c r="B608" s="54">
        <v>54424</v>
      </c>
    </row>
    <row r="609" spans="1:2">
      <c r="A609" s="50">
        <v>2</v>
      </c>
      <c r="B609" s="54">
        <v>54455</v>
      </c>
    </row>
    <row r="610" spans="1:2">
      <c r="A610" s="50">
        <v>3</v>
      </c>
      <c r="B610" s="54">
        <v>54483</v>
      </c>
    </row>
    <row r="611" spans="1:2">
      <c r="A611" s="50">
        <v>4</v>
      </c>
      <c r="B611" s="54">
        <v>54514</v>
      </c>
    </row>
    <row r="612" spans="1:2">
      <c r="A612" s="50">
        <v>5</v>
      </c>
      <c r="B612" s="54">
        <v>54544</v>
      </c>
    </row>
    <row r="613" spans="1:2">
      <c r="A613" s="50">
        <v>6</v>
      </c>
      <c r="B613" s="54">
        <v>54575</v>
      </c>
    </row>
    <row r="614" spans="1:2">
      <c r="A614" s="50">
        <v>7</v>
      </c>
      <c r="B614" s="54">
        <v>54605</v>
      </c>
    </row>
    <row r="615" spans="1:2">
      <c r="A615" s="50">
        <v>8</v>
      </c>
      <c r="B615" s="54">
        <v>54636</v>
      </c>
    </row>
    <row r="616" spans="1:2">
      <c r="A616" s="50">
        <v>9</v>
      </c>
      <c r="B616" s="54">
        <v>54667</v>
      </c>
    </row>
    <row r="617" spans="1:2">
      <c r="A617" s="50">
        <v>10</v>
      </c>
      <c r="B617" s="54">
        <v>54697</v>
      </c>
    </row>
    <row r="618" spans="1:2">
      <c r="A618" s="50">
        <v>11</v>
      </c>
      <c r="B618" s="54">
        <v>54728</v>
      </c>
    </row>
    <row r="619" spans="1:2">
      <c r="A619" s="50">
        <v>12</v>
      </c>
      <c r="B619" s="54">
        <v>54758</v>
      </c>
    </row>
    <row r="620" spans="1:2">
      <c r="A620" s="50">
        <v>1</v>
      </c>
      <c r="B620" s="54">
        <v>54789</v>
      </c>
    </row>
    <row r="621" spans="1:2">
      <c r="A621" s="50">
        <v>2</v>
      </c>
      <c r="B621" s="54">
        <v>54820</v>
      </c>
    </row>
    <row r="622" spans="1:2">
      <c r="A622" s="50">
        <v>3</v>
      </c>
      <c r="B622" s="54">
        <v>54848</v>
      </c>
    </row>
    <row r="623" spans="1:2">
      <c r="A623" s="50">
        <v>4</v>
      </c>
      <c r="B623" s="54">
        <v>54879</v>
      </c>
    </row>
    <row r="624" spans="1:2">
      <c r="A624" s="50">
        <v>5</v>
      </c>
      <c r="B624" s="54">
        <v>54909</v>
      </c>
    </row>
    <row r="625" spans="1:2">
      <c r="A625" s="50">
        <v>6</v>
      </c>
      <c r="B625" s="54">
        <v>54940</v>
      </c>
    </row>
    <row r="626" spans="1:2">
      <c r="A626" s="50">
        <v>7</v>
      </c>
      <c r="B626" s="54">
        <v>54970</v>
      </c>
    </row>
    <row r="627" spans="1:2">
      <c r="A627" s="50">
        <v>8</v>
      </c>
      <c r="B627" s="54">
        <v>55001</v>
      </c>
    </row>
    <row r="628" spans="1:2">
      <c r="A628" s="50">
        <v>9</v>
      </c>
      <c r="B628" s="54">
        <v>55032</v>
      </c>
    </row>
    <row r="629" spans="1:2">
      <c r="A629" s="50">
        <v>10</v>
      </c>
      <c r="B629" s="54">
        <v>55062</v>
      </c>
    </row>
    <row r="630" spans="1:2">
      <c r="A630" s="50">
        <v>11</v>
      </c>
      <c r="B630" s="54">
        <v>55093</v>
      </c>
    </row>
    <row r="631" spans="1:2">
      <c r="A631" s="50">
        <v>12</v>
      </c>
      <c r="B631" s="54">
        <v>55123</v>
      </c>
    </row>
    <row r="632" spans="1:2">
      <c r="A632" s="50">
        <v>1</v>
      </c>
      <c r="B632" s="54">
        <v>55154</v>
      </c>
    </row>
    <row r="633" spans="1:2">
      <c r="A633" s="50">
        <v>2</v>
      </c>
      <c r="B633" s="54">
        <v>55185</v>
      </c>
    </row>
    <row r="634" spans="1:2">
      <c r="A634" s="50">
        <v>3</v>
      </c>
      <c r="B634" s="54">
        <v>55213</v>
      </c>
    </row>
    <row r="635" spans="1:2">
      <c r="A635" s="50">
        <v>4</v>
      </c>
      <c r="B635" s="54">
        <v>55244</v>
      </c>
    </row>
    <row r="636" spans="1:2">
      <c r="A636" s="50">
        <v>5</v>
      </c>
      <c r="B636" s="54">
        <v>55274</v>
      </c>
    </row>
    <row r="637" spans="1:2">
      <c r="A637" s="50">
        <v>6</v>
      </c>
      <c r="B637" s="54">
        <v>55305</v>
      </c>
    </row>
    <row r="638" spans="1:2">
      <c r="A638" s="50">
        <v>7</v>
      </c>
      <c r="B638" s="54">
        <v>55335</v>
      </c>
    </row>
    <row r="639" spans="1:2">
      <c r="A639" s="50">
        <v>8</v>
      </c>
      <c r="B639" s="54">
        <v>55366</v>
      </c>
    </row>
    <row r="640" spans="1:2">
      <c r="A640" s="50">
        <v>9</v>
      </c>
      <c r="B640" s="54">
        <v>55397</v>
      </c>
    </row>
    <row r="641" spans="1:2">
      <c r="A641" s="50">
        <v>10</v>
      </c>
      <c r="B641" s="54">
        <v>55427</v>
      </c>
    </row>
    <row r="642" spans="1:2">
      <c r="A642" s="50">
        <v>11</v>
      </c>
      <c r="B642" s="54">
        <v>55458</v>
      </c>
    </row>
    <row r="643" spans="1:2">
      <c r="A643" s="50">
        <v>12</v>
      </c>
      <c r="B643" s="54">
        <v>55488</v>
      </c>
    </row>
    <row r="644" spans="1:2">
      <c r="A644" s="50">
        <v>1</v>
      </c>
      <c r="B644" s="54">
        <v>55519</v>
      </c>
    </row>
    <row r="645" spans="1:2">
      <c r="A645" s="50">
        <v>2</v>
      </c>
      <c r="B645" s="54">
        <v>55550</v>
      </c>
    </row>
    <row r="646" spans="1:2">
      <c r="A646" s="50">
        <v>3</v>
      </c>
      <c r="B646" s="54">
        <v>55579</v>
      </c>
    </row>
    <row r="647" spans="1:2">
      <c r="A647" s="50">
        <v>4</v>
      </c>
      <c r="B647" s="54">
        <v>55610</v>
      </c>
    </row>
    <row r="648" spans="1:2">
      <c r="A648" s="50">
        <v>5</v>
      </c>
      <c r="B648" s="54">
        <v>55640</v>
      </c>
    </row>
    <row r="649" spans="1:2">
      <c r="A649" s="50">
        <v>6</v>
      </c>
      <c r="B649" s="54">
        <v>55671</v>
      </c>
    </row>
    <row r="650" spans="1:2">
      <c r="A650" s="50">
        <v>7</v>
      </c>
      <c r="B650" s="54">
        <v>55701</v>
      </c>
    </row>
    <row r="651" spans="1:2">
      <c r="A651" s="50">
        <v>8</v>
      </c>
      <c r="B651" s="54">
        <v>55732</v>
      </c>
    </row>
    <row r="652" spans="1:2">
      <c r="A652" s="50">
        <v>9</v>
      </c>
      <c r="B652" s="54">
        <v>55763</v>
      </c>
    </row>
    <row r="653" spans="1:2">
      <c r="A653" s="50">
        <v>10</v>
      </c>
      <c r="B653" s="54">
        <v>55793</v>
      </c>
    </row>
    <row r="654" spans="1:2">
      <c r="A654" s="50">
        <v>11</v>
      </c>
      <c r="B654" s="54">
        <v>55824</v>
      </c>
    </row>
    <row r="655" spans="1:2">
      <c r="A655" s="50">
        <v>12</v>
      </c>
      <c r="B655" s="54">
        <v>55854</v>
      </c>
    </row>
    <row r="656" spans="1:2">
      <c r="A656" s="50">
        <v>1</v>
      </c>
      <c r="B656" s="54">
        <v>55885</v>
      </c>
    </row>
    <row r="657" spans="1:2">
      <c r="A657" s="50">
        <v>2</v>
      </c>
      <c r="B657" s="54">
        <v>55916</v>
      </c>
    </row>
    <row r="658" spans="1:2">
      <c r="A658" s="50">
        <v>3</v>
      </c>
      <c r="B658" s="54">
        <v>55944</v>
      </c>
    </row>
    <row r="659" spans="1:2">
      <c r="A659" s="50">
        <v>4</v>
      </c>
      <c r="B659" s="54">
        <v>55975</v>
      </c>
    </row>
    <row r="660" spans="1:2">
      <c r="A660" s="50">
        <v>5</v>
      </c>
      <c r="B660" s="54">
        <v>56005</v>
      </c>
    </row>
    <row r="661" spans="1:2">
      <c r="A661" s="50">
        <v>6</v>
      </c>
      <c r="B661" s="54">
        <v>56036</v>
      </c>
    </row>
    <row r="662" spans="1:2">
      <c r="A662" s="50">
        <v>7</v>
      </c>
      <c r="B662" s="54">
        <v>56066</v>
      </c>
    </row>
    <row r="663" spans="1:2">
      <c r="A663" s="50">
        <v>8</v>
      </c>
      <c r="B663" s="54">
        <v>56097</v>
      </c>
    </row>
    <row r="664" spans="1:2">
      <c r="A664" s="50">
        <v>9</v>
      </c>
      <c r="B664" s="54">
        <v>56128</v>
      </c>
    </row>
    <row r="665" spans="1:2">
      <c r="A665" s="50">
        <v>10</v>
      </c>
      <c r="B665" s="54">
        <v>56158</v>
      </c>
    </row>
    <row r="666" spans="1:2">
      <c r="A666" s="50">
        <v>11</v>
      </c>
      <c r="B666" s="54">
        <v>56189</v>
      </c>
    </row>
    <row r="667" spans="1:2">
      <c r="A667" s="50">
        <v>12</v>
      </c>
      <c r="B667" s="54">
        <v>56219</v>
      </c>
    </row>
    <row r="668" spans="1:2">
      <c r="A668" s="50">
        <v>1</v>
      </c>
      <c r="B668" s="54">
        <v>56250</v>
      </c>
    </row>
    <row r="669" spans="1:2">
      <c r="A669" s="50">
        <v>2</v>
      </c>
      <c r="B669" s="54">
        <v>56281</v>
      </c>
    </row>
    <row r="670" spans="1:2">
      <c r="A670" s="50">
        <v>3</v>
      </c>
      <c r="B670" s="54">
        <v>56309</v>
      </c>
    </row>
    <row r="671" spans="1:2">
      <c r="A671" s="50">
        <v>4</v>
      </c>
      <c r="B671" s="54">
        <v>56340</v>
      </c>
    </row>
    <row r="672" spans="1:2">
      <c r="A672" s="50">
        <v>5</v>
      </c>
      <c r="B672" s="54">
        <v>56370</v>
      </c>
    </row>
    <row r="673" spans="1:2">
      <c r="A673" s="50">
        <v>6</v>
      </c>
      <c r="B673" s="54">
        <v>56401</v>
      </c>
    </row>
    <row r="674" spans="1:2">
      <c r="A674" s="50">
        <v>7</v>
      </c>
      <c r="B674" s="54">
        <v>56431</v>
      </c>
    </row>
    <row r="675" spans="1:2">
      <c r="A675" s="50">
        <v>8</v>
      </c>
      <c r="B675" s="54">
        <v>56462</v>
      </c>
    </row>
    <row r="676" spans="1:2">
      <c r="A676" s="50">
        <v>9</v>
      </c>
      <c r="B676" s="54">
        <v>56493</v>
      </c>
    </row>
    <row r="677" spans="1:2">
      <c r="A677" s="50">
        <v>10</v>
      </c>
      <c r="B677" s="54">
        <v>56523</v>
      </c>
    </row>
    <row r="678" spans="1:2">
      <c r="A678" s="50">
        <v>11</v>
      </c>
      <c r="B678" s="54">
        <v>56554</v>
      </c>
    </row>
    <row r="679" spans="1:2">
      <c r="A679" s="50">
        <v>12</v>
      </c>
      <c r="B679" s="54">
        <v>56584</v>
      </c>
    </row>
    <row r="680" spans="1:2">
      <c r="A680" s="50">
        <v>1</v>
      </c>
      <c r="B680" s="54">
        <v>56615</v>
      </c>
    </row>
    <row r="681" spans="1:2">
      <c r="A681" s="50">
        <v>2</v>
      </c>
      <c r="B681" s="54">
        <v>56646</v>
      </c>
    </row>
    <row r="682" spans="1:2">
      <c r="A682" s="50">
        <v>3</v>
      </c>
      <c r="B682" s="54">
        <v>56674</v>
      </c>
    </row>
    <row r="683" spans="1:2">
      <c r="A683" s="50">
        <v>4</v>
      </c>
      <c r="B683" s="54">
        <v>56705</v>
      </c>
    </row>
    <row r="684" spans="1:2">
      <c r="A684" s="50">
        <v>5</v>
      </c>
      <c r="B684" s="54">
        <v>56735</v>
      </c>
    </row>
    <row r="685" spans="1:2">
      <c r="A685" s="50">
        <v>6</v>
      </c>
      <c r="B685" s="54">
        <v>56766</v>
      </c>
    </row>
    <row r="686" spans="1:2">
      <c r="A686" s="50">
        <v>7</v>
      </c>
      <c r="B686" s="54">
        <v>56796</v>
      </c>
    </row>
    <row r="687" spans="1:2">
      <c r="A687" s="50">
        <v>8</v>
      </c>
      <c r="B687" s="54">
        <v>56827</v>
      </c>
    </row>
    <row r="688" spans="1:2">
      <c r="A688" s="50">
        <v>9</v>
      </c>
      <c r="B688" s="54">
        <v>56858</v>
      </c>
    </row>
    <row r="689" spans="1:2">
      <c r="A689" s="50">
        <v>10</v>
      </c>
      <c r="B689" s="54">
        <v>56888</v>
      </c>
    </row>
    <row r="690" spans="1:2">
      <c r="A690" s="50">
        <v>11</v>
      </c>
      <c r="B690" s="54">
        <v>56919</v>
      </c>
    </row>
    <row r="691" spans="1:2">
      <c r="A691" s="50">
        <v>12</v>
      </c>
      <c r="B691" s="54">
        <v>56949</v>
      </c>
    </row>
    <row r="692" spans="1:2">
      <c r="A692" s="50">
        <v>1</v>
      </c>
      <c r="B692" s="54">
        <v>56980</v>
      </c>
    </row>
    <row r="693" spans="1:2">
      <c r="A693" s="50">
        <v>2</v>
      </c>
      <c r="B693" s="54">
        <v>57011</v>
      </c>
    </row>
    <row r="694" spans="1:2">
      <c r="A694" s="50">
        <v>3</v>
      </c>
      <c r="B694" s="54">
        <v>57040</v>
      </c>
    </row>
    <row r="695" spans="1:2">
      <c r="A695" s="50">
        <v>4</v>
      </c>
      <c r="B695" s="54">
        <v>57071</v>
      </c>
    </row>
    <row r="696" spans="1:2">
      <c r="A696" s="50">
        <v>5</v>
      </c>
      <c r="B696" s="54">
        <v>57101</v>
      </c>
    </row>
    <row r="697" spans="1:2">
      <c r="A697" s="50">
        <v>6</v>
      </c>
      <c r="B697" s="54">
        <v>57132</v>
      </c>
    </row>
    <row r="698" spans="1:2">
      <c r="A698" s="50">
        <v>7</v>
      </c>
      <c r="B698" s="54">
        <v>57162</v>
      </c>
    </row>
    <row r="699" spans="1:2">
      <c r="A699" s="50">
        <v>8</v>
      </c>
      <c r="B699" s="54">
        <v>57193</v>
      </c>
    </row>
    <row r="700" spans="1:2">
      <c r="A700" s="50">
        <v>9</v>
      </c>
      <c r="B700" s="54">
        <v>57224</v>
      </c>
    </row>
    <row r="701" spans="1:2">
      <c r="A701" s="50">
        <v>10</v>
      </c>
      <c r="B701" s="54">
        <v>57254</v>
      </c>
    </row>
    <row r="702" spans="1:2">
      <c r="A702" s="50">
        <v>11</v>
      </c>
      <c r="B702" s="54">
        <v>57285</v>
      </c>
    </row>
    <row r="703" spans="1:2">
      <c r="A703" s="50">
        <v>12</v>
      </c>
      <c r="B703" s="54">
        <v>57315</v>
      </c>
    </row>
    <row r="704" spans="1:2">
      <c r="A704" s="50">
        <v>1</v>
      </c>
      <c r="B704" s="54">
        <v>57346</v>
      </c>
    </row>
    <row r="705" spans="1:2">
      <c r="A705" s="50">
        <v>2</v>
      </c>
      <c r="B705" s="54">
        <v>57377</v>
      </c>
    </row>
    <row r="706" spans="1:2">
      <c r="A706" s="50">
        <v>3</v>
      </c>
      <c r="B706" s="54">
        <v>57405</v>
      </c>
    </row>
    <row r="707" spans="1:2">
      <c r="A707" s="50">
        <v>4</v>
      </c>
      <c r="B707" s="54">
        <v>57436</v>
      </c>
    </row>
    <row r="708" spans="1:2">
      <c r="A708" s="50">
        <v>5</v>
      </c>
      <c r="B708" s="54">
        <v>57466</v>
      </c>
    </row>
    <row r="709" spans="1:2">
      <c r="A709" s="50">
        <v>6</v>
      </c>
      <c r="B709" s="54">
        <v>57497</v>
      </c>
    </row>
    <row r="710" spans="1:2">
      <c r="A710" s="50">
        <v>7</v>
      </c>
      <c r="B710" s="54">
        <v>57527</v>
      </c>
    </row>
    <row r="711" spans="1:2">
      <c r="A711" s="50">
        <v>8</v>
      </c>
      <c r="B711" s="54">
        <v>57558</v>
      </c>
    </row>
    <row r="712" spans="1:2">
      <c r="A712" s="50">
        <v>9</v>
      </c>
      <c r="B712" s="54">
        <v>57589</v>
      </c>
    </row>
    <row r="713" spans="1:2">
      <c r="A713" s="50">
        <v>10</v>
      </c>
      <c r="B713" s="54">
        <v>57619</v>
      </c>
    </row>
    <row r="714" spans="1:2">
      <c r="A714" s="50">
        <v>11</v>
      </c>
      <c r="B714" s="54">
        <v>57650</v>
      </c>
    </row>
    <row r="715" spans="1:2">
      <c r="A715" s="50">
        <v>12</v>
      </c>
      <c r="B715" s="54">
        <v>57680</v>
      </c>
    </row>
    <row r="716" spans="1:2">
      <c r="A716" s="50">
        <v>1</v>
      </c>
      <c r="B716" s="54">
        <v>57711</v>
      </c>
    </row>
    <row r="717" spans="1:2">
      <c r="A717" s="50">
        <v>2</v>
      </c>
      <c r="B717" s="54">
        <v>57742</v>
      </c>
    </row>
    <row r="718" spans="1:2">
      <c r="A718" s="50">
        <v>3</v>
      </c>
      <c r="B718" s="54">
        <v>57770</v>
      </c>
    </row>
    <row r="719" spans="1:2">
      <c r="A719" s="50">
        <v>4</v>
      </c>
      <c r="B719" s="54">
        <v>57801</v>
      </c>
    </row>
    <row r="720" spans="1:2">
      <c r="A720" s="50">
        <v>5</v>
      </c>
      <c r="B720" s="54">
        <v>57831</v>
      </c>
    </row>
    <row r="721" spans="1:2">
      <c r="A721" s="50">
        <v>6</v>
      </c>
      <c r="B721" s="54">
        <v>57862</v>
      </c>
    </row>
    <row r="722" spans="1:2">
      <c r="A722" s="50">
        <v>7</v>
      </c>
      <c r="B722" s="54">
        <v>57892</v>
      </c>
    </row>
    <row r="723" spans="1:2">
      <c r="A723" s="50">
        <v>8</v>
      </c>
      <c r="B723" s="54">
        <v>57923</v>
      </c>
    </row>
    <row r="724" spans="1:2">
      <c r="A724" s="50">
        <v>9</v>
      </c>
      <c r="B724" s="54">
        <v>57954</v>
      </c>
    </row>
    <row r="725" spans="1:2">
      <c r="A725" s="50">
        <v>10</v>
      </c>
      <c r="B725" s="54">
        <v>57984</v>
      </c>
    </row>
    <row r="726" spans="1:2">
      <c r="A726" s="50">
        <v>11</v>
      </c>
      <c r="B726" s="54">
        <v>58015</v>
      </c>
    </row>
    <row r="727" spans="1:2">
      <c r="A727" s="50">
        <v>12</v>
      </c>
      <c r="B727" s="54">
        <v>58045</v>
      </c>
    </row>
    <row r="728" spans="1:2">
      <c r="A728" s="50">
        <v>1</v>
      </c>
      <c r="B728" s="54">
        <v>58076</v>
      </c>
    </row>
    <row r="729" spans="1:2">
      <c r="A729" s="50">
        <v>2</v>
      </c>
      <c r="B729" s="54">
        <v>58107</v>
      </c>
    </row>
    <row r="730" spans="1:2">
      <c r="A730" s="50">
        <v>3</v>
      </c>
      <c r="B730" s="54">
        <v>58135</v>
      </c>
    </row>
    <row r="731" spans="1:2">
      <c r="A731" s="50">
        <v>4</v>
      </c>
      <c r="B731" s="54">
        <v>58166</v>
      </c>
    </row>
    <row r="732" spans="1:2">
      <c r="A732" s="50">
        <v>5</v>
      </c>
      <c r="B732" s="54">
        <v>58196</v>
      </c>
    </row>
    <row r="733" spans="1:2">
      <c r="A733" s="50">
        <v>6</v>
      </c>
      <c r="B733" s="54">
        <v>58227</v>
      </c>
    </row>
    <row r="734" spans="1:2">
      <c r="A734" s="50">
        <v>7</v>
      </c>
      <c r="B734" s="54">
        <v>58257</v>
      </c>
    </row>
    <row r="735" spans="1:2">
      <c r="A735" s="50">
        <v>8</v>
      </c>
      <c r="B735" s="54">
        <v>58288</v>
      </c>
    </row>
    <row r="736" spans="1:2">
      <c r="A736" s="50">
        <v>9</v>
      </c>
      <c r="B736" s="54">
        <v>58319</v>
      </c>
    </row>
    <row r="737" spans="1:2">
      <c r="A737" s="50">
        <v>10</v>
      </c>
      <c r="B737" s="54">
        <v>58349</v>
      </c>
    </row>
    <row r="738" spans="1:2">
      <c r="A738" s="50">
        <v>11</v>
      </c>
      <c r="B738" s="54">
        <v>58380</v>
      </c>
    </row>
    <row r="739" spans="1:2">
      <c r="A739" s="50">
        <v>12</v>
      </c>
      <c r="B739" s="54">
        <v>58410</v>
      </c>
    </row>
    <row r="740" spans="1:2">
      <c r="A740" s="50">
        <v>1</v>
      </c>
      <c r="B740" s="54">
        <v>58441</v>
      </c>
    </row>
    <row r="741" spans="1:2">
      <c r="A741" s="50">
        <v>2</v>
      </c>
      <c r="B741" s="54">
        <v>58472</v>
      </c>
    </row>
    <row r="742" spans="1:2">
      <c r="A742" s="50">
        <v>3</v>
      </c>
      <c r="B742" s="54">
        <v>58501</v>
      </c>
    </row>
    <row r="743" spans="1:2">
      <c r="A743" s="50">
        <v>4</v>
      </c>
      <c r="B743" s="54">
        <v>58532</v>
      </c>
    </row>
    <row r="744" spans="1:2">
      <c r="A744" s="50">
        <v>5</v>
      </c>
      <c r="B744" s="54">
        <v>58562</v>
      </c>
    </row>
    <row r="745" spans="1:2">
      <c r="A745" s="50">
        <v>6</v>
      </c>
      <c r="B745" s="54">
        <v>58593</v>
      </c>
    </row>
    <row r="746" spans="1:2">
      <c r="A746" s="50">
        <v>7</v>
      </c>
      <c r="B746" s="54">
        <v>58623</v>
      </c>
    </row>
    <row r="747" spans="1:2">
      <c r="A747" s="50">
        <v>8</v>
      </c>
      <c r="B747" s="54">
        <v>58654</v>
      </c>
    </row>
    <row r="748" spans="1:2">
      <c r="A748" s="50">
        <v>9</v>
      </c>
      <c r="B748" s="54">
        <v>58685</v>
      </c>
    </row>
    <row r="749" spans="1:2">
      <c r="A749" s="50">
        <v>10</v>
      </c>
      <c r="B749" s="54">
        <v>58715</v>
      </c>
    </row>
    <row r="750" spans="1:2">
      <c r="A750" s="50">
        <v>11</v>
      </c>
      <c r="B750" s="54">
        <v>58746</v>
      </c>
    </row>
    <row r="751" spans="1:2">
      <c r="A751" s="50">
        <v>12</v>
      </c>
      <c r="B751" s="54">
        <v>58776</v>
      </c>
    </row>
    <row r="752" spans="1:2">
      <c r="A752" s="50">
        <v>1</v>
      </c>
      <c r="B752" s="54">
        <v>58807</v>
      </c>
    </row>
    <row r="753" spans="1:2">
      <c r="A753" s="50">
        <v>2</v>
      </c>
      <c r="B753" s="54">
        <v>58838</v>
      </c>
    </row>
    <row r="754" spans="1:2">
      <c r="A754" s="50">
        <v>3</v>
      </c>
      <c r="B754" s="54">
        <v>58866</v>
      </c>
    </row>
    <row r="755" spans="1:2">
      <c r="A755" s="50">
        <v>4</v>
      </c>
      <c r="B755" s="54">
        <v>58897</v>
      </c>
    </row>
    <row r="756" spans="1:2">
      <c r="A756" s="50">
        <v>5</v>
      </c>
      <c r="B756" s="54">
        <v>58927</v>
      </c>
    </row>
    <row r="757" spans="1:2">
      <c r="A757" s="50">
        <v>6</v>
      </c>
      <c r="B757" s="54">
        <v>58958</v>
      </c>
    </row>
    <row r="758" spans="1:2">
      <c r="A758" s="50">
        <v>7</v>
      </c>
      <c r="B758" s="54">
        <v>58988</v>
      </c>
    </row>
    <row r="759" spans="1:2">
      <c r="A759" s="50">
        <v>8</v>
      </c>
      <c r="B759" s="54">
        <v>59019</v>
      </c>
    </row>
    <row r="760" spans="1:2">
      <c r="A760" s="50">
        <v>9</v>
      </c>
      <c r="B760" s="54">
        <v>59050</v>
      </c>
    </row>
    <row r="761" spans="1:2">
      <c r="A761" s="50">
        <v>10</v>
      </c>
      <c r="B761" s="54">
        <v>59080</v>
      </c>
    </row>
    <row r="762" spans="1:2">
      <c r="A762" s="50">
        <v>11</v>
      </c>
      <c r="B762" s="54">
        <v>59111</v>
      </c>
    </row>
    <row r="763" spans="1:2">
      <c r="A763" s="50">
        <v>12</v>
      </c>
      <c r="B763" s="54">
        <v>59141</v>
      </c>
    </row>
    <row r="764" spans="1:2">
      <c r="A764" s="50">
        <v>1</v>
      </c>
      <c r="B764" s="54">
        <v>59172</v>
      </c>
    </row>
    <row r="765" spans="1:2">
      <c r="A765" s="50">
        <v>2</v>
      </c>
      <c r="B765" s="54">
        <v>59203</v>
      </c>
    </row>
    <row r="766" spans="1:2">
      <c r="A766" s="50">
        <v>3</v>
      </c>
      <c r="B766" s="54">
        <v>59231</v>
      </c>
    </row>
    <row r="767" spans="1:2">
      <c r="A767" s="50">
        <v>4</v>
      </c>
      <c r="B767" s="54">
        <v>59262</v>
      </c>
    </row>
    <row r="768" spans="1:2">
      <c r="A768" s="50">
        <v>5</v>
      </c>
      <c r="B768" s="54">
        <v>59292</v>
      </c>
    </row>
    <row r="769" spans="1:2">
      <c r="A769" s="50">
        <v>6</v>
      </c>
      <c r="B769" s="54">
        <v>59323</v>
      </c>
    </row>
    <row r="770" spans="1:2">
      <c r="A770" s="50">
        <v>7</v>
      </c>
      <c r="B770" s="54">
        <v>59353</v>
      </c>
    </row>
    <row r="771" spans="1:2">
      <c r="A771" s="50">
        <v>8</v>
      </c>
      <c r="B771" s="54">
        <v>59384</v>
      </c>
    </row>
    <row r="772" spans="1:2">
      <c r="A772" s="50">
        <v>9</v>
      </c>
      <c r="B772" s="54">
        <v>59415</v>
      </c>
    </row>
    <row r="773" spans="1:2">
      <c r="A773" s="50">
        <v>10</v>
      </c>
      <c r="B773" s="54">
        <v>59445</v>
      </c>
    </row>
    <row r="774" spans="1:2">
      <c r="A774" s="50">
        <v>11</v>
      </c>
      <c r="B774" s="54">
        <v>59476</v>
      </c>
    </row>
    <row r="775" spans="1:2">
      <c r="A775" s="50">
        <v>12</v>
      </c>
      <c r="B775" s="54">
        <v>59506</v>
      </c>
    </row>
    <row r="776" spans="1:2">
      <c r="A776" s="50">
        <v>1</v>
      </c>
      <c r="B776" s="54">
        <v>59537</v>
      </c>
    </row>
    <row r="777" spans="1:2">
      <c r="A777" s="50">
        <v>2</v>
      </c>
      <c r="B777" s="54">
        <v>59568</v>
      </c>
    </row>
    <row r="778" spans="1:2">
      <c r="A778" s="50">
        <v>3</v>
      </c>
      <c r="B778" s="54">
        <v>59596</v>
      </c>
    </row>
    <row r="779" spans="1:2">
      <c r="A779" s="50">
        <v>4</v>
      </c>
      <c r="B779" s="54">
        <v>59627</v>
      </c>
    </row>
    <row r="780" spans="1:2">
      <c r="A780" s="50">
        <v>5</v>
      </c>
      <c r="B780" s="54">
        <v>59657</v>
      </c>
    </row>
    <row r="781" spans="1:2">
      <c r="A781" s="50">
        <v>6</v>
      </c>
      <c r="B781" s="54">
        <v>59688</v>
      </c>
    </row>
    <row r="782" spans="1:2">
      <c r="A782" s="50">
        <v>7</v>
      </c>
      <c r="B782" s="54">
        <v>59718</v>
      </c>
    </row>
    <row r="783" spans="1:2">
      <c r="A783" s="50">
        <v>8</v>
      </c>
      <c r="B783" s="54">
        <v>59749</v>
      </c>
    </row>
    <row r="784" spans="1:2">
      <c r="A784" s="50">
        <v>9</v>
      </c>
      <c r="B784" s="54">
        <v>59780</v>
      </c>
    </row>
    <row r="785" spans="1:2">
      <c r="A785" s="50">
        <v>10</v>
      </c>
      <c r="B785" s="54">
        <v>59810</v>
      </c>
    </row>
    <row r="786" spans="1:2">
      <c r="A786" s="50">
        <v>11</v>
      </c>
      <c r="B786" s="54">
        <v>59841</v>
      </c>
    </row>
    <row r="787" spans="1:2">
      <c r="A787" s="50">
        <v>12</v>
      </c>
      <c r="B787" s="54">
        <v>59871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267"/>
  <sheetViews>
    <sheetView workbookViewId="0">
      <selection activeCell="A9" sqref="A9"/>
    </sheetView>
  </sheetViews>
  <sheetFormatPr defaultColWidth="9.109375" defaultRowHeight="15.6"/>
  <cols>
    <col min="1" max="1" width="9.109375" style="73"/>
    <col min="2" max="2" width="9.109375" style="72"/>
    <col min="3" max="3" width="9.6640625" style="121" bestFit="1" customWidth="1"/>
    <col min="4" max="7" width="9.109375" style="73"/>
    <col min="8" max="8" width="11" style="75" bestFit="1" customWidth="1"/>
    <col min="9" max="27" width="11" style="73" bestFit="1" customWidth="1"/>
    <col min="28" max="16384" width="9.109375" style="73"/>
  </cols>
  <sheetData>
    <row r="1" spans="2:27">
      <c r="H1" s="123">
        <v>36861</v>
      </c>
      <c r="I1" s="124">
        <f>H1+365.25</f>
        <v>37226.25</v>
      </c>
      <c r="J1" s="124">
        <f t="shared" ref="J1:AA1" si="0">I1+365.25</f>
        <v>37591.5</v>
      </c>
      <c r="K1" s="124">
        <f t="shared" si="0"/>
        <v>37956.75</v>
      </c>
      <c r="L1" s="124">
        <f t="shared" si="0"/>
        <v>38322</v>
      </c>
      <c r="M1" s="124">
        <f t="shared" si="0"/>
        <v>38687.25</v>
      </c>
      <c r="N1" s="124">
        <f t="shared" si="0"/>
        <v>39052.5</v>
      </c>
      <c r="O1" s="124">
        <f t="shared" si="0"/>
        <v>39417.75</v>
      </c>
      <c r="P1" s="124">
        <f t="shared" si="0"/>
        <v>39783</v>
      </c>
      <c r="Q1" s="124">
        <f t="shared" si="0"/>
        <v>40148.25</v>
      </c>
      <c r="R1" s="124">
        <f t="shared" si="0"/>
        <v>40513.5</v>
      </c>
      <c r="S1" s="124">
        <f t="shared" si="0"/>
        <v>40878.75</v>
      </c>
      <c r="T1" s="124">
        <f t="shared" si="0"/>
        <v>41244</v>
      </c>
      <c r="U1" s="124">
        <f t="shared" si="0"/>
        <v>41609.25</v>
      </c>
      <c r="V1" s="124">
        <f t="shared" si="0"/>
        <v>41974.5</v>
      </c>
      <c r="W1" s="124">
        <f t="shared" si="0"/>
        <v>42339.75</v>
      </c>
      <c r="X1" s="124">
        <f t="shared" si="0"/>
        <v>42705</v>
      </c>
      <c r="Y1" s="124">
        <f t="shared" si="0"/>
        <v>43070.25</v>
      </c>
      <c r="Z1" s="124">
        <f t="shared" si="0"/>
        <v>43435.5</v>
      </c>
      <c r="AA1" s="124">
        <f t="shared" si="0"/>
        <v>43800.75</v>
      </c>
    </row>
    <row r="2" spans="2:27">
      <c r="H2" s="122">
        <v>1.0269999999999999</v>
      </c>
      <c r="I2" s="122">
        <v>1.0547289999999998</v>
      </c>
      <c r="J2" s="122">
        <v>1.0832066829999998</v>
      </c>
      <c r="K2" s="122">
        <v>1.1124532634409996</v>
      </c>
      <c r="L2" s="122">
        <v>1.1424895015539065</v>
      </c>
      <c r="M2" s="122">
        <v>1.1733367180958618</v>
      </c>
      <c r="N2" s="122">
        <v>1.20501680948445</v>
      </c>
      <c r="O2" s="122">
        <v>1.23755226334053</v>
      </c>
      <c r="P2" s="122">
        <v>1.2709661744507241</v>
      </c>
      <c r="Q2" s="122">
        <v>1.3052822611608936</v>
      </c>
      <c r="R2" s="122">
        <v>1.340524882212238</v>
      </c>
      <c r="S2" s="122">
        <v>1.376719054031968</v>
      </c>
      <c r="T2" s="122">
        <v>1.4138904684908309</v>
      </c>
      <c r="U2" s="122">
        <v>1.4520655111400833</v>
      </c>
      <c r="V2" s="122">
        <v>1.4912712799408654</v>
      </c>
      <c r="W2" s="122">
        <v>1.5315356044992685</v>
      </c>
      <c r="X2" s="122">
        <v>1.5728870658207486</v>
      </c>
      <c r="Y2" s="122">
        <v>1.6153550165979087</v>
      </c>
      <c r="Z2" s="122">
        <v>1.6589696020460523</v>
      </c>
      <c r="AA2" s="122">
        <v>1.7037617813012951</v>
      </c>
    </row>
    <row r="4" spans="2:27">
      <c r="C4" s="126">
        <v>2.7E-2</v>
      </c>
    </row>
    <row r="5" spans="2:27">
      <c r="C5" s="127" t="s">
        <v>95</v>
      </c>
    </row>
    <row r="6" spans="2:27">
      <c r="B6" s="72" t="s">
        <v>60</v>
      </c>
      <c r="C6" s="128" t="s">
        <v>27</v>
      </c>
      <c r="D6" s="76" t="s">
        <v>76</v>
      </c>
      <c r="E6" s="77" t="s">
        <v>103</v>
      </c>
    </row>
    <row r="7" spans="2:27">
      <c r="B7" s="74">
        <f>B8-31</f>
        <v>36281</v>
      </c>
    </row>
    <row r="8" spans="2:27">
      <c r="B8" s="74">
        <f>B9-30</f>
        <v>36312</v>
      </c>
      <c r="C8" s="121">
        <f>(1+$C$4)^E8</f>
        <v>1</v>
      </c>
      <c r="E8" s="75"/>
    </row>
    <row r="9" spans="2:27">
      <c r="B9" s="74">
        <f>B10-31</f>
        <v>36342</v>
      </c>
      <c r="C9" s="121">
        <f t="shared" ref="C9:C72" si="1">(1+$C$4)^E9</f>
        <v>1</v>
      </c>
      <c r="E9" s="75"/>
    </row>
    <row r="10" spans="2:27">
      <c r="B10" s="74">
        <f>B11-31</f>
        <v>36373</v>
      </c>
      <c r="C10" s="121">
        <f t="shared" si="1"/>
        <v>1</v>
      </c>
      <c r="E10" s="75"/>
    </row>
    <row r="11" spans="2:27">
      <c r="B11" s="74">
        <f>B12-30</f>
        <v>36404</v>
      </c>
      <c r="C11" s="121">
        <f t="shared" si="1"/>
        <v>1</v>
      </c>
      <c r="E11" s="75"/>
    </row>
    <row r="12" spans="2:27">
      <c r="B12" s="74">
        <f>B13-31</f>
        <v>36434</v>
      </c>
      <c r="C12" s="121">
        <f t="shared" si="1"/>
        <v>1</v>
      </c>
      <c r="E12" s="75"/>
    </row>
    <row r="13" spans="2:27">
      <c r="B13" s="74">
        <f>B14-30</f>
        <v>36465</v>
      </c>
      <c r="C13" s="121">
        <f t="shared" si="1"/>
        <v>1</v>
      </c>
      <c r="E13" s="75"/>
    </row>
    <row r="14" spans="2:27">
      <c r="B14" s="74">
        <f>B15-31</f>
        <v>36495</v>
      </c>
      <c r="C14" s="121">
        <f t="shared" si="1"/>
        <v>1</v>
      </c>
      <c r="E14" s="75"/>
    </row>
    <row r="15" spans="2:27">
      <c r="B15" s="74">
        <f>B16-31</f>
        <v>36526</v>
      </c>
      <c r="C15" s="121">
        <f t="shared" si="1"/>
        <v>1.0022226272943571</v>
      </c>
      <c r="D15" s="73">
        <v>1</v>
      </c>
      <c r="E15" s="75">
        <f>D15/12</f>
        <v>8.3333333333333329E-2</v>
      </c>
    </row>
    <row r="16" spans="2:27">
      <c r="B16" s="55">
        <v>36557</v>
      </c>
      <c r="C16" s="121">
        <f t="shared" si="1"/>
        <v>1.004450194660804</v>
      </c>
      <c r="D16" s="73">
        <f>D15+1</f>
        <v>2</v>
      </c>
      <c r="E16" s="75">
        <f t="shared" ref="E16:E73" si="2">D16/12</f>
        <v>0.16666666666666666</v>
      </c>
    </row>
    <row r="17" spans="2:5">
      <c r="B17" s="55">
        <v>36586</v>
      </c>
      <c r="C17" s="121">
        <f t="shared" si="1"/>
        <v>1.0066827130792793</v>
      </c>
      <c r="D17" s="73">
        <f t="shared" ref="D17:D73" si="3">D16+1</f>
        <v>3</v>
      </c>
      <c r="E17" s="75">
        <f t="shared" si="2"/>
        <v>0.25</v>
      </c>
    </row>
    <row r="18" spans="2:5">
      <c r="B18" s="55">
        <v>36617</v>
      </c>
      <c r="C18" s="121">
        <f t="shared" si="1"/>
        <v>1.0089201935541268</v>
      </c>
      <c r="D18" s="73">
        <f t="shared" si="3"/>
        <v>4</v>
      </c>
      <c r="E18" s="75">
        <f t="shared" si="2"/>
        <v>0.33333333333333331</v>
      </c>
    </row>
    <row r="19" spans="2:5">
      <c r="B19" s="55">
        <v>36647</v>
      </c>
      <c r="C19" s="121">
        <f t="shared" si="1"/>
        <v>1.0111626471141484</v>
      </c>
      <c r="D19" s="73">
        <f t="shared" si="3"/>
        <v>5</v>
      </c>
      <c r="E19" s="75">
        <f t="shared" si="2"/>
        <v>0.41666666666666669</v>
      </c>
    </row>
    <row r="20" spans="2:5">
      <c r="B20" s="55">
        <v>36678</v>
      </c>
      <c r="C20" s="121">
        <f t="shared" si="1"/>
        <v>1.0134100848126586</v>
      </c>
      <c r="D20" s="73">
        <f t="shared" si="3"/>
        <v>6</v>
      </c>
      <c r="E20" s="75">
        <f t="shared" si="2"/>
        <v>0.5</v>
      </c>
    </row>
    <row r="21" spans="2:5">
      <c r="B21" s="55">
        <v>36708</v>
      </c>
      <c r="C21" s="121">
        <f t="shared" si="1"/>
        <v>1.01566251772754</v>
      </c>
      <c r="D21" s="73">
        <f t="shared" si="3"/>
        <v>7</v>
      </c>
      <c r="E21" s="75">
        <f t="shared" si="2"/>
        <v>0.58333333333333337</v>
      </c>
    </row>
    <row r="22" spans="2:5">
      <c r="B22" s="55">
        <v>36739</v>
      </c>
      <c r="C22" s="121">
        <f t="shared" si="1"/>
        <v>1.0179199569612967</v>
      </c>
      <c r="D22" s="73">
        <f t="shared" si="3"/>
        <v>8</v>
      </c>
      <c r="E22" s="75">
        <f t="shared" si="2"/>
        <v>0.66666666666666663</v>
      </c>
    </row>
    <row r="23" spans="2:5">
      <c r="B23" s="55">
        <v>36770</v>
      </c>
      <c r="C23" s="121">
        <f t="shared" si="1"/>
        <v>1.0201824136411097</v>
      </c>
      <c r="D23" s="73">
        <f t="shared" si="3"/>
        <v>9</v>
      </c>
      <c r="E23" s="75">
        <f t="shared" si="2"/>
        <v>0.75</v>
      </c>
    </row>
    <row r="24" spans="2:5">
      <c r="B24" s="55">
        <v>36800</v>
      </c>
      <c r="C24" s="121">
        <f t="shared" si="1"/>
        <v>1.0224498989188915</v>
      </c>
      <c r="D24" s="73">
        <f t="shared" si="3"/>
        <v>10</v>
      </c>
      <c r="E24" s="75">
        <f t="shared" si="2"/>
        <v>0.83333333333333337</v>
      </c>
    </row>
    <row r="25" spans="2:5">
      <c r="B25" s="55">
        <v>36831</v>
      </c>
      <c r="C25" s="121">
        <f t="shared" si="1"/>
        <v>1.0247224239713415</v>
      </c>
      <c r="D25" s="73">
        <f t="shared" si="3"/>
        <v>11</v>
      </c>
      <c r="E25" s="75">
        <f t="shared" si="2"/>
        <v>0.91666666666666663</v>
      </c>
    </row>
    <row r="26" spans="2:5">
      <c r="B26" s="55">
        <v>36861</v>
      </c>
      <c r="C26" s="121">
        <f t="shared" si="1"/>
        <v>1.0269999999999999</v>
      </c>
      <c r="D26" s="73">
        <f t="shared" si="3"/>
        <v>12</v>
      </c>
      <c r="E26" s="75">
        <f t="shared" si="2"/>
        <v>1</v>
      </c>
    </row>
    <row r="27" spans="2:5">
      <c r="B27" s="55">
        <v>36892</v>
      </c>
      <c r="C27" s="121">
        <f t="shared" si="1"/>
        <v>1.0292826382313047</v>
      </c>
      <c r="D27" s="73">
        <f t="shared" si="3"/>
        <v>13</v>
      </c>
      <c r="E27" s="75">
        <f t="shared" si="2"/>
        <v>1.0833333333333333</v>
      </c>
    </row>
    <row r="28" spans="2:5">
      <c r="B28" s="55">
        <v>36923</v>
      </c>
      <c r="C28" s="121">
        <f t="shared" si="1"/>
        <v>1.0315703499166455</v>
      </c>
      <c r="D28" s="73">
        <f t="shared" si="3"/>
        <v>14</v>
      </c>
      <c r="E28" s="75">
        <f t="shared" si="2"/>
        <v>1.1666666666666667</v>
      </c>
    </row>
    <row r="29" spans="2:5">
      <c r="B29" s="55">
        <v>36951</v>
      </c>
      <c r="C29" s="121">
        <f t="shared" si="1"/>
        <v>1.0338631463324197</v>
      </c>
      <c r="D29" s="73">
        <f t="shared" si="3"/>
        <v>15</v>
      </c>
      <c r="E29" s="75">
        <f t="shared" si="2"/>
        <v>1.25</v>
      </c>
    </row>
    <row r="30" spans="2:5">
      <c r="B30" s="55">
        <v>36982</v>
      </c>
      <c r="C30" s="121">
        <f t="shared" si="1"/>
        <v>1.0361610387800881</v>
      </c>
      <c r="D30" s="73">
        <f t="shared" si="3"/>
        <v>16</v>
      </c>
      <c r="E30" s="75">
        <f t="shared" si="2"/>
        <v>1.3333333333333333</v>
      </c>
    </row>
    <row r="31" spans="2:5">
      <c r="B31" s="55">
        <v>37012</v>
      </c>
      <c r="C31" s="121">
        <f t="shared" si="1"/>
        <v>1.0384640385862303</v>
      </c>
      <c r="D31" s="73">
        <f t="shared" si="3"/>
        <v>17</v>
      </c>
      <c r="E31" s="75">
        <f t="shared" si="2"/>
        <v>1.4166666666666667</v>
      </c>
    </row>
    <row r="32" spans="2:5">
      <c r="B32" s="55">
        <v>37043</v>
      </c>
      <c r="C32" s="121">
        <f t="shared" si="1"/>
        <v>1.0407721571026003</v>
      </c>
      <c r="D32" s="73">
        <f t="shared" si="3"/>
        <v>18</v>
      </c>
      <c r="E32" s="75">
        <f t="shared" si="2"/>
        <v>1.5</v>
      </c>
    </row>
    <row r="33" spans="2:5">
      <c r="B33" s="55">
        <v>37073</v>
      </c>
      <c r="C33" s="121">
        <f t="shared" si="1"/>
        <v>1.0430854057061836</v>
      </c>
      <c r="D33" s="73">
        <f t="shared" si="3"/>
        <v>19</v>
      </c>
      <c r="E33" s="75">
        <f t="shared" si="2"/>
        <v>1.5833333333333333</v>
      </c>
    </row>
    <row r="34" spans="2:5">
      <c r="B34" s="55">
        <v>37104</v>
      </c>
      <c r="C34" s="121">
        <f t="shared" si="1"/>
        <v>1.0454037957992517</v>
      </c>
      <c r="D34" s="73">
        <f t="shared" si="3"/>
        <v>20</v>
      </c>
      <c r="E34" s="75">
        <f t="shared" si="2"/>
        <v>1.6666666666666667</v>
      </c>
    </row>
    <row r="35" spans="2:5">
      <c r="B35" s="55">
        <v>37135</v>
      </c>
      <c r="C35" s="121">
        <f t="shared" si="1"/>
        <v>1.0477273388094197</v>
      </c>
      <c r="D35" s="73">
        <f t="shared" si="3"/>
        <v>21</v>
      </c>
      <c r="E35" s="75">
        <f t="shared" si="2"/>
        <v>1.75</v>
      </c>
    </row>
    <row r="36" spans="2:5">
      <c r="B36" s="55">
        <v>37165</v>
      </c>
      <c r="C36" s="121">
        <f t="shared" si="1"/>
        <v>1.0500560461897015</v>
      </c>
      <c r="D36" s="73">
        <f t="shared" si="3"/>
        <v>22</v>
      </c>
      <c r="E36" s="75">
        <f t="shared" si="2"/>
        <v>1.8333333333333333</v>
      </c>
    </row>
    <row r="37" spans="2:5">
      <c r="B37" s="55">
        <v>37196</v>
      </c>
      <c r="C37" s="121">
        <f t="shared" si="1"/>
        <v>1.0523899294185675</v>
      </c>
      <c r="D37" s="73">
        <f t="shared" si="3"/>
        <v>23</v>
      </c>
      <c r="E37" s="75">
        <f t="shared" si="2"/>
        <v>1.9166666666666667</v>
      </c>
    </row>
    <row r="38" spans="2:5">
      <c r="B38" s="55">
        <v>37226</v>
      </c>
      <c r="C38" s="121">
        <f t="shared" si="1"/>
        <v>1.0547289999999998</v>
      </c>
      <c r="D38" s="73">
        <f t="shared" si="3"/>
        <v>24</v>
      </c>
      <c r="E38" s="75">
        <f t="shared" si="2"/>
        <v>2</v>
      </c>
    </row>
    <row r="39" spans="2:5">
      <c r="B39" s="55">
        <v>37257</v>
      </c>
      <c r="C39" s="121">
        <f t="shared" si="1"/>
        <v>1.0570732694635498</v>
      </c>
      <c r="D39" s="73">
        <f t="shared" si="3"/>
        <v>25</v>
      </c>
      <c r="E39" s="75">
        <f t="shared" si="2"/>
        <v>2.0833333333333335</v>
      </c>
    </row>
    <row r="40" spans="2:5">
      <c r="B40" s="55">
        <v>37288</v>
      </c>
      <c r="C40" s="121">
        <f t="shared" si="1"/>
        <v>1.0594227493643948</v>
      </c>
      <c r="D40" s="73">
        <f t="shared" si="3"/>
        <v>26</v>
      </c>
      <c r="E40" s="75">
        <f t="shared" si="2"/>
        <v>2.1666666666666665</v>
      </c>
    </row>
    <row r="41" spans="2:5">
      <c r="B41" s="55">
        <v>37316</v>
      </c>
      <c r="C41" s="121">
        <f t="shared" si="1"/>
        <v>1.0617774512833951</v>
      </c>
      <c r="D41" s="73">
        <f t="shared" si="3"/>
        <v>27</v>
      </c>
      <c r="E41" s="75">
        <f t="shared" si="2"/>
        <v>2.25</v>
      </c>
    </row>
    <row r="42" spans="2:5">
      <c r="B42" s="55">
        <v>37347</v>
      </c>
      <c r="C42" s="121">
        <f t="shared" si="1"/>
        <v>1.0641373868271504</v>
      </c>
      <c r="D42" s="73">
        <f t="shared" si="3"/>
        <v>28</v>
      </c>
      <c r="E42" s="75">
        <f t="shared" si="2"/>
        <v>2.3333333333333335</v>
      </c>
    </row>
    <row r="43" spans="2:5">
      <c r="B43" s="55">
        <v>37377</v>
      </c>
      <c r="C43" s="121">
        <f t="shared" si="1"/>
        <v>1.0665025676280584</v>
      </c>
      <c r="D43" s="73">
        <f t="shared" si="3"/>
        <v>29</v>
      </c>
      <c r="E43" s="75">
        <f t="shared" si="2"/>
        <v>2.4166666666666665</v>
      </c>
    </row>
    <row r="44" spans="2:5">
      <c r="B44" s="55">
        <v>37408</v>
      </c>
      <c r="C44" s="121">
        <f t="shared" si="1"/>
        <v>1.0688730053443705</v>
      </c>
      <c r="D44" s="73">
        <f t="shared" si="3"/>
        <v>30</v>
      </c>
      <c r="E44" s="75">
        <f t="shared" si="2"/>
        <v>2.5</v>
      </c>
    </row>
    <row r="45" spans="2:5">
      <c r="B45" s="55">
        <v>37438</v>
      </c>
      <c r="C45" s="121">
        <f t="shared" si="1"/>
        <v>1.0712487116602503</v>
      </c>
      <c r="D45" s="73">
        <f t="shared" si="3"/>
        <v>31</v>
      </c>
      <c r="E45" s="75">
        <f t="shared" si="2"/>
        <v>2.5833333333333335</v>
      </c>
    </row>
    <row r="46" spans="2:5">
      <c r="B46" s="55">
        <v>37469</v>
      </c>
      <c r="C46" s="121">
        <f t="shared" si="1"/>
        <v>1.0736296982858313</v>
      </c>
      <c r="D46" s="73">
        <f t="shared" si="3"/>
        <v>32</v>
      </c>
      <c r="E46" s="75">
        <f t="shared" si="2"/>
        <v>2.6666666666666665</v>
      </c>
    </row>
    <row r="47" spans="2:5">
      <c r="B47" s="55">
        <v>37500</v>
      </c>
      <c r="C47" s="121">
        <f t="shared" si="1"/>
        <v>1.0760159769572739</v>
      </c>
      <c r="D47" s="73">
        <f t="shared" si="3"/>
        <v>33</v>
      </c>
      <c r="E47" s="75">
        <f t="shared" si="2"/>
        <v>2.75</v>
      </c>
    </row>
    <row r="48" spans="2:5">
      <c r="B48" s="55">
        <v>37530</v>
      </c>
      <c r="C48" s="121">
        <f t="shared" si="1"/>
        <v>1.0784075594368234</v>
      </c>
      <c r="D48" s="73">
        <f t="shared" si="3"/>
        <v>34</v>
      </c>
      <c r="E48" s="75">
        <f t="shared" si="2"/>
        <v>2.8333333333333335</v>
      </c>
    </row>
    <row r="49" spans="2:5">
      <c r="B49" s="55">
        <v>37561</v>
      </c>
      <c r="C49" s="121">
        <f t="shared" si="1"/>
        <v>1.0808044575128688</v>
      </c>
      <c r="D49" s="73">
        <f t="shared" si="3"/>
        <v>35</v>
      </c>
      <c r="E49" s="75">
        <f t="shared" si="2"/>
        <v>2.9166666666666665</v>
      </c>
    </row>
    <row r="50" spans="2:5">
      <c r="B50" s="55">
        <v>37591</v>
      </c>
      <c r="C50" s="121">
        <f t="shared" si="1"/>
        <v>1.0832066829999998</v>
      </c>
      <c r="D50" s="73">
        <f t="shared" si="3"/>
        <v>36</v>
      </c>
      <c r="E50" s="75">
        <f t="shared" si="2"/>
        <v>3</v>
      </c>
    </row>
    <row r="51" spans="2:5">
      <c r="B51" s="55">
        <v>37622</v>
      </c>
      <c r="C51" s="121">
        <f t="shared" si="1"/>
        <v>1.0856142477390656</v>
      </c>
      <c r="D51" s="73">
        <f t="shared" si="3"/>
        <v>37</v>
      </c>
      <c r="E51" s="75">
        <f t="shared" si="2"/>
        <v>3.0833333333333335</v>
      </c>
    </row>
    <row r="52" spans="2:5">
      <c r="B52" s="55">
        <v>37653</v>
      </c>
      <c r="C52" s="121">
        <f t="shared" si="1"/>
        <v>1.0880271635972334</v>
      </c>
      <c r="D52" s="73">
        <f t="shared" si="3"/>
        <v>38</v>
      </c>
      <c r="E52" s="75">
        <f t="shared" si="2"/>
        <v>3.1666666666666665</v>
      </c>
    </row>
    <row r="53" spans="2:5">
      <c r="B53" s="55">
        <v>37681</v>
      </c>
      <c r="C53" s="121">
        <f t="shared" si="1"/>
        <v>1.0904454424680465</v>
      </c>
      <c r="D53" s="73">
        <f t="shared" si="3"/>
        <v>39</v>
      </c>
      <c r="E53" s="75">
        <f t="shared" si="2"/>
        <v>3.25</v>
      </c>
    </row>
    <row r="54" spans="2:5">
      <c r="B54" s="55">
        <v>37712</v>
      </c>
      <c r="C54" s="121">
        <f t="shared" si="1"/>
        <v>1.0928690962714833</v>
      </c>
      <c r="D54" s="73">
        <f t="shared" si="3"/>
        <v>40</v>
      </c>
      <c r="E54" s="75">
        <f t="shared" si="2"/>
        <v>3.3333333333333335</v>
      </c>
    </row>
    <row r="55" spans="2:5">
      <c r="B55" s="55">
        <v>37742</v>
      </c>
      <c r="C55" s="121">
        <f t="shared" si="1"/>
        <v>1.0952981369540158</v>
      </c>
      <c r="D55" s="73">
        <f t="shared" si="3"/>
        <v>41</v>
      </c>
      <c r="E55" s="75">
        <f t="shared" si="2"/>
        <v>3.4166666666666665</v>
      </c>
    </row>
    <row r="56" spans="2:5">
      <c r="B56" s="55">
        <v>37773</v>
      </c>
      <c r="C56" s="121">
        <f t="shared" si="1"/>
        <v>1.0977325764886683</v>
      </c>
      <c r="D56" s="73">
        <f t="shared" si="3"/>
        <v>42</v>
      </c>
      <c r="E56" s="75">
        <f t="shared" si="2"/>
        <v>3.5</v>
      </c>
    </row>
    <row r="57" spans="2:5">
      <c r="B57" s="55">
        <v>37803</v>
      </c>
      <c r="C57" s="121">
        <f t="shared" si="1"/>
        <v>1.100172426875077</v>
      </c>
      <c r="D57" s="73">
        <f t="shared" si="3"/>
        <v>43</v>
      </c>
      <c r="E57" s="75">
        <f t="shared" si="2"/>
        <v>3.5833333333333335</v>
      </c>
    </row>
    <row r="58" spans="2:5">
      <c r="B58" s="55">
        <v>37834</v>
      </c>
      <c r="C58" s="121">
        <f t="shared" si="1"/>
        <v>1.1026177001395487</v>
      </c>
      <c r="D58" s="73">
        <f t="shared" si="3"/>
        <v>44</v>
      </c>
      <c r="E58" s="75">
        <f t="shared" si="2"/>
        <v>3.6666666666666665</v>
      </c>
    </row>
    <row r="59" spans="2:5">
      <c r="B59" s="55">
        <v>37865</v>
      </c>
      <c r="C59" s="121">
        <f t="shared" si="1"/>
        <v>1.1050684083351201</v>
      </c>
      <c r="D59" s="73">
        <f t="shared" si="3"/>
        <v>45</v>
      </c>
      <c r="E59" s="75">
        <f t="shared" si="2"/>
        <v>3.75</v>
      </c>
    </row>
    <row r="60" spans="2:5">
      <c r="B60" s="55">
        <v>37895</v>
      </c>
      <c r="C60" s="121">
        <f t="shared" si="1"/>
        <v>1.1075245635416175</v>
      </c>
      <c r="D60" s="73">
        <f t="shared" si="3"/>
        <v>46</v>
      </c>
      <c r="E60" s="75">
        <f t="shared" si="2"/>
        <v>3.8333333333333335</v>
      </c>
    </row>
    <row r="61" spans="2:5">
      <c r="B61" s="55">
        <v>37926</v>
      </c>
      <c r="C61" s="121">
        <f t="shared" si="1"/>
        <v>1.1099861778657161</v>
      </c>
      <c r="D61" s="73">
        <f t="shared" si="3"/>
        <v>47</v>
      </c>
      <c r="E61" s="75">
        <f t="shared" si="2"/>
        <v>3.9166666666666665</v>
      </c>
    </row>
    <row r="62" spans="2:5">
      <c r="B62" s="55">
        <v>37956</v>
      </c>
      <c r="C62" s="121">
        <f t="shared" si="1"/>
        <v>1.1124532634409996</v>
      </c>
      <c r="D62" s="73">
        <f t="shared" si="3"/>
        <v>48</v>
      </c>
      <c r="E62" s="75">
        <f t="shared" si="2"/>
        <v>4</v>
      </c>
    </row>
    <row r="63" spans="2:5">
      <c r="B63" s="55">
        <v>37987</v>
      </c>
      <c r="C63" s="121">
        <f t="shared" si="1"/>
        <v>1.1149258324280202</v>
      </c>
      <c r="D63" s="73">
        <f t="shared" si="3"/>
        <v>49</v>
      </c>
      <c r="E63" s="75">
        <f t="shared" si="2"/>
        <v>4.083333333333333</v>
      </c>
    </row>
    <row r="64" spans="2:5">
      <c r="B64" s="55">
        <v>38018</v>
      </c>
      <c r="C64" s="121">
        <f t="shared" si="1"/>
        <v>1.1174038970143587</v>
      </c>
      <c r="D64" s="73">
        <f t="shared" si="3"/>
        <v>50</v>
      </c>
      <c r="E64" s="75">
        <f t="shared" si="2"/>
        <v>4.166666666666667</v>
      </c>
    </row>
    <row r="65" spans="2:5">
      <c r="B65" s="55">
        <v>38047</v>
      </c>
      <c r="C65" s="121">
        <f t="shared" si="1"/>
        <v>1.1198874694146836</v>
      </c>
      <c r="D65" s="73">
        <f t="shared" si="3"/>
        <v>51</v>
      </c>
      <c r="E65" s="75">
        <f t="shared" si="2"/>
        <v>4.25</v>
      </c>
    </row>
    <row r="66" spans="2:5">
      <c r="B66" s="55">
        <v>38078</v>
      </c>
      <c r="C66" s="121">
        <f t="shared" si="1"/>
        <v>1.1223765618708132</v>
      </c>
      <c r="D66" s="73">
        <f t="shared" si="3"/>
        <v>52</v>
      </c>
      <c r="E66" s="75">
        <f t="shared" si="2"/>
        <v>4.333333333333333</v>
      </c>
    </row>
    <row r="67" spans="2:5">
      <c r="B67" s="55">
        <v>38108</v>
      </c>
      <c r="C67" s="121">
        <f t="shared" si="1"/>
        <v>1.1248711866517742</v>
      </c>
      <c r="D67" s="73">
        <f t="shared" si="3"/>
        <v>53</v>
      </c>
      <c r="E67" s="75">
        <f t="shared" si="2"/>
        <v>4.416666666666667</v>
      </c>
    </row>
    <row r="68" spans="2:5">
      <c r="B68" s="55">
        <v>38139</v>
      </c>
      <c r="C68" s="121">
        <f t="shared" si="1"/>
        <v>1.1273713560538623</v>
      </c>
      <c r="D68" s="73">
        <f t="shared" si="3"/>
        <v>54</v>
      </c>
      <c r="E68" s="75">
        <f t="shared" si="2"/>
        <v>4.5</v>
      </c>
    </row>
    <row r="69" spans="2:5">
      <c r="B69" s="55">
        <v>38169</v>
      </c>
      <c r="C69" s="121">
        <f t="shared" si="1"/>
        <v>1.1298770824007041</v>
      </c>
      <c r="D69" s="73">
        <f t="shared" si="3"/>
        <v>55</v>
      </c>
      <c r="E69" s="75">
        <f t="shared" si="2"/>
        <v>4.583333333333333</v>
      </c>
    </row>
    <row r="70" spans="2:5">
      <c r="B70" s="55">
        <v>38200</v>
      </c>
      <c r="C70" s="121">
        <f t="shared" si="1"/>
        <v>1.1323883780433164</v>
      </c>
      <c r="D70" s="73">
        <f t="shared" si="3"/>
        <v>56</v>
      </c>
      <c r="E70" s="75">
        <f t="shared" si="2"/>
        <v>4.666666666666667</v>
      </c>
    </row>
    <row r="71" spans="2:5">
      <c r="B71" s="55">
        <v>38231</v>
      </c>
      <c r="C71" s="121">
        <f t="shared" si="1"/>
        <v>1.1349052553601684</v>
      </c>
      <c r="D71" s="73">
        <f t="shared" si="3"/>
        <v>57</v>
      </c>
      <c r="E71" s="75">
        <f t="shared" si="2"/>
        <v>4.75</v>
      </c>
    </row>
    <row r="72" spans="2:5">
      <c r="B72" s="55">
        <v>38261</v>
      </c>
      <c r="C72" s="121">
        <f t="shared" si="1"/>
        <v>1.137427726757241</v>
      </c>
      <c r="D72" s="73">
        <f t="shared" si="3"/>
        <v>58</v>
      </c>
      <c r="E72" s="75">
        <f t="shared" si="2"/>
        <v>4.833333333333333</v>
      </c>
    </row>
    <row r="73" spans="2:5">
      <c r="B73" s="55">
        <v>38292</v>
      </c>
      <c r="C73" s="121">
        <f t="shared" ref="C73:C136" si="4">(1+$C$4)^E73</f>
        <v>1.1399558046680904</v>
      </c>
      <c r="D73" s="73">
        <f t="shared" si="3"/>
        <v>59</v>
      </c>
      <c r="E73" s="75">
        <f t="shared" si="2"/>
        <v>4.916666666666667</v>
      </c>
    </row>
    <row r="74" spans="2:5">
      <c r="B74" s="55">
        <v>38322</v>
      </c>
      <c r="C74" s="121">
        <f t="shared" si="4"/>
        <v>1.1424895015539065</v>
      </c>
      <c r="D74" s="73">
        <f t="shared" ref="D74:D137" si="5">D73+1</f>
        <v>60</v>
      </c>
      <c r="E74" s="75">
        <f t="shared" ref="E74:E137" si="6">D74/12</f>
        <v>5</v>
      </c>
    </row>
    <row r="75" spans="2:5">
      <c r="B75" s="55">
        <v>38353</v>
      </c>
      <c r="C75" s="121">
        <f t="shared" si="4"/>
        <v>1.1450288299035767</v>
      </c>
      <c r="D75" s="73">
        <f t="shared" si="5"/>
        <v>61</v>
      </c>
      <c r="E75" s="75">
        <f t="shared" si="6"/>
        <v>5.083333333333333</v>
      </c>
    </row>
    <row r="76" spans="2:5">
      <c r="B76" s="55">
        <v>38384</v>
      </c>
      <c r="C76" s="121">
        <f t="shared" si="4"/>
        <v>1.1475738022337463</v>
      </c>
      <c r="D76" s="73">
        <f t="shared" si="5"/>
        <v>62</v>
      </c>
      <c r="E76" s="75">
        <f t="shared" si="6"/>
        <v>5.166666666666667</v>
      </c>
    </row>
    <row r="77" spans="2:5">
      <c r="B77" s="55">
        <v>38412</v>
      </c>
      <c r="C77" s="121">
        <f t="shared" si="4"/>
        <v>1.1501244310888801</v>
      </c>
      <c r="D77" s="73">
        <f t="shared" si="5"/>
        <v>63</v>
      </c>
      <c r="E77" s="75">
        <f t="shared" si="6"/>
        <v>5.25</v>
      </c>
    </row>
    <row r="78" spans="2:5">
      <c r="B78" s="55">
        <v>38443</v>
      </c>
      <c r="C78" s="121">
        <f t="shared" si="4"/>
        <v>1.1526807290413252</v>
      </c>
      <c r="D78" s="73">
        <f t="shared" si="5"/>
        <v>64</v>
      </c>
      <c r="E78" s="75">
        <f t="shared" si="6"/>
        <v>5.333333333333333</v>
      </c>
    </row>
    <row r="79" spans="2:5">
      <c r="B79" s="55">
        <v>38473</v>
      </c>
      <c r="C79" s="121">
        <f t="shared" si="4"/>
        <v>1.1552427086913719</v>
      </c>
      <c r="D79" s="73">
        <f t="shared" si="5"/>
        <v>65</v>
      </c>
      <c r="E79" s="75">
        <f t="shared" si="6"/>
        <v>5.416666666666667</v>
      </c>
    </row>
    <row r="80" spans="2:5">
      <c r="B80" s="55">
        <v>38504</v>
      </c>
      <c r="C80" s="121">
        <f t="shared" si="4"/>
        <v>1.1578103826673165</v>
      </c>
      <c r="D80" s="73">
        <f t="shared" si="5"/>
        <v>66</v>
      </c>
      <c r="E80" s="75">
        <f t="shared" si="6"/>
        <v>5.5</v>
      </c>
    </row>
    <row r="81" spans="2:5">
      <c r="B81" s="55">
        <v>38534</v>
      </c>
      <c r="C81" s="121">
        <f t="shared" si="4"/>
        <v>1.160383763625523</v>
      </c>
      <c r="D81" s="73">
        <f t="shared" si="5"/>
        <v>67</v>
      </c>
      <c r="E81" s="75">
        <f t="shared" si="6"/>
        <v>5.583333333333333</v>
      </c>
    </row>
    <row r="82" spans="2:5">
      <c r="B82" s="55">
        <v>38565</v>
      </c>
      <c r="C82" s="121">
        <f t="shared" si="4"/>
        <v>1.1629628642504859</v>
      </c>
      <c r="D82" s="73">
        <f t="shared" si="5"/>
        <v>68</v>
      </c>
      <c r="E82" s="75">
        <f t="shared" si="6"/>
        <v>5.666666666666667</v>
      </c>
    </row>
    <row r="83" spans="2:5">
      <c r="B83" s="55">
        <v>38596</v>
      </c>
      <c r="C83" s="121">
        <f t="shared" si="4"/>
        <v>1.1655476972548928</v>
      </c>
      <c r="D83" s="73">
        <f t="shared" si="5"/>
        <v>69</v>
      </c>
      <c r="E83" s="75">
        <f t="shared" si="6"/>
        <v>5.75</v>
      </c>
    </row>
    <row r="84" spans="2:5">
      <c r="B84" s="55">
        <v>38626</v>
      </c>
      <c r="C84" s="121">
        <f t="shared" si="4"/>
        <v>1.1681382753796865</v>
      </c>
      <c r="D84" s="73">
        <f t="shared" si="5"/>
        <v>70</v>
      </c>
      <c r="E84" s="75">
        <f t="shared" si="6"/>
        <v>5.833333333333333</v>
      </c>
    </row>
    <row r="85" spans="2:5">
      <c r="B85" s="55">
        <v>38657</v>
      </c>
      <c r="C85" s="121">
        <f t="shared" si="4"/>
        <v>1.1707346113941288</v>
      </c>
      <c r="D85" s="73">
        <f t="shared" si="5"/>
        <v>71</v>
      </c>
      <c r="E85" s="75">
        <f t="shared" si="6"/>
        <v>5.916666666666667</v>
      </c>
    </row>
    <row r="86" spans="2:5">
      <c r="B86" s="55">
        <v>38687</v>
      </c>
      <c r="C86" s="121">
        <f t="shared" si="4"/>
        <v>1.1733367180958618</v>
      </c>
      <c r="D86" s="73">
        <f t="shared" si="5"/>
        <v>72</v>
      </c>
      <c r="E86" s="75">
        <f t="shared" si="6"/>
        <v>6</v>
      </c>
    </row>
    <row r="87" spans="2:5">
      <c r="B87" s="55">
        <v>38718</v>
      </c>
      <c r="C87" s="121">
        <f t="shared" si="4"/>
        <v>1.175944608310973</v>
      </c>
      <c r="D87" s="73">
        <f t="shared" si="5"/>
        <v>73</v>
      </c>
      <c r="E87" s="75">
        <f t="shared" si="6"/>
        <v>6.083333333333333</v>
      </c>
    </row>
    <row r="88" spans="2:5">
      <c r="B88" s="55">
        <v>38749</v>
      </c>
      <c r="C88" s="121">
        <f t="shared" si="4"/>
        <v>1.1785582948940572</v>
      </c>
      <c r="D88" s="73">
        <f t="shared" si="5"/>
        <v>74</v>
      </c>
      <c r="E88" s="75">
        <f t="shared" si="6"/>
        <v>6.166666666666667</v>
      </c>
    </row>
    <row r="89" spans="2:5">
      <c r="B89" s="55">
        <v>38777</v>
      </c>
      <c r="C89" s="121">
        <f t="shared" si="4"/>
        <v>1.1811777907282799</v>
      </c>
      <c r="D89" s="73">
        <f t="shared" si="5"/>
        <v>75</v>
      </c>
      <c r="E89" s="75">
        <f t="shared" si="6"/>
        <v>6.25</v>
      </c>
    </row>
    <row r="90" spans="2:5">
      <c r="B90" s="55">
        <v>38808</v>
      </c>
      <c r="C90" s="121">
        <f t="shared" si="4"/>
        <v>1.1838031087254408</v>
      </c>
      <c r="D90" s="73">
        <f t="shared" si="5"/>
        <v>76</v>
      </c>
      <c r="E90" s="75">
        <f t="shared" si="6"/>
        <v>6.333333333333333</v>
      </c>
    </row>
    <row r="91" spans="2:5">
      <c r="B91" s="55">
        <v>38838</v>
      </c>
      <c r="C91" s="121">
        <f t="shared" si="4"/>
        <v>1.1864342618260388</v>
      </c>
      <c r="D91" s="73">
        <f t="shared" si="5"/>
        <v>77</v>
      </c>
      <c r="E91" s="75">
        <f t="shared" si="6"/>
        <v>6.416666666666667</v>
      </c>
    </row>
    <row r="92" spans="2:5">
      <c r="B92" s="55">
        <v>38869</v>
      </c>
      <c r="C92" s="121">
        <f t="shared" si="4"/>
        <v>1.1890712629993339</v>
      </c>
      <c r="D92" s="73">
        <f t="shared" si="5"/>
        <v>78</v>
      </c>
      <c r="E92" s="75">
        <f t="shared" si="6"/>
        <v>6.5</v>
      </c>
    </row>
    <row r="93" spans="2:5">
      <c r="B93" s="55">
        <v>38899</v>
      </c>
      <c r="C93" s="121">
        <f t="shared" si="4"/>
        <v>1.191714125243412</v>
      </c>
      <c r="D93" s="73">
        <f t="shared" si="5"/>
        <v>79</v>
      </c>
      <c r="E93" s="75">
        <f t="shared" si="6"/>
        <v>6.583333333333333</v>
      </c>
    </row>
    <row r="94" spans="2:5">
      <c r="B94" s="55">
        <v>38930</v>
      </c>
      <c r="C94" s="121">
        <f t="shared" si="4"/>
        <v>1.1943628615852488</v>
      </c>
      <c r="D94" s="73">
        <f t="shared" si="5"/>
        <v>80</v>
      </c>
      <c r="E94" s="75">
        <f t="shared" si="6"/>
        <v>6.666666666666667</v>
      </c>
    </row>
    <row r="95" spans="2:5">
      <c r="B95" s="55">
        <v>38961</v>
      </c>
      <c r="C95" s="121">
        <f t="shared" si="4"/>
        <v>1.1970174850807747</v>
      </c>
      <c r="D95" s="73">
        <f t="shared" si="5"/>
        <v>81</v>
      </c>
      <c r="E95" s="75">
        <f t="shared" si="6"/>
        <v>6.75</v>
      </c>
    </row>
    <row r="96" spans="2:5">
      <c r="B96" s="55">
        <v>38991</v>
      </c>
      <c r="C96" s="121">
        <f t="shared" si="4"/>
        <v>1.1996780088149379</v>
      </c>
      <c r="D96" s="73">
        <f t="shared" si="5"/>
        <v>82</v>
      </c>
      <c r="E96" s="75">
        <f t="shared" si="6"/>
        <v>6.833333333333333</v>
      </c>
    </row>
    <row r="97" spans="2:5">
      <c r="B97" s="55">
        <v>39022</v>
      </c>
      <c r="C97" s="121">
        <f t="shared" si="4"/>
        <v>1.20234444590177</v>
      </c>
      <c r="D97" s="73">
        <f t="shared" si="5"/>
        <v>83</v>
      </c>
      <c r="E97" s="75">
        <f t="shared" si="6"/>
        <v>6.916666666666667</v>
      </c>
    </row>
    <row r="98" spans="2:5">
      <c r="B98" s="55">
        <v>39052</v>
      </c>
      <c r="C98" s="121">
        <f t="shared" si="4"/>
        <v>1.20501680948445</v>
      </c>
      <c r="D98" s="73">
        <f t="shared" si="5"/>
        <v>84</v>
      </c>
      <c r="E98" s="75">
        <f t="shared" si="6"/>
        <v>7</v>
      </c>
    </row>
    <row r="99" spans="2:5">
      <c r="B99" s="55">
        <v>39083</v>
      </c>
      <c r="C99" s="121">
        <f t="shared" si="4"/>
        <v>1.2076951127353694</v>
      </c>
      <c r="D99" s="73">
        <f t="shared" si="5"/>
        <v>85</v>
      </c>
      <c r="E99" s="75">
        <f t="shared" si="6"/>
        <v>7.083333333333333</v>
      </c>
    </row>
    <row r="100" spans="2:5">
      <c r="B100" s="55">
        <v>39114</v>
      </c>
      <c r="C100" s="121">
        <f t="shared" si="4"/>
        <v>1.2103793688561968</v>
      </c>
      <c r="D100" s="73">
        <f t="shared" si="5"/>
        <v>86</v>
      </c>
      <c r="E100" s="75">
        <f t="shared" si="6"/>
        <v>7.166666666666667</v>
      </c>
    </row>
    <row r="101" spans="2:5">
      <c r="B101" s="55">
        <v>39142</v>
      </c>
      <c r="C101" s="121">
        <f t="shared" si="4"/>
        <v>1.2130695910779432</v>
      </c>
      <c r="D101" s="73">
        <f t="shared" si="5"/>
        <v>87</v>
      </c>
      <c r="E101" s="75">
        <f t="shared" si="6"/>
        <v>7.25</v>
      </c>
    </row>
    <row r="102" spans="2:5">
      <c r="B102" s="55">
        <v>39173</v>
      </c>
      <c r="C102" s="121">
        <f t="shared" si="4"/>
        <v>1.2157657926610277</v>
      </c>
      <c r="D102" s="73">
        <f t="shared" si="5"/>
        <v>88</v>
      </c>
      <c r="E102" s="75">
        <f t="shared" si="6"/>
        <v>7.333333333333333</v>
      </c>
    </row>
    <row r="103" spans="2:5">
      <c r="B103" s="55">
        <v>39203</v>
      </c>
      <c r="C103" s="121">
        <f t="shared" si="4"/>
        <v>1.2184679868953419</v>
      </c>
      <c r="D103" s="73">
        <f t="shared" si="5"/>
        <v>89</v>
      </c>
      <c r="E103" s="75">
        <f t="shared" si="6"/>
        <v>7.416666666666667</v>
      </c>
    </row>
    <row r="104" spans="2:5">
      <c r="B104" s="55">
        <v>39234</v>
      </c>
      <c r="C104" s="121">
        <f t="shared" si="4"/>
        <v>1.2211761871003157</v>
      </c>
      <c r="D104" s="73">
        <f t="shared" si="5"/>
        <v>90</v>
      </c>
      <c r="E104" s="75">
        <f t="shared" si="6"/>
        <v>7.5</v>
      </c>
    </row>
    <row r="105" spans="2:5">
      <c r="B105" s="55">
        <v>39264</v>
      </c>
      <c r="C105" s="121">
        <f t="shared" si="4"/>
        <v>1.2238904066249838</v>
      </c>
      <c r="D105" s="73">
        <f t="shared" si="5"/>
        <v>91</v>
      </c>
      <c r="E105" s="75">
        <f t="shared" si="6"/>
        <v>7.583333333333333</v>
      </c>
    </row>
    <row r="106" spans="2:5">
      <c r="B106" s="55">
        <v>39295</v>
      </c>
      <c r="C106" s="121">
        <f t="shared" si="4"/>
        <v>1.2266106588480505</v>
      </c>
      <c r="D106" s="73">
        <f t="shared" si="5"/>
        <v>92</v>
      </c>
      <c r="E106" s="75">
        <f t="shared" si="6"/>
        <v>7.666666666666667</v>
      </c>
    </row>
    <row r="107" spans="2:5">
      <c r="B107" s="55">
        <v>39326</v>
      </c>
      <c r="C107" s="121">
        <f t="shared" si="4"/>
        <v>1.2293369571779555</v>
      </c>
      <c r="D107" s="73">
        <f t="shared" si="5"/>
        <v>93</v>
      </c>
      <c r="E107" s="75">
        <f t="shared" si="6"/>
        <v>7.75</v>
      </c>
    </row>
    <row r="108" spans="2:5">
      <c r="B108" s="55">
        <v>39356</v>
      </c>
      <c r="C108" s="121">
        <f t="shared" si="4"/>
        <v>1.2320693150529411</v>
      </c>
      <c r="D108" s="73">
        <f t="shared" si="5"/>
        <v>94</v>
      </c>
      <c r="E108" s="75">
        <f t="shared" si="6"/>
        <v>7.833333333333333</v>
      </c>
    </row>
    <row r="109" spans="2:5">
      <c r="B109" s="55">
        <v>39387</v>
      </c>
      <c r="C109" s="121">
        <f t="shared" si="4"/>
        <v>1.2348077459411178</v>
      </c>
      <c r="D109" s="73">
        <f t="shared" si="5"/>
        <v>95</v>
      </c>
      <c r="E109" s="75">
        <f t="shared" si="6"/>
        <v>7.916666666666667</v>
      </c>
    </row>
    <row r="110" spans="2:5">
      <c r="B110" s="55">
        <v>39417</v>
      </c>
      <c r="C110" s="121">
        <f t="shared" si="4"/>
        <v>1.23755226334053</v>
      </c>
      <c r="D110" s="73">
        <f t="shared" si="5"/>
        <v>96</v>
      </c>
      <c r="E110" s="75">
        <f t="shared" si="6"/>
        <v>8</v>
      </c>
    </row>
    <row r="111" spans="2:5">
      <c r="B111" s="55">
        <v>39448</v>
      </c>
      <c r="C111" s="121">
        <f t="shared" si="4"/>
        <v>1.2403028807792242</v>
      </c>
      <c r="D111" s="73">
        <f t="shared" si="5"/>
        <v>97</v>
      </c>
      <c r="E111" s="75">
        <f t="shared" si="6"/>
        <v>8.0833333333333339</v>
      </c>
    </row>
    <row r="112" spans="2:5">
      <c r="B112" s="55">
        <v>39479</v>
      </c>
      <c r="C112" s="121">
        <f t="shared" si="4"/>
        <v>1.2430596118153139</v>
      </c>
      <c r="D112" s="73">
        <f t="shared" si="5"/>
        <v>98</v>
      </c>
      <c r="E112" s="75">
        <f t="shared" si="6"/>
        <v>8.1666666666666661</v>
      </c>
    </row>
    <row r="113" spans="2:5">
      <c r="B113" s="55">
        <v>39508</v>
      </c>
      <c r="C113" s="121">
        <f t="shared" si="4"/>
        <v>1.2458224700370475</v>
      </c>
      <c r="D113" s="73">
        <f t="shared" si="5"/>
        <v>99</v>
      </c>
      <c r="E113" s="75">
        <f t="shared" si="6"/>
        <v>8.25</v>
      </c>
    </row>
    <row r="114" spans="2:5">
      <c r="B114" s="55">
        <v>39539</v>
      </c>
      <c r="C114" s="121">
        <f t="shared" si="4"/>
        <v>1.2485914690628754</v>
      </c>
      <c r="D114" s="73">
        <f t="shared" si="5"/>
        <v>100</v>
      </c>
      <c r="E114" s="75">
        <f t="shared" si="6"/>
        <v>8.3333333333333339</v>
      </c>
    </row>
    <row r="115" spans="2:5">
      <c r="B115" s="55">
        <v>39569</v>
      </c>
      <c r="C115" s="121">
        <f t="shared" si="4"/>
        <v>1.2513666225415159</v>
      </c>
      <c r="D115" s="73">
        <f t="shared" si="5"/>
        <v>101</v>
      </c>
      <c r="E115" s="75">
        <f t="shared" si="6"/>
        <v>8.4166666666666661</v>
      </c>
    </row>
    <row r="116" spans="2:5">
      <c r="B116" s="55">
        <v>39600</v>
      </c>
      <c r="C116" s="121">
        <f t="shared" si="4"/>
        <v>1.2541479441520242</v>
      </c>
      <c r="D116" s="73">
        <f t="shared" si="5"/>
        <v>102</v>
      </c>
      <c r="E116" s="75">
        <f t="shared" si="6"/>
        <v>8.5</v>
      </c>
    </row>
    <row r="117" spans="2:5">
      <c r="B117" s="55">
        <v>39630</v>
      </c>
      <c r="C117" s="121">
        <f t="shared" si="4"/>
        <v>1.2569354476038583</v>
      </c>
      <c r="D117" s="73">
        <f t="shared" si="5"/>
        <v>103</v>
      </c>
      <c r="E117" s="75">
        <f t="shared" si="6"/>
        <v>8.5833333333333339</v>
      </c>
    </row>
    <row r="118" spans="2:5">
      <c r="B118" s="55">
        <v>39661</v>
      </c>
      <c r="C118" s="121">
        <f t="shared" si="4"/>
        <v>1.2597291466369478</v>
      </c>
      <c r="D118" s="73">
        <f t="shared" si="5"/>
        <v>104</v>
      </c>
      <c r="E118" s="75">
        <f t="shared" si="6"/>
        <v>8.6666666666666661</v>
      </c>
    </row>
    <row r="119" spans="2:5">
      <c r="B119" s="55">
        <v>39692</v>
      </c>
      <c r="C119" s="121">
        <f t="shared" si="4"/>
        <v>1.2625290550217603</v>
      </c>
      <c r="D119" s="73">
        <f t="shared" si="5"/>
        <v>105</v>
      </c>
      <c r="E119" s="75">
        <f t="shared" si="6"/>
        <v>8.75</v>
      </c>
    </row>
    <row r="120" spans="2:5">
      <c r="B120" s="55">
        <v>39722</v>
      </c>
      <c r="C120" s="121">
        <f t="shared" si="4"/>
        <v>1.2653351865593705</v>
      </c>
      <c r="D120" s="73">
        <f t="shared" si="5"/>
        <v>106</v>
      </c>
      <c r="E120" s="75">
        <f t="shared" si="6"/>
        <v>8.8333333333333339</v>
      </c>
    </row>
    <row r="121" spans="2:5">
      <c r="B121" s="55">
        <v>39753</v>
      </c>
      <c r="C121" s="121">
        <f t="shared" si="4"/>
        <v>1.2681475550815278</v>
      </c>
      <c r="D121" s="73">
        <f t="shared" si="5"/>
        <v>107</v>
      </c>
      <c r="E121" s="75">
        <f t="shared" si="6"/>
        <v>8.9166666666666661</v>
      </c>
    </row>
    <row r="122" spans="2:5">
      <c r="B122" s="55">
        <v>39783</v>
      </c>
      <c r="C122" s="121">
        <f t="shared" si="4"/>
        <v>1.2709661744507241</v>
      </c>
      <c r="D122" s="73">
        <f t="shared" si="5"/>
        <v>108</v>
      </c>
      <c r="E122" s="75">
        <f t="shared" si="6"/>
        <v>9</v>
      </c>
    </row>
    <row r="123" spans="2:5">
      <c r="B123" s="55">
        <v>39814</v>
      </c>
      <c r="C123" s="121">
        <f t="shared" si="4"/>
        <v>1.2737910585602632</v>
      </c>
      <c r="D123" s="73">
        <f t="shared" si="5"/>
        <v>109</v>
      </c>
      <c r="E123" s="75">
        <f t="shared" si="6"/>
        <v>9.0833333333333339</v>
      </c>
    </row>
    <row r="124" spans="2:5">
      <c r="B124" s="55">
        <v>39845</v>
      </c>
      <c r="C124" s="121">
        <f t="shared" si="4"/>
        <v>1.2766222213343272</v>
      </c>
      <c r="D124" s="73">
        <f t="shared" si="5"/>
        <v>110</v>
      </c>
      <c r="E124" s="75">
        <f t="shared" si="6"/>
        <v>9.1666666666666661</v>
      </c>
    </row>
    <row r="125" spans="2:5">
      <c r="B125" s="55">
        <v>39873</v>
      </c>
      <c r="C125" s="121">
        <f t="shared" si="4"/>
        <v>1.2794596767280477</v>
      </c>
      <c r="D125" s="73">
        <f t="shared" si="5"/>
        <v>111</v>
      </c>
      <c r="E125" s="75">
        <f t="shared" si="6"/>
        <v>9.25</v>
      </c>
    </row>
    <row r="126" spans="2:5">
      <c r="B126" s="55">
        <v>39904</v>
      </c>
      <c r="C126" s="121">
        <f t="shared" si="4"/>
        <v>1.2823034387275729</v>
      </c>
      <c r="D126" s="73">
        <f t="shared" si="5"/>
        <v>112</v>
      </c>
      <c r="E126" s="75">
        <f t="shared" si="6"/>
        <v>9.3333333333333339</v>
      </c>
    </row>
    <row r="127" spans="2:5">
      <c r="B127" s="55">
        <v>39934</v>
      </c>
      <c r="C127" s="121">
        <f t="shared" si="4"/>
        <v>1.2851535213501368</v>
      </c>
      <c r="D127" s="73">
        <f t="shared" si="5"/>
        <v>113</v>
      </c>
      <c r="E127" s="75">
        <f t="shared" si="6"/>
        <v>9.4166666666666661</v>
      </c>
    </row>
    <row r="128" spans="2:5">
      <c r="B128" s="55">
        <v>39965</v>
      </c>
      <c r="C128" s="121">
        <f t="shared" si="4"/>
        <v>1.2880099386441288</v>
      </c>
      <c r="D128" s="73">
        <f t="shared" si="5"/>
        <v>114</v>
      </c>
      <c r="E128" s="75">
        <f t="shared" si="6"/>
        <v>9.5</v>
      </c>
    </row>
    <row r="129" spans="2:5">
      <c r="B129" s="55">
        <v>39995</v>
      </c>
      <c r="C129" s="121">
        <f t="shared" si="4"/>
        <v>1.2908727046891624</v>
      </c>
      <c r="D129" s="73">
        <f t="shared" si="5"/>
        <v>115</v>
      </c>
      <c r="E129" s="75">
        <f t="shared" si="6"/>
        <v>9.5833333333333339</v>
      </c>
    </row>
    <row r="130" spans="2:5">
      <c r="B130" s="55">
        <v>40026</v>
      </c>
      <c r="C130" s="121">
        <f t="shared" si="4"/>
        <v>1.2937418335961453</v>
      </c>
      <c r="D130" s="73">
        <f t="shared" si="5"/>
        <v>116</v>
      </c>
      <c r="E130" s="75">
        <f t="shared" si="6"/>
        <v>9.6666666666666661</v>
      </c>
    </row>
    <row r="131" spans="2:5">
      <c r="B131" s="55">
        <v>40057</v>
      </c>
      <c r="C131" s="121">
        <f t="shared" si="4"/>
        <v>1.2966173395073477</v>
      </c>
      <c r="D131" s="73">
        <f t="shared" si="5"/>
        <v>117</v>
      </c>
      <c r="E131" s="75">
        <f t="shared" si="6"/>
        <v>9.75</v>
      </c>
    </row>
    <row r="132" spans="2:5">
      <c r="B132" s="55">
        <v>40087</v>
      </c>
      <c r="C132" s="121">
        <f t="shared" si="4"/>
        <v>1.2994992365964735</v>
      </c>
      <c r="D132" s="73">
        <f t="shared" si="5"/>
        <v>118</v>
      </c>
      <c r="E132" s="75">
        <f t="shared" si="6"/>
        <v>9.8333333333333339</v>
      </c>
    </row>
    <row r="133" spans="2:5">
      <c r="B133" s="55">
        <v>40118</v>
      </c>
      <c r="C133" s="121">
        <f t="shared" si="4"/>
        <v>1.3023875390687289</v>
      </c>
      <c r="D133" s="73">
        <f t="shared" si="5"/>
        <v>119</v>
      </c>
      <c r="E133" s="75">
        <f t="shared" si="6"/>
        <v>9.9166666666666661</v>
      </c>
    </row>
    <row r="134" spans="2:5">
      <c r="B134" s="55">
        <v>40148</v>
      </c>
      <c r="C134" s="121">
        <f t="shared" si="4"/>
        <v>1.3052822611608936</v>
      </c>
      <c r="D134" s="73">
        <f t="shared" si="5"/>
        <v>120</v>
      </c>
      <c r="E134" s="75">
        <f t="shared" si="6"/>
        <v>10</v>
      </c>
    </row>
    <row r="135" spans="2:5">
      <c r="B135" s="55">
        <v>40179</v>
      </c>
      <c r="C135" s="121">
        <f t="shared" si="4"/>
        <v>1.3081834171413902</v>
      </c>
      <c r="D135" s="73">
        <f t="shared" si="5"/>
        <v>121</v>
      </c>
      <c r="E135" s="75">
        <f t="shared" si="6"/>
        <v>10.083333333333334</v>
      </c>
    </row>
    <row r="136" spans="2:5">
      <c r="B136" s="55">
        <v>40210</v>
      </c>
      <c r="C136" s="121">
        <f t="shared" si="4"/>
        <v>1.3110910213103539</v>
      </c>
      <c r="D136" s="73">
        <f t="shared" si="5"/>
        <v>122</v>
      </c>
      <c r="E136" s="75">
        <f t="shared" si="6"/>
        <v>10.166666666666666</v>
      </c>
    </row>
    <row r="137" spans="2:5">
      <c r="B137" s="55">
        <v>40238</v>
      </c>
      <c r="C137" s="121">
        <f t="shared" ref="C137:C200" si="7">(1+$C$4)^E137</f>
        <v>1.3140050879997049</v>
      </c>
      <c r="D137" s="73">
        <f t="shared" si="5"/>
        <v>123</v>
      </c>
      <c r="E137" s="75">
        <f t="shared" si="6"/>
        <v>10.25</v>
      </c>
    </row>
    <row r="138" spans="2:5">
      <c r="B138" s="55">
        <v>40269</v>
      </c>
      <c r="C138" s="121">
        <f t="shared" si="7"/>
        <v>1.3169256315732172</v>
      </c>
      <c r="D138" s="73">
        <f t="shared" ref="D138:D201" si="8">D137+1</f>
        <v>124</v>
      </c>
      <c r="E138" s="75">
        <f t="shared" ref="E138:E201" si="9">D138/12</f>
        <v>10.333333333333334</v>
      </c>
    </row>
    <row r="139" spans="2:5">
      <c r="B139" s="55">
        <v>40299</v>
      </c>
      <c r="C139" s="121">
        <f t="shared" si="7"/>
        <v>1.3198526664265904</v>
      </c>
      <c r="D139" s="73">
        <f t="shared" si="8"/>
        <v>125</v>
      </c>
      <c r="E139" s="75">
        <f t="shared" si="9"/>
        <v>10.416666666666666</v>
      </c>
    </row>
    <row r="140" spans="2:5">
      <c r="B140" s="55">
        <v>40330</v>
      </c>
      <c r="C140" s="121">
        <f t="shared" si="7"/>
        <v>1.3227862069875203</v>
      </c>
      <c r="D140" s="73">
        <f t="shared" si="8"/>
        <v>126</v>
      </c>
      <c r="E140" s="75">
        <f t="shared" si="9"/>
        <v>10.5</v>
      </c>
    </row>
    <row r="141" spans="2:5">
      <c r="B141" s="55">
        <v>40360</v>
      </c>
      <c r="C141" s="121">
        <f t="shared" si="7"/>
        <v>1.3257262677157697</v>
      </c>
      <c r="D141" s="73">
        <f t="shared" si="8"/>
        <v>127</v>
      </c>
      <c r="E141" s="75">
        <f t="shared" si="9"/>
        <v>10.583333333333334</v>
      </c>
    </row>
    <row r="142" spans="2:5">
      <c r="B142" s="55">
        <v>40391</v>
      </c>
      <c r="C142" s="121">
        <f t="shared" si="7"/>
        <v>1.328672863103241</v>
      </c>
      <c r="D142" s="73">
        <f t="shared" si="8"/>
        <v>128</v>
      </c>
      <c r="E142" s="75">
        <f t="shared" si="9"/>
        <v>10.666666666666666</v>
      </c>
    </row>
    <row r="143" spans="2:5">
      <c r="B143" s="55">
        <v>40422</v>
      </c>
      <c r="C143" s="121">
        <f t="shared" si="7"/>
        <v>1.3316260076740458</v>
      </c>
      <c r="D143" s="73">
        <f t="shared" si="8"/>
        <v>129</v>
      </c>
      <c r="E143" s="75">
        <f t="shared" si="9"/>
        <v>10.75</v>
      </c>
    </row>
    <row r="144" spans="2:5">
      <c r="B144" s="55">
        <v>40452</v>
      </c>
      <c r="C144" s="121">
        <f t="shared" si="7"/>
        <v>1.334585715984578</v>
      </c>
      <c r="D144" s="73">
        <f t="shared" si="8"/>
        <v>130</v>
      </c>
      <c r="E144" s="75">
        <f t="shared" si="9"/>
        <v>10.833333333333334</v>
      </c>
    </row>
    <row r="145" spans="2:5">
      <c r="B145" s="55">
        <v>40483</v>
      </c>
      <c r="C145" s="121">
        <f t="shared" si="7"/>
        <v>1.3375520026235845</v>
      </c>
      <c r="D145" s="73">
        <f t="shared" si="8"/>
        <v>131</v>
      </c>
      <c r="E145" s="75">
        <f t="shared" si="9"/>
        <v>10.916666666666666</v>
      </c>
    </row>
    <row r="146" spans="2:5">
      <c r="B146" s="55">
        <v>40513</v>
      </c>
      <c r="C146" s="121">
        <f t="shared" si="7"/>
        <v>1.3405248822122378</v>
      </c>
      <c r="D146" s="73">
        <f t="shared" si="8"/>
        <v>132</v>
      </c>
      <c r="E146" s="75">
        <f t="shared" si="9"/>
        <v>11</v>
      </c>
    </row>
    <row r="147" spans="2:5">
      <c r="B147" s="55">
        <v>40544</v>
      </c>
      <c r="C147" s="121">
        <f t="shared" si="7"/>
        <v>1.3435043694042075</v>
      </c>
      <c r="D147" s="73">
        <f t="shared" si="8"/>
        <v>133</v>
      </c>
      <c r="E147" s="75">
        <f t="shared" si="9"/>
        <v>11.083333333333334</v>
      </c>
    </row>
    <row r="148" spans="2:5">
      <c r="B148" s="55">
        <v>40575</v>
      </c>
      <c r="C148" s="121">
        <f t="shared" si="7"/>
        <v>1.3464904788857333</v>
      </c>
      <c r="D148" s="73">
        <f t="shared" si="8"/>
        <v>134</v>
      </c>
      <c r="E148" s="75">
        <f t="shared" si="9"/>
        <v>11.166666666666666</v>
      </c>
    </row>
    <row r="149" spans="2:5">
      <c r="B149" s="55">
        <v>40603</v>
      </c>
      <c r="C149" s="121">
        <f t="shared" si="7"/>
        <v>1.3494832253756968</v>
      </c>
      <c r="D149" s="73">
        <f t="shared" si="8"/>
        <v>135</v>
      </c>
      <c r="E149" s="75">
        <f t="shared" si="9"/>
        <v>11.25</v>
      </c>
    </row>
    <row r="150" spans="2:5">
      <c r="B150" s="55">
        <v>40634</v>
      </c>
      <c r="C150" s="121">
        <f t="shared" si="7"/>
        <v>1.3524826236256939</v>
      </c>
      <c r="D150" s="73">
        <f t="shared" si="8"/>
        <v>136</v>
      </c>
      <c r="E150" s="75">
        <f t="shared" si="9"/>
        <v>11.333333333333334</v>
      </c>
    </row>
    <row r="151" spans="2:5">
      <c r="B151" s="55">
        <v>40664</v>
      </c>
      <c r="C151" s="121">
        <f t="shared" si="7"/>
        <v>1.3554886884201081</v>
      </c>
      <c r="D151" s="73">
        <f t="shared" si="8"/>
        <v>137</v>
      </c>
      <c r="E151" s="75">
        <f t="shared" si="9"/>
        <v>11.416666666666666</v>
      </c>
    </row>
    <row r="152" spans="2:5">
      <c r="B152" s="55">
        <v>40695</v>
      </c>
      <c r="C152" s="121">
        <f t="shared" si="7"/>
        <v>1.358501434576183</v>
      </c>
      <c r="D152" s="73">
        <f t="shared" si="8"/>
        <v>138</v>
      </c>
      <c r="E152" s="75">
        <f t="shared" si="9"/>
        <v>11.5</v>
      </c>
    </row>
    <row r="153" spans="2:5">
      <c r="B153" s="55">
        <v>40725</v>
      </c>
      <c r="C153" s="121">
        <f t="shared" si="7"/>
        <v>1.3615208769440954</v>
      </c>
      <c r="D153" s="73">
        <f t="shared" si="8"/>
        <v>139</v>
      </c>
      <c r="E153" s="75">
        <f t="shared" si="9"/>
        <v>11.583333333333334</v>
      </c>
    </row>
    <row r="154" spans="2:5">
      <c r="B154" s="55">
        <v>40756</v>
      </c>
      <c r="C154" s="121">
        <f t="shared" si="7"/>
        <v>1.3645470304070284</v>
      </c>
      <c r="D154" s="73">
        <f t="shared" si="8"/>
        <v>140</v>
      </c>
      <c r="E154" s="75">
        <f t="shared" si="9"/>
        <v>11.666666666666666</v>
      </c>
    </row>
    <row r="155" spans="2:5">
      <c r="B155" s="55">
        <v>40787</v>
      </c>
      <c r="C155" s="121">
        <f t="shared" si="7"/>
        <v>1.3675799098812451</v>
      </c>
      <c r="D155" s="73">
        <f t="shared" si="8"/>
        <v>141</v>
      </c>
      <c r="E155" s="75">
        <f t="shared" si="9"/>
        <v>11.75</v>
      </c>
    </row>
    <row r="156" spans="2:5">
      <c r="B156" s="55">
        <v>40817</v>
      </c>
      <c r="C156" s="121">
        <f t="shared" si="7"/>
        <v>1.3706195303161615</v>
      </c>
      <c r="D156" s="73">
        <f t="shared" si="8"/>
        <v>142</v>
      </c>
      <c r="E156" s="75">
        <f t="shared" si="9"/>
        <v>11.833333333333334</v>
      </c>
    </row>
    <row r="157" spans="2:5">
      <c r="B157" s="55">
        <v>40848</v>
      </c>
      <c r="C157" s="121">
        <f t="shared" si="7"/>
        <v>1.3736659066944212</v>
      </c>
      <c r="D157" s="73">
        <f t="shared" si="8"/>
        <v>143</v>
      </c>
      <c r="E157" s="75">
        <f t="shared" si="9"/>
        <v>11.916666666666666</v>
      </c>
    </row>
    <row r="158" spans="2:5">
      <c r="B158" s="55">
        <v>40878</v>
      </c>
      <c r="C158" s="121">
        <f t="shared" si="7"/>
        <v>1.376719054031968</v>
      </c>
      <c r="D158" s="73">
        <f t="shared" si="8"/>
        <v>144</v>
      </c>
      <c r="E158" s="75">
        <f t="shared" si="9"/>
        <v>12</v>
      </c>
    </row>
    <row r="159" spans="2:5">
      <c r="B159" s="55">
        <v>40909</v>
      </c>
      <c r="C159" s="121">
        <f t="shared" si="7"/>
        <v>1.379778987378121</v>
      </c>
      <c r="D159" s="73">
        <f t="shared" si="8"/>
        <v>145</v>
      </c>
      <c r="E159" s="75">
        <f t="shared" si="9"/>
        <v>12.083333333333334</v>
      </c>
    </row>
    <row r="160" spans="2:5">
      <c r="B160" s="55">
        <v>40940</v>
      </c>
      <c r="C160" s="121">
        <f t="shared" si="7"/>
        <v>1.382845721815648</v>
      </c>
      <c r="D160" s="73">
        <f t="shared" si="8"/>
        <v>146</v>
      </c>
      <c r="E160" s="75">
        <f t="shared" si="9"/>
        <v>12.166666666666666</v>
      </c>
    </row>
    <row r="161" spans="2:5">
      <c r="B161" s="55">
        <v>40969</v>
      </c>
      <c r="C161" s="121">
        <f t="shared" si="7"/>
        <v>1.3859192724608405</v>
      </c>
      <c r="D161" s="73">
        <f t="shared" si="8"/>
        <v>147</v>
      </c>
      <c r="E161" s="75">
        <f t="shared" si="9"/>
        <v>12.25</v>
      </c>
    </row>
    <row r="162" spans="2:5">
      <c r="B162" s="55">
        <v>41000</v>
      </c>
      <c r="C162" s="121">
        <f t="shared" si="7"/>
        <v>1.3889996544635876</v>
      </c>
      <c r="D162" s="73">
        <f t="shared" si="8"/>
        <v>148</v>
      </c>
      <c r="E162" s="75">
        <f t="shared" si="9"/>
        <v>12.333333333333334</v>
      </c>
    </row>
    <row r="163" spans="2:5">
      <c r="B163" s="55">
        <v>41030</v>
      </c>
      <c r="C163" s="121">
        <f t="shared" si="7"/>
        <v>1.3920868830074509</v>
      </c>
      <c r="D163" s="73">
        <f t="shared" si="8"/>
        <v>149</v>
      </c>
      <c r="E163" s="75">
        <f t="shared" si="9"/>
        <v>12.416666666666666</v>
      </c>
    </row>
    <row r="164" spans="2:5">
      <c r="B164" s="55">
        <v>41061</v>
      </c>
      <c r="C164" s="121">
        <f t="shared" si="7"/>
        <v>1.39518097330974</v>
      </c>
      <c r="D164" s="73">
        <f t="shared" si="8"/>
        <v>150</v>
      </c>
      <c r="E164" s="75">
        <f t="shared" si="9"/>
        <v>12.5</v>
      </c>
    </row>
    <row r="165" spans="2:5">
      <c r="B165" s="55">
        <v>41091</v>
      </c>
      <c r="C165" s="121">
        <f t="shared" si="7"/>
        <v>1.3982819406215858</v>
      </c>
      <c r="D165" s="73">
        <f t="shared" si="8"/>
        <v>151</v>
      </c>
      <c r="E165" s="75">
        <f t="shared" si="9"/>
        <v>12.583333333333334</v>
      </c>
    </row>
    <row r="166" spans="2:5">
      <c r="B166" s="55">
        <v>41122</v>
      </c>
      <c r="C166" s="121">
        <f t="shared" si="7"/>
        <v>1.4013898002280181</v>
      </c>
      <c r="D166" s="73">
        <f t="shared" si="8"/>
        <v>152</v>
      </c>
      <c r="E166" s="75">
        <f t="shared" si="9"/>
        <v>12.666666666666666</v>
      </c>
    </row>
    <row r="167" spans="2:5">
      <c r="B167" s="55">
        <v>41153</v>
      </c>
      <c r="C167" s="121">
        <f t="shared" si="7"/>
        <v>1.4045045674480385</v>
      </c>
      <c r="D167" s="73">
        <f t="shared" si="8"/>
        <v>153</v>
      </c>
      <c r="E167" s="75">
        <f t="shared" si="9"/>
        <v>12.75</v>
      </c>
    </row>
    <row r="168" spans="2:5">
      <c r="B168" s="55">
        <v>41183</v>
      </c>
      <c r="C168" s="121">
        <f t="shared" si="7"/>
        <v>1.4076262576346978</v>
      </c>
      <c r="D168" s="73">
        <f t="shared" si="8"/>
        <v>154</v>
      </c>
      <c r="E168" s="75">
        <f t="shared" si="9"/>
        <v>12.833333333333334</v>
      </c>
    </row>
    <row r="169" spans="2:5">
      <c r="B169" s="55">
        <v>41214</v>
      </c>
      <c r="C169" s="121">
        <f t="shared" si="7"/>
        <v>1.4107548861751704</v>
      </c>
      <c r="D169" s="73">
        <f t="shared" si="8"/>
        <v>155</v>
      </c>
      <c r="E169" s="75">
        <f t="shared" si="9"/>
        <v>12.916666666666666</v>
      </c>
    </row>
    <row r="170" spans="2:5">
      <c r="B170" s="55">
        <v>41244</v>
      </c>
      <c r="C170" s="121">
        <f t="shared" si="7"/>
        <v>1.4138904684908309</v>
      </c>
      <c r="D170" s="73">
        <f t="shared" si="8"/>
        <v>156</v>
      </c>
      <c r="E170" s="75">
        <f t="shared" si="9"/>
        <v>13</v>
      </c>
    </row>
    <row r="171" spans="2:5">
      <c r="B171" s="55">
        <v>41275</v>
      </c>
      <c r="C171" s="121">
        <f t="shared" si="7"/>
        <v>1.4170330200373302</v>
      </c>
      <c r="D171" s="73">
        <f t="shared" si="8"/>
        <v>157</v>
      </c>
      <c r="E171" s="75">
        <f t="shared" si="9"/>
        <v>13.083333333333334</v>
      </c>
    </row>
    <row r="172" spans="2:5">
      <c r="B172" s="55">
        <v>41306</v>
      </c>
      <c r="C172" s="121">
        <f t="shared" si="7"/>
        <v>1.4201825563046704</v>
      </c>
      <c r="D172" s="73">
        <f t="shared" si="8"/>
        <v>158</v>
      </c>
      <c r="E172" s="75">
        <f t="shared" si="9"/>
        <v>13.166666666666666</v>
      </c>
    </row>
    <row r="173" spans="2:5">
      <c r="B173" s="55">
        <v>41334</v>
      </c>
      <c r="C173" s="121">
        <f t="shared" si="7"/>
        <v>1.4233390928172831</v>
      </c>
      <c r="D173" s="73">
        <f t="shared" si="8"/>
        <v>159</v>
      </c>
      <c r="E173" s="75">
        <f t="shared" si="9"/>
        <v>13.25</v>
      </c>
    </row>
    <row r="174" spans="2:5">
      <c r="B174" s="55">
        <v>41365</v>
      </c>
      <c r="C174" s="121">
        <f t="shared" si="7"/>
        <v>1.4265026451341043</v>
      </c>
      <c r="D174" s="73">
        <f t="shared" si="8"/>
        <v>160</v>
      </c>
      <c r="E174" s="75">
        <f t="shared" si="9"/>
        <v>13.333333333333334</v>
      </c>
    </row>
    <row r="175" spans="2:5">
      <c r="B175" s="55">
        <v>41395</v>
      </c>
      <c r="C175" s="121">
        <f t="shared" si="7"/>
        <v>1.429673228848652</v>
      </c>
      <c r="D175" s="73">
        <f t="shared" si="8"/>
        <v>161</v>
      </c>
      <c r="E175" s="75">
        <f t="shared" si="9"/>
        <v>13.416666666666666</v>
      </c>
    </row>
    <row r="176" spans="2:5">
      <c r="B176" s="55">
        <v>41426</v>
      </c>
      <c r="C176" s="121">
        <f t="shared" si="7"/>
        <v>1.4328508595891027</v>
      </c>
      <c r="D176" s="73">
        <f t="shared" si="8"/>
        <v>162</v>
      </c>
      <c r="E176" s="75">
        <f t="shared" si="9"/>
        <v>13.5</v>
      </c>
    </row>
    <row r="177" spans="2:5">
      <c r="B177" s="55">
        <v>41456</v>
      </c>
      <c r="C177" s="121">
        <f t="shared" si="7"/>
        <v>1.4360355530183686</v>
      </c>
      <c r="D177" s="73">
        <f t="shared" si="8"/>
        <v>163</v>
      </c>
      <c r="E177" s="75">
        <f t="shared" si="9"/>
        <v>13.583333333333334</v>
      </c>
    </row>
    <row r="178" spans="2:5">
      <c r="B178" s="55">
        <v>41487</v>
      </c>
      <c r="C178" s="121">
        <f t="shared" si="7"/>
        <v>1.4392273248341745</v>
      </c>
      <c r="D178" s="73">
        <f t="shared" si="8"/>
        <v>164</v>
      </c>
      <c r="E178" s="75">
        <f t="shared" si="9"/>
        <v>13.666666666666666</v>
      </c>
    </row>
    <row r="179" spans="2:5">
      <c r="B179" s="55">
        <v>41518</v>
      </c>
      <c r="C179" s="121">
        <f t="shared" si="7"/>
        <v>1.4424261907691354</v>
      </c>
      <c r="D179" s="73">
        <f t="shared" si="8"/>
        <v>165</v>
      </c>
      <c r="E179" s="75">
        <f t="shared" si="9"/>
        <v>13.75</v>
      </c>
    </row>
    <row r="180" spans="2:5">
      <c r="B180" s="55">
        <v>41548</v>
      </c>
      <c r="C180" s="121">
        <f t="shared" si="7"/>
        <v>1.4456321665908345</v>
      </c>
      <c r="D180" s="73">
        <f t="shared" si="8"/>
        <v>166</v>
      </c>
      <c r="E180" s="75">
        <f t="shared" si="9"/>
        <v>13.833333333333334</v>
      </c>
    </row>
    <row r="181" spans="2:5">
      <c r="B181" s="55">
        <v>41579</v>
      </c>
      <c r="C181" s="121">
        <f t="shared" si="7"/>
        <v>1.4488452681019</v>
      </c>
      <c r="D181" s="73">
        <f t="shared" si="8"/>
        <v>167</v>
      </c>
      <c r="E181" s="75">
        <f t="shared" si="9"/>
        <v>13.916666666666666</v>
      </c>
    </row>
    <row r="182" spans="2:5">
      <c r="B182" s="55">
        <v>41609</v>
      </c>
      <c r="C182" s="121">
        <f t="shared" si="7"/>
        <v>1.4520655111400833</v>
      </c>
      <c r="D182" s="73">
        <f t="shared" si="8"/>
        <v>168</v>
      </c>
      <c r="E182" s="75">
        <f t="shared" si="9"/>
        <v>14</v>
      </c>
    </row>
    <row r="183" spans="2:5">
      <c r="B183" s="55">
        <v>41640</v>
      </c>
      <c r="C183" s="121">
        <f t="shared" si="7"/>
        <v>1.455292911578338</v>
      </c>
      <c r="D183" s="73">
        <f t="shared" si="8"/>
        <v>169</v>
      </c>
      <c r="E183" s="75">
        <f t="shared" si="9"/>
        <v>14.083333333333334</v>
      </c>
    </row>
    <row r="184" spans="2:5">
      <c r="B184" s="55">
        <v>41671</v>
      </c>
      <c r="C184" s="121">
        <f t="shared" si="7"/>
        <v>1.4585274853248964</v>
      </c>
      <c r="D184" s="73">
        <f t="shared" si="8"/>
        <v>170</v>
      </c>
      <c r="E184" s="75">
        <f t="shared" si="9"/>
        <v>14.166666666666666</v>
      </c>
    </row>
    <row r="185" spans="2:5">
      <c r="B185" s="55">
        <v>41699</v>
      </c>
      <c r="C185" s="121">
        <f t="shared" si="7"/>
        <v>1.4617692483233495</v>
      </c>
      <c r="D185" s="73">
        <f t="shared" si="8"/>
        <v>171</v>
      </c>
      <c r="E185" s="75">
        <f t="shared" si="9"/>
        <v>14.25</v>
      </c>
    </row>
    <row r="186" spans="2:5">
      <c r="B186" s="55">
        <v>41730</v>
      </c>
      <c r="C186" s="121">
        <f t="shared" si="7"/>
        <v>1.465018216552725</v>
      </c>
      <c r="D186" s="73">
        <f t="shared" si="8"/>
        <v>172</v>
      </c>
      <c r="E186" s="75">
        <f t="shared" si="9"/>
        <v>14.333333333333334</v>
      </c>
    </row>
    <row r="187" spans="2:5">
      <c r="B187" s="55">
        <v>41760</v>
      </c>
      <c r="C187" s="121">
        <f t="shared" si="7"/>
        <v>1.4682744060275654</v>
      </c>
      <c r="D187" s="73">
        <f t="shared" si="8"/>
        <v>173</v>
      </c>
      <c r="E187" s="75">
        <f t="shared" si="9"/>
        <v>14.416666666666666</v>
      </c>
    </row>
    <row r="188" spans="2:5">
      <c r="B188" s="55">
        <v>41791</v>
      </c>
      <c r="C188" s="121">
        <f t="shared" si="7"/>
        <v>1.4715378327980084</v>
      </c>
      <c r="D188" s="73">
        <f t="shared" si="8"/>
        <v>174</v>
      </c>
      <c r="E188" s="75">
        <f t="shared" si="9"/>
        <v>14.5</v>
      </c>
    </row>
    <row r="189" spans="2:5">
      <c r="B189" s="55">
        <v>41821</v>
      </c>
      <c r="C189" s="121">
        <f t="shared" si="7"/>
        <v>1.4748085129498645</v>
      </c>
      <c r="D189" s="73">
        <f t="shared" si="8"/>
        <v>175</v>
      </c>
      <c r="E189" s="75">
        <f t="shared" si="9"/>
        <v>14.583333333333334</v>
      </c>
    </row>
    <row r="190" spans="2:5">
      <c r="B190" s="55">
        <v>41852</v>
      </c>
      <c r="C190" s="121">
        <f t="shared" si="7"/>
        <v>1.478086462604697</v>
      </c>
      <c r="D190" s="73">
        <f t="shared" si="8"/>
        <v>176</v>
      </c>
      <c r="E190" s="75">
        <f t="shared" si="9"/>
        <v>14.666666666666666</v>
      </c>
    </row>
    <row r="191" spans="2:5">
      <c r="B191" s="55">
        <v>41883</v>
      </c>
      <c r="C191" s="121">
        <f t="shared" si="7"/>
        <v>1.4813716979199019</v>
      </c>
      <c r="D191" s="73">
        <f t="shared" si="8"/>
        <v>177</v>
      </c>
      <c r="E191" s="75">
        <f t="shared" si="9"/>
        <v>14.75</v>
      </c>
    </row>
    <row r="192" spans="2:5">
      <c r="B192" s="55">
        <v>41913</v>
      </c>
      <c r="C192" s="121">
        <f t="shared" si="7"/>
        <v>1.4846642350887869</v>
      </c>
      <c r="D192" s="73">
        <f t="shared" si="8"/>
        <v>178</v>
      </c>
      <c r="E192" s="75">
        <f t="shared" si="9"/>
        <v>14.833333333333334</v>
      </c>
    </row>
    <row r="193" spans="2:5">
      <c r="B193" s="55">
        <v>41944</v>
      </c>
      <c r="C193" s="121">
        <f t="shared" si="7"/>
        <v>1.487964090340651</v>
      </c>
      <c r="D193" s="73">
        <f t="shared" si="8"/>
        <v>179</v>
      </c>
      <c r="E193" s="75">
        <f t="shared" si="9"/>
        <v>14.916666666666666</v>
      </c>
    </row>
    <row r="194" spans="2:5">
      <c r="B194" s="55">
        <v>41974</v>
      </c>
      <c r="C194" s="121">
        <f t="shared" si="7"/>
        <v>1.4912712799408654</v>
      </c>
      <c r="D194" s="73">
        <f t="shared" si="8"/>
        <v>180</v>
      </c>
      <c r="E194" s="75">
        <f t="shared" si="9"/>
        <v>15</v>
      </c>
    </row>
    <row r="195" spans="2:5">
      <c r="B195" s="55">
        <v>42005</v>
      </c>
      <c r="C195" s="121">
        <f t="shared" si="7"/>
        <v>1.494585820190953</v>
      </c>
      <c r="D195" s="73">
        <f t="shared" si="8"/>
        <v>181</v>
      </c>
      <c r="E195" s="75">
        <f t="shared" si="9"/>
        <v>15.083333333333334</v>
      </c>
    </row>
    <row r="196" spans="2:5">
      <c r="B196" s="55">
        <v>42036</v>
      </c>
      <c r="C196" s="121">
        <f t="shared" si="7"/>
        <v>1.4979077274286685</v>
      </c>
      <c r="D196" s="73">
        <f t="shared" si="8"/>
        <v>182</v>
      </c>
      <c r="E196" s="75">
        <f t="shared" si="9"/>
        <v>15.166666666666666</v>
      </c>
    </row>
    <row r="197" spans="2:5">
      <c r="B197" s="55">
        <v>42064</v>
      </c>
      <c r="C197" s="121">
        <f t="shared" si="7"/>
        <v>1.5012370180280799</v>
      </c>
      <c r="D197" s="73">
        <f t="shared" si="8"/>
        <v>183</v>
      </c>
      <c r="E197" s="75">
        <f t="shared" si="9"/>
        <v>15.25</v>
      </c>
    </row>
    <row r="198" spans="2:5">
      <c r="B198" s="55">
        <v>42095</v>
      </c>
      <c r="C198" s="121">
        <f t="shared" si="7"/>
        <v>1.5045737083996484</v>
      </c>
      <c r="D198" s="73">
        <f t="shared" si="8"/>
        <v>184</v>
      </c>
      <c r="E198" s="75">
        <f t="shared" si="9"/>
        <v>15.333333333333334</v>
      </c>
    </row>
    <row r="199" spans="2:5">
      <c r="B199" s="55">
        <v>42125</v>
      </c>
      <c r="C199" s="121">
        <f t="shared" si="7"/>
        <v>1.5079178149903096</v>
      </c>
      <c r="D199" s="73">
        <f t="shared" si="8"/>
        <v>185</v>
      </c>
      <c r="E199" s="75">
        <f t="shared" si="9"/>
        <v>15.416666666666666</v>
      </c>
    </row>
    <row r="200" spans="2:5">
      <c r="B200" s="55">
        <v>42156</v>
      </c>
      <c r="C200" s="121">
        <f t="shared" si="7"/>
        <v>1.5112693542835545</v>
      </c>
      <c r="D200" s="73">
        <f t="shared" si="8"/>
        <v>186</v>
      </c>
      <c r="E200" s="75">
        <f t="shared" si="9"/>
        <v>15.5</v>
      </c>
    </row>
    <row r="201" spans="2:5">
      <c r="B201" s="55">
        <v>42186</v>
      </c>
      <c r="C201" s="121">
        <f t="shared" ref="C201:C264" si="10">(1+$C$4)^E201</f>
        <v>1.5146283427995106</v>
      </c>
      <c r="D201" s="73">
        <f t="shared" si="8"/>
        <v>187</v>
      </c>
      <c r="E201" s="75">
        <f t="shared" si="9"/>
        <v>15.583333333333334</v>
      </c>
    </row>
    <row r="202" spans="2:5">
      <c r="B202" s="55">
        <v>42217</v>
      </c>
      <c r="C202" s="121">
        <f t="shared" si="10"/>
        <v>1.5179947970950236</v>
      </c>
      <c r="D202" s="73">
        <f t="shared" ref="D202:D253" si="11">D201+1</f>
        <v>188</v>
      </c>
      <c r="E202" s="75">
        <f t="shared" ref="E202:E265" si="12">D202/12</f>
        <v>15.666666666666666</v>
      </c>
    </row>
    <row r="203" spans="2:5">
      <c r="B203" s="55">
        <v>42248</v>
      </c>
      <c r="C203" s="121">
        <f t="shared" si="10"/>
        <v>1.5213687337637392</v>
      </c>
      <c r="D203" s="73">
        <f t="shared" si="11"/>
        <v>189</v>
      </c>
      <c r="E203" s="75">
        <f t="shared" si="12"/>
        <v>15.75</v>
      </c>
    </row>
    <row r="204" spans="2:5">
      <c r="B204" s="55">
        <v>42278</v>
      </c>
      <c r="C204" s="121">
        <f t="shared" si="10"/>
        <v>1.524750169436184</v>
      </c>
      <c r="D204" s="73">
        <f t="shared" si="11"/>
        <v>190</v>
      </c>
      <c r="E204" s="75">
        <f t="shared" si="12"/>
        <v>15.833333333333334</v>
      </c>
    </row>
    <row r="205" spans="2:5">
      <c r="B205" s="55">
        <v>42309</v>
      </c>
      <c r="C205" s="121">
        <f t="shared" si="10"/>
        <v>1.5281391207798485</v>
      </c>
      <c r="D205" s="73">
        <f t="shared" si="11"/>
        <v>191</v>
      </c>
      <c r="E205" s="75">
        <f t="shared" si="12"/>
        <v>15.916666666666666</v>
      </c>
    </row>
    <row r="206" spans="2:5">
      <c r="B206" s="55">
        <v>42339</v>
      </c>
      <c r="C206" s="121">
        <f t="shared" si="10"/>
        <v>1.5315356044992685</v>
      </c>
      <c r="D206" s="73">
        <f t="shared" si="11"/>
        <v>192</v>
      </c>
      <c r="E206" s="75">
        <f t="shared" si="12"/>
        <v>16</v>
      </c>
    </row>
    <row r="207" spans="2:5">
      <c r="B207" s="55">
        <v>42370</v>
      </c>
      <c r="C207" s="121">
        <f t="shared" si="10"/>
        <v>1.5349396373361086</v>
      </c>
      <c r="D207" s="73">
        <f t="shared" si="11"/>
        <v>193</v>
      </c>
      <c r="E207" s="75">
        <f t="shared" si="12"/>
        <v>16.083333333333332</v>
      </c>
    </row>
    <row r="208" spans="2:5">
      <c r="B208" s="55">
        <v>42401</v>
      </c>
      <c r="C208" s="121">
        <f t="shared" si="10"/>
        <v>1.5383512360692426</v>
      </c>
      <c r="D208" s="73">
        <f t="shared" si="11"/>
        <v>194</v>
      </c>
      <c r="E208" s="75">
        <f t="shared" si="12"/>
        <v>16.166666666666668</v>
      </c>
    </row>
    <row r="209" spans="2:5">
      <c r="B209" s="55">
        <v>42430</v>
      </c>
      <c r="C209" s="121">
        <f t="shared" si="10"/>
        <v>1.5417704175148379</v>
      </c>
      <c r="D209" s="73">
        <f t="shared" si="11"/>
        <v>195</v>
      </c>
      <c r="E209" s="75">
        <f t="shared" si="12"/>
        <v>16.25</v>
      </c>
    </row>
    <row r="210" spans="2:5">
      <c r="B210" s="55">
        <v>42461</v>
      </c>
      <c r="C210" s="121">
        <f t="shared" si="10"/>
        <v>1.5451971985264388</v>
      </c>
      <c r="D210" s="73">
        <f t="shared" si="11"/>
        <v>196</v>
      </c>
      <c r="E210" s="75">
        <f t="shared" si="12"/>
        <v>16.333333333333332</v>
      </c>
    </row>
    <row r="211" spans="2:5">
      <c r="B211" s="55">
        <v>42491</v>
      </c>
      <c r="C211" s="121">
        <f t="shared" si="10"/>
        <v>1.5486315959950478</v>
      </c>
      <c r="D211" s="73">
        <f t="shared" si="11"/>
        <v>197</v>
      </c>
      <c r="E211" s="75">
        <f t="shared" si="12"/>
        <v>16.416666666666668</v>
      </c>
    </row>
    <row r="212" spans="2:5">
      <c r="B212" s="55">
        <v>42522</v>
      </c>
      <c r="C212" s="121">
        <f t="shared" si="10"/>
        <v>1.5520736268492104</v>
      </c>
      <c r="D212" s="73">
        <f t="shared" si="11"/>
        <v>198</v>
      </c>
      <c r="E212" s="75">
        <f t="shared" si="12"/>
        <v>16.5</v>
      </c>
    </row>
    <row r="213" spans="2:5">
      <c r="B213" s="55">
        <v>42552</v>
      </c>
      <c r="C213" s="121">
        <f t="shared" si="10"/>
        <v>1.5555233080550972</v>
      </c>
      <c r="D213" s="73">
        <f t="shared" si="11"/>
        <v>199</v>
      </c>
      <c r="E213" s="75">
        <f t="shared" si="12"/>
        <v>16.583333333333332</v>
      </c>
    </row>
    <row r="214" spans="2:5">
      <c r="B214" s="55">
        <v>42583</v>
      </c>
      <c r="C214" s="121">
        <f t="shared" si="10"/>
        <v>1.5589806566165894</v>
      </c>
      <c r="D214" s="73">
        <f t="shared" si="11"/>
        <v>200</v>
      </c>
      <c r="E214" s="75">
        <f t="shared" si="12"/>
        <v>16.666666666666668</v>
      </c>
    </row>
    <row r="215" spans="2:5">
      <c r="B215" s="55">
        <v>42614</v>
      </c>
      <c r="C215" s="121">
        <f t="shared" si="10"/>
        <v>1.56244568957536</v>
      </c>
      <c r="D215" s="73">
        <f t="shared" si="11"/>
        <v>201</v>
      </c>
      <c r="E215" s="75">
        <f t="shared" si="12"/>
        <v>16.75</v>
      </c>
    </row>
    <row r="216" spans="2:5">
      <c r="B216" s="55">
        <v>42644</v>
      </c>
      <c r="C216" s="121">
        <f t="shared" si="10"/>
        <v>1.5659184240109607</v>
      </c>
      <c r="D216" s="73">
        <f t="shared" si="11"/>
        <v>202</v>
      </c>
      <c r="E216" s="75">
        <f t="shared" si="12"/>
        <v>16.833333333333332</v>
      </c>
    </row>
    <row r="217" spans="2:5">
      <c r="B217" s="55">
        <v>42675</v>
      </c>
      <c r="C217" s="121">
        <f t="shared" si="10"/>
        <v>1.5693988770409044</v>
      </c>
      <c r="D217" s="73">
        <f t="shared" si="11"/>
        <v>203</v>
      </c>
      <c r="E217" s="75">
        <f t="shared" si="12"/>
        <v>16.916666666666668</v>
      </c>
    </row>
    <row r="218" spans="2:5">
      <c r="B218" s="55">
        <v>42705</v>
      </c>
      <c r="C218" s="121">
        <f t="shared" si="10"/>
        <v>1.5728870658207486</v>
      </c>
      <c r="D218" s="73">
        <f t="shared" si="11"/>
        <v>204</v>
      </c>
      <c r="E218" s="75">
        <f t="shared" si="12"/>
        <v>17</v>
      </c>
    </row>
    <row r="219" spans="2:5">
      <c r="B219" s="55">
        <v>42736</v>
      </c>
      <c r="C219" s="121">
        <f t="shared" si="10"/>
        <v>1.5763830075441834</v>
      </c>
      <c r="D219" s="73">
        <f t="shared" si="11"/>
        <v>205</v>
      </c>
      <c r="E219" s="75">
        <f t="shared" si="12"/>
        <v>17.083333333333332</v>
      </c>
    </row>
    <row r="220" spans="2:5">
      <c r="B220" s="55">
        <v>42767</v>
      </c>
      <c r="C220" s="121">
        <f t="shared" si="10"/>
        <v>1.5798867194431119</v>
      </c>
      <c r="D220" s="73">
        <f t="shared" si="11"/>
        <v>206</v>
      </c>
      <c r="E220" s="75">
        <f t="shared" si="12"/>
        <v>17.166666666666668</v>
      </c>
    </row>
    <row r="221" spans="2:5">
      <c r="B221" s="55">
        <v>42795</v>
      </c>
      <c r="C221" s="121">
        <f t="shared" si="10"/>
        <v>1.5833982187877385</v>
      </c>
      <c r="D221" s="73">
        <f t="shared" si="11"/>
        <v>207</v>
      </c>
      <c r="E221" s="75">
        <f t="shared" si="12"/>
        <v>17.25</v>
      </c>
    </row>
    <row r="222" spans="2:5">
      <c r="B222" s="55">
        <v>42826</v>
      </c>
      <c r="C222" s="121">
        <f t="shared" si="10"/>
        <v>1.5869175228866526</v>
      </c>
      <c r="D222" s="73">
        <f t="shared" si="11"/>
        <v>208</v>
      </c>
      <c r="E222" s="75">
        <f t="shared" si="12"/>
        <v>17.333333333333332</v>
      </c>
    </row>
    <row r="223" spans="2:5">
      <c r="B223" s="55">
        <v>42856</v>
      </c>
      <c r="C223" s="121">
        <f t="shared" si="10"/>
        <v>1.590444649086914</v>
      </c>
      <c r="D223" s="73">
        <f t="shared" si="11"/>
        <v>209</v>
      </c>
      <c r="E223" s="75">
        <f t="shared" si="12"/>
        <v>17.416666666666668</v>
      </c>
    </row>
    <row r="224" spans="2:5">
      <c r="B224" s="55">
        <v>42887</v>
      </c>
      <c r="C224" s="121">
        <f t="shared" si="10"/>
        <v>1.5939796147741387</v>
      </c>
      <c r="D224" s="73">
        <f t="shared" si="11"/>
        <v>210</v>
      </c>
      <c r="E224" s="75">
        <f t="shared" si="12"/>
        <v>17.5</v>
      </c>
    </row>
    <row r="225" spans="2:5">
      <c r="B225" s="55">
        <v>42917</v>
      </c>
      <c r="C225" s="121">
        <f t="shared" si="10"/>
        <v>1.5975224373725847</v>
      </c>
      <c r="D225" s="73">
        <f t="shared" si="11"/>
        <v>211</v>
      </c>
      <c r="E225" s="75">
        <f t="shared" si="12"/>
        <v>17.583333333333332</v>
      </c>
    </row>
    <row r="226" spans="2:5">
      <c r="B226" s="55">
        <v>42948</v>
      </c>
      <c r="C226" s="121">
        <f t="shared" si="10"/>
        <v>1.6010731343452371</v>
      </c>
      <c r="D226" s="73">
        <f t="shared" si="11"/>
        <v>212</v>
      </c>
      <c r="E226" s="75">
        <f t="shared" si="12"/>
        <v>17.666666666666668</v>
      </c>
    </row>
    <row r="227" spans="2:5">
      <c r="B227" s="55">
        <v>42979</v>
      </c>
      <c r="C227" s="121">
        <f t="shared" si="10"/>
        <v>1.6046317231938947</v>
      </c>
      <c r="D227" s="73">
        <f t="shared" si="11"/>
        <v>213</v>
      </c>
      <c r="E227" s="75">
        <f t="shared" si="12"/>
        <v>17.75</v>
      </c>
    </row>
    <row r="228" spans="2:5">
      <c r="B228" s="55">
        <v>43009</v>
      </c>
      <c r="C228" s="121">
        <f t="shared" si="10"/>
        <v>1.6081982214592567</v>
      </c>
      <c r="D228" s="73">
        <f t="shared" si="11"/>
        <v>214</v>
      </c>
      <c r="E228" s="75">
        <f t="shared" si="12"/>
        <v>17.833333333333332</v>
      </c>
    </row>
    <row r="229" spans="2:5">
      <c r="B229" s="55">
        <v>43040</v>
      </c>
      <c r="C229" s="121">
        <f t="shared" si="10"/>
        <v>1.6117726467210087</v>
      </c>
      <c r="D229" s="73">
        <f t="shared" si="11"/>
        <v>215</v>
      </c>
      <c r="E229" s="75">
        <f t="shared" si="12"/>
        <v>17.916666666666668</v>
      </c>
    </row>
    <row r="230" spans="2:5">
      <c r="B230" s="55">
        <v>43070</v>
      </c>
      <c r="C230" s="121">
        <f t="shared" si="10"/>
        <v>1.6153550165979087</v>
      </c>
      <c r="D230" s="73">
        <f t="shared" si="11"/>
        <v>216</v>
      </c>
      <c r="E230" s="75">
        <f t="shared" si="12"/>
        <v>18</v>
      </c>
    </row>
    <row r="231" spans="2:5">
      <c r="B231" s="55">
        <v>43101</v>
      </c>
      <c r="C231" s="121">
        <f t="shared" si="10"/>
        <v>1.6189453487478762</v>
      </c>
      <c r="D231" s="73">
        <f t="shared" si="11"/>
        <v>217</v>
      </c>
      <c r="E231" s="75">
        <f t="shared" si="12"/>
        <v>18.083333333333332</v>
      </c>
    </row>
    <row r="232" spans="2:5">
      <c r="B232" s="55">
        <v>43132</v>
      </c>
      <c r="C232" s="121">
        <f t="shared" si="10"/>
        <v>1.6225436608680759</v>
      </c>
      <c r="D232" s="73">
        <f t="shared" si="11"/>
        <v>218</v>
      </c>
      <c r="E232" s="75">
        <f t="shared" si="12"/>
        <v>18.166666666666668</v>
      </c>
    </row>
    <row r="233" spans="2:5">
      <c r="B233" s="55">
        <v>43160</v>
      </c>
      <c r="C233" s="121">
        <f t="shared" si="10"/>
        <v>1.6261499706950073</v>
      </c>
      <c r="D233" s="73">
        <f t="shared" si="11"/>
        <v>219</v>
      </c>
      <c r="E233" s="75">
        <f t="shared" si="12"/>
        <v>18.25</v>
      </c>
    </row>
    <row r="234" spans="2:5">
      <c r="B234" s="55">
        <v>43191</v>
      </c>
      <c r="C234" s="121">
        <f t="shared" si="10"/>
        <v>1.6297642960045919</v>
      </c>
      <c r="D234" s="73">
        <f t="shared" si="11"/>
        <v>220</v>
      </c>
      <c r="E234" s="75">
        <f t="shared" si="12"/>
        <v>18.333333333333332</v>
      </c>
    </row>
    <row r="235" spans="2:5">
      <c r="B235" s="55">
        <v>43221</v>
      </c>
      <c r="C235" s="121">
        <f t="shared" si="10"/>
        <v>1.6333866546122606</v>
      </c>
      <c r="D235" s="73">
        <f t="shared" si="11"/>
        <v>221</v>
      </c>
      <c r="E235" s="75">
        <f t="shared" si="12"/>
        <v>18.416666666666668</v>
      </c>
    </row>
    <row r="236" spans="2:5">
      <c r="B236" s="55">
        <v>43252</v>
      </c>
      <c r="C236" s="121">
        <f t="shared" si="10"/>
        <v>1.6370170643730404</v>
      </c>
      <c r="D236" s="73">
        <f t="shared" si="11"/>
        <v>222</v>
      </c>
      <c r="E236" s="75">
        <f t="shared" si="12"/>
        <v>18.5</v>
      </c>
    </row>
    <row r="237" spans="2:5">
      <c r="B237" s="56">
        <v>43282</v>
      </c>
      <c r="C237" s="121">
        <f t="shared" si="10"/>
        <v>1.6406555431816443</v>
      </c>
      <c r="D237" s="73">
        <f t="shared" si="11"/>
        <v>223</v>
      </c>
      <c r="E237" s="75">
        <f t="shared" si="12"/>
        <v>18.583333333333332</v>
      </c>
    </row>
    <row r="238" spans="2:5">
      <c r="B238" s="56">
        <v>43313</v>
      </c>
      <c r="C238" s="121">
        <f t="shared" si="10"/>
        <v>1.6443021089725582</v>
      </c>
      <c r="D238" s="73">
        <f t="shared" si="11"/>
        <v>224</v>
      </c>
      <c r="E238" s="75">
        <f t="shared" si="12"/>
        <v>18.666666666666668</v>
      </c>
    </row>
    <row r="239" spans="2:5">
      <c r="B239" s="56">
        <v>43344</v>
      </c>
      <c r="C239" s="121">
        <f t="shared" si="10"/>
        <v>1.6479567797201295</v>
      </c>
      <c r="D239" s="73">
        <f t="shared" si="11"/>
        <v>225</v>
      </c>
      <c r="E239" s="75">
        <f t="shared" si="12"/>
        <v>18.75</v>
      </c>
    </row>
    <row r="240" spans="2:5">
      <c r="B240" s="56">
        <v>43374</v>
      </c>
      <c r="C240" s="121">
        <f t="shared" si="10"/>
        <v>1.6516195734386565</v>
      </c>
      <c r="D240" s="73">
        <f t="shared" si="11"/>
        <v>226</v>
      </c>
      <c r="E240" s="75">
        <f t="shared" si="12"/>
        <v>18.833333333333332</v>
      </c>
    </row>
    <row r="241" spans="2:5">
      <c r="B241" s="56">
        <v>43405</v>
      </c>
      <c r="C241" s="121">
        <f t="shared" si="10"/>
        <v>1.6552905081824758</v>
      </c>
      <c r="D241" s="73">
        <f t="shared" si="11"/>
        <v>227</v>
      </c>
      <c r="E241" s="75">
        <f t="shared" si="12"/>
        <v>18.916666666666668</v>
      </c>
    </row>
    <row r="242" spans="2:5">
      <c r="B242" s="56">
        <v>43435</v>
      </c>
      <c r="C242" s="121">
        <f t="shared" si="10"/>
        <v>1.6589696020460523</v>
      </c>
      <c r="D242" s="73">
        <f t="shared" si="11"/>
        <v>228</v>
      </c>
      <c r="E242" s="75">
        <f t="shared" si="12"/>
        <v>19</v>
      </c>
    </row>
    <row r="243" spans="2:5">
      <c r="B243" s="56">
        <v>43466</v>
      </c>
      <c r="C243" s="121">
        <f t="shared" si="10"/>
        <v>1.6626568731640685</v>
      </c>
      <c r="D243" s="73">
        <f t="shared" si="11"/>
        <v>229</v>
      </c>
      <c r="E243" s="75">
        <f t="shared" si="12"/>
        <v>19.083333333333332</v>
      </c>
    </row>
    <row r="244" spans="2:5">
      <c r="B244" s="56">
        <v>43497</v>
      </c>
      <c r="C244" s="121">
        <f t="shared" si="10"/>
        <v>1.6663523397115136</v>
      </c>
      <c r="D244" s="73">
        <f t="shared" si="11"/>
        <v>230</v>
      </c>
      <c r="E244" s="75">
        <f t="shared" si="12"/>
        <v>19.166666666666668</v>
      </c>
    </row>
    <row r="245" spans="2:5">
      <c r="B245" s="56">
        <v>43525</v>
      </c>
      <c r="C245" s="121">
        <f t="shared" si="10"/>
        <v>1.6700560199037724</v>
      </c>
      <c r="D245" s="73">
        <f t="shared" si="11"/>
        <v>231</v>
      </c>
      <c r="E245" s="75">
        <f t="shared" si="12"/>
        <v>19.25</v>
      </c>
    </row>
    <row r="246" spans="2:5">
      <c r="B246" s="56">
        <v>43556</v>
      </c>
      <c r="C246" s="121">
        <f t="shared" si="10"/>
        <v>1.6737679319967158</v>
      </c>
      <c r="D246" s="73">
        <f t="shared" si="11"/>
        <v>232</v>
      </c>
      <c r="E246" s="75">
        <f t="shared" si="12"/>
        <v>19.333333333333332</v>
      </c>
    </row>
    <row r="247" spans="2:5">
      <c r="B247" s="56">
        <v>43586</v>
      </c>
      <c r="C247" s="121">
        <f t="shared" si="10"/>
        <v>1.6774880942867916</v>
      </c>
      <c r="D247" s="73">
        <f t="shared" si="11"/>
        <v>233</v>
      </c>
      <c r="E247" s="75">
        <f t="shared" si="12"/>
        <v>19.416666666666668</v>
      </c>
    </row>
    <row r="248" spans="2:5">
      <c r="B248" s="56">
        <v>43617</v>
      </c>
      <c r="C248" s="121">
        <f t="shared" si="10"/>
        <v>1.6812165251111124</v>
      </c>
      <c r="D248" s="73">
        <f t="shared" si="11"/>
        <v>234</v>
      </c>
      <c r="E248" s="75">
        <f t="shared" si="12"/>
        <v>19.5</v>
      </c>
    </row>
    <row r="249" spans="2:5">
      <c r="B249" s="56">
        <v>43647</v>
      </c>
      <c r="C249" s="121">
        <f t="shared" si="10"/>
        <v>1.6849532428475487</v>
      </c>
      <c r="D249" s="73">
        <f t="shared" si="11"/>
        <v>235</v>
      </c>
      <c r="E249" s="75">
        <f t="shared" si="12"/>
        <v>19.583333333333332</v>
      </c>
    </row>
    <row r="250" spans="2:5">
      <c r="B250" s="56">
        <v>43678</v>
      </c>
      <c r="C250" s="121">
        <f t="shared" si="10"/>
        <v>1.6886982659148173</v>
      </c>
      <c r="D250" s="73">
        <f t="shared" si="11"/>
        <v>236</v>
      </c>
      <c r="E250" s="75">
        <f t="shared" si="12"/>
        <v>19.666666666666668</v>
      </c>
    </row>
    <row r="251" spans="2:5">
      <c r="B251" s="56">
        <v>43709</v>
      </c>
      <c r="C251" s="121">
        <f t="shared" si="10"/>
        <v>1.6924516127725728</v>
      </c>
      <c r="D251" s="73">
        <f t="shared" si="11"/>
        <v>237</v>
      </c>
      <c r="E251" s="75">
        <f t="shared" si="12"/>
        <v>19.75</v>
      </c>
    </row>
    <row r="252" spans="2:5">
      <c r="B252" s="56">
        <v>43739</v>
      </c>
      <c r="C252" s="121">
        <f t="shared" si="10"/>
        <v>1.6962133019215</v>
      </c>
      <c r="D252" s="73">
        <f t="shared" si="11"/>
        <v>238</v>
      </c>
      <c r="E252" s="75">
        <f t="shared" si="12"/>
        <v>19.833333333333332</v>
      </c>
    </row>
    <row r="253" spans="2:5">
      <c r="B253" s="56">
        <v>43770</v>
      </c>
      <c r="C253" s="121">
        <f t="shared" si="10"/>
        <v>1.6999833519034024</v>
      </c>
      <c r="D253" s="73">
        <f t="shared" si="11"/>
        <v>239</v>
      </c>
      <c r="E253" s="75">
        <f t="shared" si="12"/>
        <v>19.916666666666668</v>
      </c>
    </row>
    <row r="254" spans="2:5">
      <c r="B254" s="74">
        <f>B253+30</f>
        <v>43800</v>
      </c>
      <c r="C254" s="121">
        <f t="shared" si="10"/>
        <v>1.7037617813012953</v>
      </c>
      <c r="D254" s="73">
        <f t="shared" ref="D254:D266" si="13">D253+1</f>
        <v>240</v>
      </c>
      <c r="E254" s="75">
        <f t="shared" si="12"/>
        <v>20</v>
      </c>
    </row>
    <row r="255" spans="2:5">
      <c r="B255" s="56">
        <v>43831</v>
      </c>
      <c r="C255" s="121">
        <f t="shared" si="10"/>
        <v>1.7075486087394984</v>
      </c>
      <c r="D255" s="73">
        <f t="shared" si="13"/>
        <v>241</v>
      </c>
      <c r="E255" s="75">
        <f t="shared" si="12"/>
        <v>20.083333333333332</v>
      </c>
    </row>
    <row r="256" spans="2:5">
      <c r="B256" s="56">
        <v>43862</v>
      </c>
      <c r="C256" s="121">
        <f t="shared" si="10"/>
        <v>1.7113438528837244</v>
      </c>
      <c r="D256" s="73">
        <f t="shared" si="13"/>
        <v>242</v>
      </c>
      <c r="E256" s="75">
        <f t="shared" si="12"/>
        <v>20.166666666666668</v>
      </c>
    </row>
    <row r="257" spans="2:5">
      <c r="B257" s="56">
        <v>43891</v>
      </c>
      <c r="C257" s="121">
        <f t="shared" si="10"/>
        <v>1.715147532441174</v>
      </c>
      <c r="D257" s="73">
        <f t="shared" si="13"/>
        <v>243</v>
      </c>
      <c r="E257" s="75">
        <f t="shared" si="12"/>
        <v>20.25</v>
      </c>
    </row>
    <row r="258" spans="2:5">
      <c r="B258" s="56">
        <v>43922</v>
      </c>
      <c r="C258" s="121">
        <f t="shared" si="10"/>
        <v>1.718959666160627</v>
      </c>
      <c r="D258" s="73">
        <f t="shared" si="13"/>
        <v>244</v>
      </c>
      <c r="E258" s="75">
        <f t="shared" si="12"/>
        <v>20.333333333333332</v>
      </c>
    </row>
    <row r="259" spans="2:5">
      <c r="B259" s="56">
        <v>43952</v>
      </c>
      <c r="C259" s="121">
        <f t="shared" si="10"/>
        <v>1.7227802728325348</v>
      </c>
      <c r="D259" s="73">
        <f t="shared" si="13"/>
        <v>245</v>
      </c>
      <c r="E259" s="75">
        <f t="shared" si="12"/>
        <v>20.416666666666668</v>
      </c>
    </row>
    <row r="260" spans="2:5">
      <c r="B260" s="56">
        <v>43983</v>
      </c>
      <c r="C260" s="121">
        <f t="shared" si="10"/>
        <v>1.7266093712891122</v>
      </c>
      <c r="D260" s="73">
        <f t="shared" si="13"/>
        <v>246</v>
      </c>
      <c r="E260" s="75">
        <f t="shared" si="12"/>
        <v>20.5</v>
      </c>
    </row>
    <row r="261" spans="2:5">
      <c r="B261" s="56">
        <v>44013</v>
      </c>
      <c r="C261" s="121">
        <f t="shared" si="10"/>
        <v>1.7304469804044322</v>
      </c>
      <c r="D261" s="73">
        <f t="shared" si="13"/>
        <v>247</v>
      </c>
      <c r="E261" s="75">
        <f t="shared" si="12"/>
        <v>20.583333333333332</v>
      </c>
    </row>
    <row r="262" spans="2:5">
      <c r="B262" s="56">
        <v>44044</v>
      </c>
      <c r="C262" s="121">
        <f t="shared" si="10"/>
        <v>1.7342931190945172</v>
      </c>
      <c r="D262" s="73">
        <f t="shared" si="13"/>
        <v>248</v>
      </c>
      <c r="E262" s="75">
        <f t="shared" si="12"/>
        <v>20.666666666666668</v>
      </c>
    </row>
    <row r="263" spans="2:5">
      <c r="B263" s="56">
        <v>44075</v>
      </c>
      <c r="C263" s="121">
        <f t="shared" si="10"/>
        <v>1.7381478063174323</v>
      </c>
      <c r="D263" s="73">
        <f t="shared" si="13"/>
        <v>249</v>
      </c>
      <c r="E263" s="75">
        <f t="shared" si="12"/>
        <v>20.75</v>
      </c>
    </row>
    <row r="264" spans="2:5">
      <c r="B264" s="56">
        <v>44105</v>
      </c>
      <c r="C264" s="121">
        <f t="shared" si="10"/>
        <v>1.7420110610733803</v>
      </c>
      <c r="D264" s="73">
        <f t="shared" si="13"/>
        <v>250</v>
      </c>
      <c r="E264" s="75">
        <f t="shared" si="12"/>
        <v>20.833333333333332</v>
      </c>
    </row>
    <row r="265" spans="2:5">
      <c r="B265" s="56">
        <v>44136</v>
      </c>
      <c r="C265" s="121">
        <f>(1+$C$4)^E265</f>
        <v>1.7458829024047942</v>
      </c>
      <c r="D265" s="73">
        <f t="shared" si="13"/>
        <v>251</v>
      </c>
      <c r="E265" s="75">
        <f t="shared" si="12"/>
        <v>20.916666666666668</v>
      </c>
    </row>
    <row r="266" spans="2:5">
      <c r="B266" s="56">
        <v>44166</v>
      </c>
      <c r="C266" s="121">
        <f>(1+$C$4)^E266</f>
        <v>1.7497633493964302</v>
      </c>
      <c r="D266" s="73">
        <f t="shared" si="13"/>
        <v>252</v>
      </c>
      <c r="E266" s="75">
        <f>D266/12</f>
        <v>21</v>
      </c>
    </row>
    <row r="267" spans="2:5">
      <c r="B267" s="74">
        <f>B266+31</f>
        <v>44197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59"/>
  <sheetViews>
    <sheetView workbookViewId="0">
      <selection activeCell="E5" sqref="E5"/>
    </sheetView>
  </sheetViews>
  <sheetFormatPr defaultColWidth="0" defaultRowHeight="15.6"/>
  <cols>
    <col min="1" max="1" width="0.88671875" style="160" customWidth="1"/>
    <col min="2" max="2" width="11.33203125" style="216" customWidth="1"/>
    <col min="3" max="3" width="9.109375" style="160" customWidth="1"/>
    <col min="4" max="4" width="9.109375" style="212" customWidth="1"/>
    <col min="5" max="6" width="9.6640625" style="160" customWidth="1"/>
    <col min="7" max="8" width="12.88671875" style="220" customWidth="1"/>
    <col min="9" max="9" width="16.88671875" style="220" customWidth="1"/>
    <col min="10" max="10" width="12.109375" style="160" customWidth="1"/>
    <col min="11" max="11" width="9.109375" style="160" customWidth="1"/>
    <col min="12" max="12" width="12.33203125" style="160" hidden="1" customWidth="1"/>
    <col min="13" max="13" width="0" style="373" hidden="1" customWidth="1"/>
    <col min="14" max="16384" width="0" style="160" hidden="1"/>
  </cols>
  <sheetData>
    <row r="1" spans="2:13">
      <c r="B1" s="211">
        <f>'Revenues &amp; Expenses'!K1</f>
        <v>36589</v>
      </c>
      <c r="F1" s="162"/>
      <c r="G1" s="213"/>
      <c r="H1" s="213"/>
      <c r="I1" s="214" t="s">
        <v>177</v>
      </c>
    </row>
    <row r="2" spans="2:13">
      <c r="C2" s="217"/>
      <c r="D2" s="218"/>
      <c r="F2" s="219"/>
      <c r="I2" s="221">
        <v>0</v>
      </c>
    </row>
    <row r="3" spans="2:13">
      <c r="D3" s="222"/>
    </row>
    <row r="4" spans="2:13">
      <c r="C4" s="558"/>
      <c r="D4" s="222"/>
      <c r="G4" s="215"/>
      <c r="H4" s="215"/>
      <c r="I4" s="215"/>
      <c r="J4" s="374"/>
    </row>
    <row r="5" spans="2:13" s="216" customFormat="1">
      <c r="C5" s="559"/>
      <c r="D5" s="224"/>
      <c r="G5" s="225"/>
      <c r="H5" s="225"/>
      <c r="I5" s="226"/>
      <c r="L5" s="554"/>
      <c r="M5" s="555"/>
    </row>
    <row r="6" spans="2:13" s="227" customFormat="1">
      <c r="D6" s="228"/>
      <c r="G6" s="125"/>
      <c r="H6" s="125"/>
      <c r="I6" s="125" t="s">
        <v>172</v>
      </c>
      <c r="J6" s="229" t="s">
        <v>176</v>
      </c>
      <c r="L6" s="554"/>
      <c r="M6" s="556"/>
    </row>
    <row r="7" spans="2:13" s="227" customFormat="1" ht="16.2" thickBot="1">
      <c r="C7" s="230" t="s">
        <v>11</v>
      </c>
      <c r="D7" s="231" t="s">
        <v>5</v>
      </c>
      <c r="E7" s="230" t="s">
        <v>171</v>
      </c>
      <c r="F7" s="230" t="s">
        <v>9</v>
      </c>
      <c r="G7" s="232" t="s">
        <v>173</v>
      </c>
      <c r="H7" s="232" t="s">
        <v>174</v>
      </c>
      <c r="I7" s="232" t="s">
        <v>175</v>
      </c>
      <c r="J7" s="233" t="s">
        <v>170</v>
      </c>
      <c r="L7" s="554"/>
      <c r="M7" s="556"/>
    </row>
    <row r="8" spans="2:13">
      <c r="B8" s="234">
        <f>'Revenues &amp; Expenses'!K8</f>
        <v>36557</v>
      </c>
      <c r="C8" s="235"/>
      <c r="E8" s="159"/>
      <c r="F8" s="236"/>
      <c r="J8" s="237"/>
      <c r="L8" s="557"/>
      <c r="M8" s="555"/>
    </row>
    <row r="9" spans="2:13">
      <c r="B9" s="234">
        <f>'Revenues &amp; Expenses'!K9</f>
        <v>36586</v>
      </c>
      <c r="C9" s="235"/>
      <c r="D9" s="159"/>
      <c r="E9" s="159"/>
      <c r="F9" s="236"/>
      <c r="J9" s="237"/>
      <c r="L9" s="557"/>
      <c r="M9" s="555"/>
    </row>
    <row r="10" spans="2:13">
      <c r="B10" s="234">
        <f>'Revenues &amp; Expenses'!K10</f>
        <v>36617</v>
      </c>
      <c r="C10" s="235"/>
      <c r="D10" s="159"/>
      <c r="E10" s="159"/>
      <c r="F10" s="236"/>
      <c r="J10" s="237"/>
      <c r="L10" s="557"/>
      <c r="M10" s="555"/>
    </row>
    <row r="11" spans="2:13">
      <c r="B11" s="234">
        <f>'Revenues &amp; Expenses'!K11</f>
        <v>36647</v>
      </c>
      <c r="C11" s="235"/>
      <c r="D11" s="159"/>
      <c r="E11" s="159"/>
      <c r="F11" s="236"/>
      <c r="J11" s="237"/>
      <c r="L11" s="557"/>
      <c r="M11" s="555"/>
    </row>
    <row r="12" spans="2:13">
      <c r="B12" s="234">
        <f>'Revenues &amp; Expenses'!K12</f>
        <v>36678</v>
      </c>
      <c r="C12" s="235">
        <f>PJM_01212000!C41</f>
        <v>58.075000762939453</v>
      </c>
      <c r="D12" s="159">
        <f>PJM_01212000!X12</f>
        <v>0.42849999999999999</v>
      </c>
      <c r="E12" s="159">
        <f>VLOOKUP(B12,'Revenues &amp; Expenses'!$K$8:$N$258,2)</f>
        <v>6.217794615986301E-2</v>
      </c>
      <c r="F12" s="236">
        <f>VLOOKUP(B12,'Revenues &amp; Expenses'!$K$8:$N$246,4)</f>
        <v>0.97795042754617267</v>
      </c>
      <c r="G12" s="220">
        <f>(B12-$B$1)/365.25</f>
        <v>0.24366872005475701</v>
      </c>
      <c r="H12" s="220">
        <f>SQRT(G12)</f>
        <v>0.49362811918969629</v>
      </c>
      <c r="I12" s="220">
        <f>IF($I$2=0,0,-(D12^2)/2)</f>
        <v>0</v>
      </c>
      <c r="J12" s="237">
        <f>C12*EXP(I12*G12+D12*$I$2*H12)</f>
        <v>58.075000762939453</v>
      </c>
      <c r="L12" s="555"/>
      <c r="M12" s="555"/>
    </row>
    <row r="13" spans="2:13">
      <c r="B13" s="234">
        <f>'Revenues &amp; Expenses'!K13</f>
        <v>36708</v>
      </c>
      <c r="C13" s="235">
        <f>PJM_01212000!C42</f>
        <v>103.75</v>
      </c>
      <c r="D13" s="159">
        <f>PJM_01212000!X13</f>
        <v>0.55000000000000004</v>
      </c>
      <c r="E13" s="159">
        <f>VLOOKUP(B13,'Revenues &amp; Expenses'!$K$8:$N$258,2)</f>
        <v>6.3156630597147004E-2</v>
      </c>
      <c r="F13" s="236">
        <f>VLOOKUP(B13,'Revenues &amp; Expenses'!$K$8:$N$246,4)</f>
        <v>0.97263244191561848</v>
      </c>
      <c r="G13" s="220">
        <f t="shared" ref="G13:G72" si="0">(B13-$B$1)/365.25</f>
        <v>0.32580424366872007</v>
      </c>
      <c r="H13" s="220">
        <f t="shared" ref="H13:H72" si="1">SQRT(G13)</f>
        <v>0.57079264507237659</v>
      </c>
      <c r="I13" s="220">
        <f t="shared" ref="I13:I72" si="2">IF($I$2=0,0,-(D13^2)/2)</f>
        <v>0</v>
      </c>
      <c r="J13" s="237">
        <f t="shared" ref="J13:J76" si="3">C13*EXP(I13*G13+D13*$I$2*H13)</f>
        <v>103.75</v>
      </c>
      <c r="L13" s="555"/>
      <c r="M13" s="555"/>
    </row>
    <row r="14" spans="2:13">
      <c r="B14" s="234">
        <f>'Revenues &amp; Expenses'!K14</f>
        <v>36739</v>
      </c>
      <c r="C14" s="235">
        <f>PJM_01212000!C43</f>
        <v>90.75</v>
      </c>
      <c r="D14" s="159">
        <f>PJM_01212000!X14</f>
        <v>0.52</v>
      </c>
      <c r="E14" s="159">
        <f>VLOOKUP(B14,'Revenues &amp; Expenses'!$K$8:$N$258,2)</f>
        <v>6.3794910183085002E-2</v>
      </c>
      <c r="F14" s="236">
        <f>VLOOKUP(B14,'Revenues &amp; Expenses'!$K$8:$N$246,4)</f>
        <v>0.96719510875054593</v>
      </c>
      <c r="G14" s="220">
        <f t="shared" si="0"/>
        <v>0.41067761806981518</v>
      </c>
      <c r="H14" s="220">
        <f t="shared" si="1"/>
        <v>0.64084133611200145</v>
      </c>
      <c r="I14" s="220">
        <f t="shared" si="2"/>
        <v>0</v>
      </c>
      <c r="J14" s="237">
        <f t="shared" si="3"/>
        <v>90.75</v>
      </c>
      <c r="L14" s="555"/>
      <c r="M14" s="555"/>
    </row>
    <row r="15" spans="2:13">
      <c r="B15" s="234">
        <f>'Revenues &amp; Expenses'!K15</f>
        <v>36770</v>
      </c>
      <c r="C15" s="235">
        <f>PJM_01212000!C44</f>
        <v>35.549999237060547</v>
      </c>
      <c r="D15" s="159">
        <f>PJM_01212000!X15</f>
        <v>0.32</v>
      </c>
      <c r="E15" s="159">
        <f>VLOOKUP(B15,'Revenues &amp; Expenses'!$K$8:$N$258,2)</f>
        <v>6.4433189904138016E-2</v>
      </c>
      <c r="F15" s="236">
        <f>VLOOKUP(B15,'Revenues &amp; Expenses'!$K$8:$N$246,4)</f>
        <v>0.96168729035349487</v>
      </c>
      <c r="G15" s="220">
        <f t="shared" si="0"/>
        <v>0.49555099247091033</v>
      </c>
      <c r="H15" s="220">
        <f t="shared" si="1"/>
        <v>0.70395382836583131</v>
      </c>
      <c r="I15" s="220">
        <f t="shared" si="2"/>
        <v>0</v>
      </c>
      <c r="J15" s="237">
        <f t="shared" si="3"/>
        <v>35.549999237060547</v>
      </c>
      <c r="L15" s="555"/>
      <c r="M15" s="555"/>
    </row>
    <row r="16" spans="2:13">
      <c r="B16" s="234">
        <f>'Revenues &amp; Expenses'!K16</f>
        <v>36800</v>
      </c>
      <c r="C16" s="235">
        <f>PJM_01212000!C45</f>
        <v>25.450000762939453</v>
      </c>
      <c r="D16" s="159">
        <f>PJM_01212000!X16</f>
        <v>0.21</v>
      </c>
      <c r="E16" s="159">
        <f>VLOOKUP(B16,'Revenues &amp; Expenses'!$K$8:$N$258,2)</f>
        <v>6.5011694486706018E-2</v>
      </c>
      <c r="F16" s="236">
        <f>VLOOKUP(B16,'Revenues &amp; Expenses'!$K$8:$N$246,4)</f>
        <v>0.9563168773240901</v>
      </c>
      <c r="G16" s="220">
        <f t="shared" si="0"/>
        <v>0.57768651608487342</v>
      </c>
      <c r="H16" s="220">
        <f t="shared" si="1"/>
        <v>0.76005691634565986</v>
      </c>
      <c r="I16" s="220">
        <f t="shared" si="2"/>
        <v>0</v>
      </c>
      <c r="J16" s="237">
        <f t="shared" si="3"/>
        <v>25.450000762939453</v>
      </c>
      <c r="L16" s="555"/>
      <c r="M16" s="555"/>
    </row>
    <row r="17" spans="2:13">
      <c r="B17" s="234">
        <f>'Revenues &amp; Expenses'!K17</f>
        <v>36831</v>
      </c>
      <c r="C17" s="235">
        <f>PJM_01212000!C46</f>
        <v>25.149999618530273</v>
      </c>
      <c r="D17" s="159">
        <f>PJM_01212000!X17</f>
        <v>0.2</v>
      </c>
      <c r="E17" s="159">
        <f>VLOOKUP(B17,'Revenues &amp; Expenses'!$K$8:$N$258,2)</f>
        <v>6.5536848233941014E-2</v>
      </c>
      <c r="F17" s="236">
        <f>VLOOKUP(B17,'Revenues &amp; Expenses'!$K$8:$N$246,4)</f>
        <v>0.95075948988363446</v>
      </c>
      <c r="G17" s="220">
        <f t="shared" si="0"/>
        <v>0.66255989048596853</v>
      </c>
      <c r="H17" s="220">
        <f t="shared" si="1"/>
        <v>0.81397781940662761</v>
      </c>
      <c r="I17" s="220">
        <f t="shared" si="2"/>
        <v>0</v>
      </c>
      <c r="J17" s="237">
        <f t="shared" si="3"/>
        <v>25.149999618530273</v>
      </c>
      <c r="L17" s="555"/>
      <c r="M17" s="555"/>
    </row>
    <row r="18" spans="2:13">
      <c r="B18" s="234">
        <f>'Revenues &amp; Expenses'!K18</f>
        <v>36861</v>
      </c>
      <c r="C18" s="235">
        <f>PJM_01212000!C47</f>
        <v>27.375</v>
      </c>
      <c r="D18" s="159">
        <f>PJM_01212000!X18</f>
        <v>0.2</v>
      </c>
      <c r="E18" s="159">
        <f>VLOOKUP(B18,'Revenues &amp; Expenses'!$K$8:$N$258,2)</f>
        <v>6.6045061624730006E-2</v>
      </c>
      <c r="F18" s="236">
        <f>VLOOKUP(B18,'Revenues &amp; Expenses'!$K$8:$N$246,4)</f>
        <v>0.94533452136269336</v>
      </c>
      <c r="G18" s="220">
        <f t="shared" si="0"/>
        <v>0.74469541409993156</v>
      </c>
      <c r="H18" s="220">
        <f t="shared" si="1"/>
        <v>0.86295736516929478</v>
      </c>
      <c r="I18" s="220">
        <f t="shared" si="2"/>
        <v>0</v>
      </c>
      <c r="J18" s="237">
        <f t="shared" si="3"/>
        <v>27.375</v>
      </c>
      <c r="L18" s="555"/>
      <c r="M18" s="555"/>
    </row>
    <row r="19" spans="2:13">
      <c r="B19" s="234">
        <f>'Revenues &amp; Expenses'!K19</f>
        <v>36892</v>
      </c>
      <c r="C19" s="235">
        <f>PJM_01212000!C48</f>
        <v>35.224998474121094</v>
      </c>
      <c r="D19" s="159">
        <f>PJM_01212000!X19</f>
        <v>0.24</v>
      </c>
      <c r="E19" s="159">
        <f>VLOOKUP(B19,'Revenues &amp; Expenses'!$K$8:$N$258,2)</f>
        <v>6.6545865575547994E-2</v>
      </c>
      <c r="F19" s="236">
        <f>VLOOKUP(B19,'Revenues &amp; Expenses'!$K$8:$N$246,4)</f>
        <v>0.93970259564566427</v>
      </c>
      <c r="G19" s="220">
        <f t="shared" si="0"/>
        <v>0.82956878850102667</v>
      </c>
      <c r="H19" s="220">
        <f t="shared" si="1"/>
        <v>0.91080666911316954</v>
      </c>
      <c r="I19" s="220">
        <f t="shared" si="2"/>
        <v>0</v>
      </c>
      <c r="J19" s="237">
        <f t="shared" si="3"/>
        <v>35.224998474121094</v>
      </c>
      <c r="L19" s="555"/>
      <c r="M19" s="555"/>
    </row>
    <row r="20" spans="2:13">
      <c r="B20" s="234">
        <f>'Revenues &amp; Expenses'!K20</f>
        <v>36923</v>
      </c>
      <c r="C20" s="235">
        <f>PJM_01212000!C49</f>
        <v>35.224998474121094</v>
      </c>
      <c r="D20" s="159">
        <f>PJM_01212000!X20</f>
        <v>0.24</v>
      </c>
      <c r="E20" s="159">
        <f>VLOOKUP(B20,'Revenues &amp; Expenses'!$K$8:$N$258,2)</f>
        <v>6.7008115474421009E-2</v>
      </c>
      <c r="F20" s="236">
        <f>VLOOKUP(B20,'Revenues &amp; Expenses'!$K$8:$N$246,4)</f>
        <v>0.93406353889189453</v>
      </c>
      <c r="G20" s="220">
        <f t="shared" si="0"/>
        <v>0.91444216290212188</v>
      </c>
      <c r="H20" s="220">
        <f t="shared" si="1"/>
        <v>0.95626469290783811</v>
      </c>
      <c r="I20" s="220">
        <f t="shared" si="2"/>
        <v>0</v>
      </c>
      <c r="J20" s="237">
        <f t="shared" si="3"/>
        <v>35.224998474121094</v>
      </c>
      <c r="L20" s="555"/>
      <c r="M20" s="555"/>
    </row>
    <row r="21" spans="2:13">
      <c r="B21" s="234">
        <f>'Revenues &amp; Expenses'!K21</f>
        <v>36951</v>
      </c>
      <c r="C21" s="235">
        <f>PJM_01212000!C50</f>
        <v>25.575000762939453</v>
      </c>
      <c r="D21" s="159">
        <f>PJM_01212000!X21</f>
        <v>0.2</v>
      </c>
      <c r="E21" s="159">
        <f>VLOOKUP(B21,'Revenues &amp; Expenses'!$K$8:$N$258,2)</f>
        <v>6.7425631572931022E-2</v>
      </c>
      <c r="F21" s="236">
        <f>VLOOKUP(B21,'Revenues &amp; Expenses'!$K$8:$N$246,4)</f>
        <v>0.92893874943489496</v>
      </c>
      <c r="G21" s="220">
        <f t="shared" si="0"/>
        <v>0.99110198494182067</v>
      </c>
      <c r="H21" s="220">
        <f t="shared" si="1"/>
        <v>0.99554105135942073</v>
      </c>
      <c r="I21" s="220">
        <f t="shared" si="2"/>
        <v>0</v>
      </c>
      <c r="J21" s="237">
        <f t="shared" si="3"/>
        <v>25.575000762939453</v>
      </c>
      <c r="L21" s="555"/>
      <c r="M21" s="555"/>
    </row>
    <row r="22" spans="2:13">
      <c r="B22" s="234">
        <f>'Revenues &amp; Expenses'!K22</f>
        <v>36982</v>
      </c>
      <c r="C22" s="235">
        <f>PJM_01212000!C51</f>
        <v>25.575000762939453</v>
      </c>
      <c r="D22" s="159">
        <f>PJM_01212000!X22</f>
        <v>0.19</v>
      </c>
      <c r="E22" s="159">
        <f>VLOOKUP(B22,'Revenues &amp; Expenses'!$K$8:$N$258,2)</f>
        <v>6.7843658533167012E-2</v>
      </c>
      <c r="F22" s="236">
        <f>VLOOKUP(B22,'Revenues &amp; Expenses'!$K$8:$N$246,4)</f>
        <v>0.92327832077127103</v>
      </c>
      <c r="G22" s="220">
        <f t="shared" si="0"/>
        <v>1.0759753593429158</v>
      </c>
      <c r="H22" s="220">
        <f t="shared" si="1"/>
        <v>1.0372923210662055</v>
      </c>
      <c r="I22" s="220">
        <f t="shared" si="2"/>
        <v>0</v>
      </c>
      <c r="J22" s="237">
        <f t="shared" si="3"/>
        <v>25.575000762939453</v>
      </c>
      <c r="L22" s="555"/>
      <c r="M22" s="555"/>
    </row>
    <row r="23" spans="2:13">
      <c r="B23" s="234">
        <f>'Revenues &amp; Expenses'!K23</f>
        <v>37012</v>
      </c>
      <c r="C23" s="235">
        <f>PJM_01212000!C52</f>
        <v>30.875</v>
      </c>
      <c r="D23" s="159">
        <f>PJM_01212000!X23</f>
        <v>0.21</v>
      </c>
      <c r="E23" s="159">
        <f>VLOOKUP(B23,'Revenues &amp; Expenses'!$K$8:$N$258,2)</f>
        <v>6.8169636069557019E-2</v>
      </c>
      <c r="F23" s="236">
        <f>VLOOKUP(B23,'Revenues &amp; Expenses'!$K$8:$N$246,4)</f>
        <v>0.91786259522657809</v>
      </c>
      <c r="G23" s="220">
        <f t="shared" si="0"/>
        <v>1.1581108829568789</v>
      </c>
      <c r="H23" s="220">
        <f t="shared" si="1"/>
        <v>1.0761556035057751</v>
      </c>
      <c r="I23" s="220">
        <f t="shared" si="2"/>
        <v>0</v>
      </c>
      <c r="J23" s="237">
        <f t="shared" si="3"/>
        <v>30.875</v>
      </c>
      <c r="L23" s="555"/>
      <c r="M23" s="555"/>
    </row>
    <row r="24" spans="2:13">
      <c r="B24" s="234">
        <f>'Revenues &amp; Expenses'!K24</f>
        <v>37043</v>
      </c>
      <c r="C24" s="235">
        <f>PJM_01212000!C53</f>
        <v>55.349998474121094</v>
      </c>
      <c r="D24" s="159">
        <f>PJM_01212000!X24</f>
        <v>0.27</v>
      </c>
      <c r="E24" s="159">
        <f>VLOOKUP(B24,'Revenues &amp; Expenses'!$K$8:$N$258,2)</f>
        <v>6.8506479560772007E-2</v>
      </c>
      <c r="F24" s="236">
        <f>VLOOKUP(B24,'Revenues &amp; Expenses'!$K$8:$N$246,4)</f>
        <v>0.91225014842576224</v>
      </c>
      <c r="G24" s="220">
        <f t="shared" si="0"/>
        <v>1.2429842573579739</v>
      </c>
      <c r="H24" s="220">
        <f t="shared" si="1"/>
        <v>1.1148920384315129</v>
      </c>
      <c r="I24" s="220">
        <f t="shared" si="2"/>
        <v>0</v>
      </c>
      <c r="J24" s="237">
        <f t="shared" si="3"/>
        <v>55.349998474121094</v>
      </c>
      <c r="L24" s="555"/>
      <c r="M24" s="555"/>
    </row>
    <row r="25" spans="2:13">
      <c r="B25" s="234">
        <f>'Revenues &amp; Expenses'!K25</f>
        <v>37073</v>
      </c>
      <c r="C25" s="235">
        <f>PJM_01212000!C54</f>
        <v>96.699996948242188</v>
      </c>
      <c r="D25" s="159">
        <f>PJM_01212000!X25</f>
        <v>0.33</v>
      </c>
      <c r="E25" s="159">
        <f>VLOOKUP(B25,'Revenues &amp; Expenses'!$K$8:$N$258,2)</f>
        <v>6.8813575700040999E-2</v>
      </c>
      <c r="F25" s="236">
        <f>VLOOKUP(B25,'Revenues &amp; Expenses'!$K$8:$N$246,4)</f>
        <v>0.906827682607942</v>
      </c>
      <c r="G25" s="220">
        <f t="shared" si="0"/>
        <v>1.3251197809719371</v>
      </c>
      <c r="H25" s="220">
        <f t="shared" si="1"/>
        <v>1.1511384716757307</v>
      </c>
      <c r="I25" s="220">
        <f t="shared" si="2"/>
        <v>0</v>
      </c>
      <c r="J25" s="237">
        <f t="shared" si="3"/>
        <v>96.699996948242188</v>
      </c>
      <c r="L25" s="555"/>
      <c r="M25" s="555"/>
    </row>
    <row r="26" spans="2:13">
      <c r="B26" s="234">
        <f>'Revenues &amp; Expenses'!K26</f>
        <v>37104</v>
      </c>
      <c r="C26" s="235">
        <f>PJM_01212000!C55</f>
        <v>83.699996948242188</v>
      </c>
      <c r="D26" s="159">
        <f>PJM_01212000!X26</f>
        <v>0.33</v>
      </c>
      <c r="E26" s="159">
        <f>VLOOKUP(B26,'Revenues &amp; Expenses'!$K$8:$N$258,2)</f>
        <v>6.9095201423199012E-2</v>
      </c>
      <c r="F26" s="236">
        <f>VLOOKUP(B26,'Revenues &amp; Expenses'!$K$8:$N$246,4)</f>
        <v>0.90125981831432833</v>
      </c>
      <c r="G26" s="220">
        <f t="shared" si="0"/>
        <v>1.4099931553730323</v>
      </c>
      <c r="H26" s="220">
        <f t="shared" si="1"/>
        <v>1.187431326592419</v>
      </c>
      <c r="I26" s="220">
        <f t="shared" si="2"/>
        <v>0</v>
      </c>
      <c r="J26" s="237">
        <f t="shared" si="3"/>
        <v>83.699996948242188</v>
      </c>
      <c r="L26" s="555"/>
      <c r="M26" s="555"/>
    </row>
    <row r="27" spans="2:13">
      <c r="B27" s="234">
        <f>'Revenues &amp; Expenses'!K27</f>
        <v>37135</v>
      </c>
      <c r="C27" s="235">
        <f>PJM_01212000!C56</f>
        <v>32.724998474121094</v>
      </c>
      <c r="D27" s="159">
        <f>PJM_01212000!X27</f>
        <v>0.2</v>
      </c>
      <c r="E27" s="159">
        <f>VLOOKUP(B27,'Revenues &amp; Expenses'!$K$8:$N$258,2)</f>
        <v>6.9376827172596037E-2</v>
      </c>
      <c r="F27" s="236">
        <f>VLOOKUP(B27,'Revenues &amp; Expenses'!$K$8:$N$246,4)</f>
        <v>0.89568480176588539</v>
      </c>
      <c r="G27" s="220">
        <f t="shared" si="0"/>
        <v>1.4948665297741273</v>
      </c>
      <c r="H27" s="220">
        <f t="shared" si="1"/>
        <v>1.2226473448113022</v>
      </c>
      <c r="I27" s="220">
        <f t="shared" si="2"/>
        <v>0</v>
      </c>
      <c r="J27" s="237">
        <f t="shared" si="3"/>
        <v>32.724998474121094</v>
      </c>
      <c r="L27" s="555"/>
      <c r="M27" s="555"/>
    </row>
    <row r="28" spans="2:13">
      <c r="B28" s="234">
        <f>'Revenues &amp; Expenses'!K28</f>
        <v>37165</v>
      </c>
      <c r="C28" s="235">
        <f>PJM_01212000!C57</f>
        <v>26.225000381469727</v>
      </c>
      <c r="D28" s="159">
        <f>PJM_01212000!X28</f>
        <v>0.15</v>
      </c>
      <c r="E28" s="159">
        <f>VLOOKUP(B28,'Revenues &amp; Expenses'!$K$8:$N$258,2)</f>
        <v>6.9627293262601017E-2</v>
      </c>
      <c r="F28" s="236">
        <f>VLOOKUP(B28,'Revenues &amp; Expenses'!$K$8:$N$246,4)</f>
        <v>0.89031558573007474</v>
      </c>
      <c r="G28" s="220">
        <f t="shared" si="0"/>
        <v>1.5770020533880904</v>
      </c>
      <c r="H28" s="220">
        <f t="shared" si="1"/>
        <v>1.2557874236462516</v>
      </c>
      <c r="I28" s="220">
        <f t="shared" si="2"/>
        <v>0</v>
      </c>
      <c r="J28" s="237">
        <f t="shared" si="3"/>
        <v>26.225000381469727</v>
      </c>
      <c r="L28" s="555"/>
      <c r="M28" s="555"/>
    </row>
    <row r="29" spans="2:13">
      <c r="B29" s="234">
        <f>'Revenues &amp; Expenses'!K29</f>
        <v>37196</v>
      </c>
      <c r="C29" s="235">
        <f>PJM_01212000!C58</f>
        <v>25.897499084472656</v>
      </c>
      <c r="D29" s="159">
        <f>PJM_01212000!X29</f>
        <v>0.15</v>
      </c>
      <c r="E29" s="159">
        <f>VLOOKUP(B29,'Revenues &amp; Expenses'!$K$8:$N$258,2)</f>
        <v>6.9849822771288012E-2</v>
      </c>
      <c r="F29" s="236">
        <f>VLOOKUP(B29,'Revenues &amp; Expenses'!$K$8:$N$246,4)</f>
        <v>0.88481958609445999</v>
      </c>
      <c r="G29" s="220">
        <f t="shared" si="0"/>
        <v>1.6618754277891854</v>
      </c>
      <c r="H29" s="220">
        <f t="shared" si="1"/>
        <v>1.2891374743560848</v>
      </c>
      <c r="I29" s="220">
        <f t="shared" si="2"/>
        <v>0</v>
      </c>
      <c r="J29" s="237">
        <f t="shared" si="3"/>
        <v>25.897499084472656</v>
      </c>
      <c r="L29" s="555"/>
      <c r="M29" s="555"/>
    </row>
    <row r="30" spans="2:13">
      <c r="B30" s="234">
        <f>'Revenues &amp; Expenses'!K30</f>
        <v>37226</v>
      </c>
      <c r="C30" s="235">
        <f>PJM_01212000!C59</f>
        <v>27.649999618530273</v>
      </c>
      <c r="D30" s="159">
        <f>PJM_01212000!X30</f>
        <v>0.15</v>
      </c>
      <c r="E30" s="159">
        <f>VLOOKUP(B30,'Revenues &amp; Expenses'!$K$8:$N$258,2)</f>
        <v>7.0065173924320018E-2</v>
      </c>
      <c r="F30" s="236">
        <f>VLOOKUP(B30,'Revenues &amp; Expenses'!$K$8:$N$246,4)</f>
        <v>0.87950265178452391</v>
      </c>
      <c r="G30" s="220">
        <f t="shared" si="0"/>
        <v>1.7440109514031485</v>
      </c>
      <c r="H30" s="220">
        <f t="shared" si="1"/>
        <v>1.3206100678864858</v>
      </c>
      <c r="I30" s="220">
        <f t="shared" si="2"/>
        <v>0</v>
      </c>
      <c r="J30" s="237">
        <f t="shared" si="3"/>
        <v>27.649999618530273</v>
      </c>
      <c r="L30" s="555"/>
      <c r="M30" s="555"/>
    </row>
    <row r="31" spans="2:13">
      <c r="B31" s="234">
        <f>'Revenues &amp; Expenses'!K31</f>
        <v>37257</v>
      </c>
      <c r="C31" s="235">
        <f>PJM_01212000!C60</f>
        <v>35.774998474121091</v>
      </c>
      <c r="D31" s="159">
        <f>PJM_01212000!X31</f>
        <v>0.19799999999999998</v>
      </c>
      <c r="E31" s="159">
        <f>VLOOKUP(B31,'Revenues &amp; Expenses'!$K$8:$N$258,2)</f>
        <v>7.027646029862801E-2</v>
      </c>
      <c r="F31" s="236">
        <f>VLOOKUP(B31,'Revenues &amp; Expenses'!$K$8:$N$246,4)</f>
        <v>0.87402920842405774</v>
      </c>
      <c r="G31" s="220">
        <f t="shared" si="0"/>
        <v>1.8288843258042438</v>
      </c>
      <c r="H31" s="220">
        <f t="shared" si="1"/>
        <v>1.3523624979288074</v>
      </c>
      <c r="I31" s="220">
        <f t="shared" si="2"/>
        <v>0</v>
      </c>
      <c r="J31" s="237">
        <f t="shared" si="3"/>
        <v>35.774998474121091</v>
      </c>
      <c r="L31" s="555"/>
      <c r="M31" s="555"/>
    </row>
    <row r="32" spans="2:13">
      <c r="B32" s="234">
        <f>'Revenues &amp; Expenses'!K32</f>
        <v>37288</v>
      </c>
      <c r="C32" s="235">
        <f>PJM_01212000!C61</f>
        <v>35.774998474121091</v>
      </c>
      <c r="D32" s="159">
        <f>PJM_01212000!X32</f>
        <v>0.19799999999999998</v>
      </c>
      <c r="E32" s="159">
        <f>VLOOKUP(B32,'Revenues &amp; Expenses'!$K$8:$N$258,2)</f>
        <v>7.0472179225230025E-2</v>
      </c>
      <c r="F32" s="236">
        <f>VLOOKUP(B32,'Revenues &amp; Expenses'!$K$8:$N$246,4)</f>
        <v>0.86858633867014401</v>
      </c>
      <c r="G32" s="220">
        <f t="shared" si="0"/>
        <v>1.9137577002053388</v>
      </c>
      <c r="H32" s="220">
        <f t="shared" si="1"/>
        <v>1.3833863163286453</v>
      </c>
      <c r="I32" s="220">
        <f t="shared" si="2"/>
        <v>0</v>
      </c>
      <c r="J32" s="237">
        <f t="shared" si="3"/>
        <v>35.774998474121091</v>
      </c>
      <c r="L32" s="555"/>
      <c r="M32" s="555"/>
    </row>
    <row r="33" spans="2:13">
      <c r="B33" s="234">
        <f>'Revenues &amp; Expenses'!K33</f>
        <v>37316</v>
      </c>
      <c r="C33" s="235">
        <f>PJM_01212000!C62</f>
        <v>25.875000762939454</v>
      </c>
      <c r="D33" s="159">
        <f>PJM_01212000!X33</f>
        <v>0.16500000000000001</v>
      </c>
      <c r="E33" s="159">
        <f>VLOOKUP(B33,'Revenues &amp; Expenses'!$K$8:$N$258,2)</f>
        <v>7.0648957621433001E-2</v>
      </c>
      <c r="F33" s="236">
        <f>VLOOKUP(B33,'Revenues &amp; Expenses'!$K$8:$N$246,4)</f>
        <v>0.86367554042081496</v>
      </c>
      <c r="G33" s="220">
        <f t="shared" si="0"/>
        <v>1.9904175222450375</v>
      </c>
      <c r="H33" s="220">
        <f t="shared" si="1"/>
        <v>1.4108215770412067</v>
      </c>
      <c r="I33" s="220">
        <f t="shared" si="2"/>
        <v>0</v>
      </c>
      <c r="J33" s="237">
        <f t="shared" si="3"/>
        <v>25.875000762939454</v>
      </c>
      <c r="L33" s="555"/>
      <c r="M33" s="555"/>
    </row>
    <row r="34" spans="2:13">
      <c r="B34" s="234">
        <f>'Revenues &amp; Expenses'!K34</f>
        <v>37347</v>
      </c>
      <c r="C34" s="235">
        <f>PJM_01212000!C63</f>
        <v>25.775000762939452</v>
      </c>
      <c r="D34" s="159">
        <f>PJM_01212000!X34</f>
        <v>0.15675</v>
      </c>
      <c r="E34" s="159">
        <f>VLOOKUP(B34,'Revenues &amp; Expenses'!$K$8:$N$258,2)</f>
        <v>7.0820178359482025E-2</v>
      </c>
      <c r="F34" s="236">
        <f>VLOOKUP(B34,'Revenues &amp; Expenses'!$K$8:$N$246,4)</f>
        <v>0.85828937638611991</v>
      </c>
      <c r="G34" s="220">
        <f t="shared" si="0"/>
        <v>2.0752908966461328</v>
      </c>
      <c r="H34" s="220">
        <f t="shared" si="1"/>
        <v>1.4405869972501253</v>
      </c>
      <c r="I34" s="220">
        <f t="shared" si="2"/>
        <v>0</v>
      </c>
      <c r="J34" s="237">
        <f t="shared" si="3"/>
        <v>25.775000762939452</v>
      </c>
      <c r="L34" s="555"/>
      <c r="M34" s="555"/>
    </row>
    <row r="35" spans="2:13">
      <c r="B35" s="234">
        <f>'Revenues &amp; Expenses'!K35</f>
        <v>37377</v>
      </c>
      <c r="C35" s="235">
        <f>PJM_01212000!C64</f>
        <v>30.875</v>
      </c>
      <c r="D35" s="159">
        <f>PJM_01212000!X35</f>
        <v>0.17324999999999999</v>
      </c>
      <c r="E35" s="159">
        <f>VLOOKUP(B35,'Revenues &amp; Expenses'!$K$8:$N$258,2)</f>
        <v>7.0949708337774017E-2</v>
      </c>
      <c r="F35" s="236">
        <f>VLOOKUP(B35,'Revenues &amp; Expenses'!$K$8:$N$246,4)</f>
        <v>0.8531540441198241</v>
      </c>
      <c r="G35" s="220">
        <f t="shared" si="0"/>
        <v>2.1574264202600957</v>
      </c>
      <c r="H35" s="220">
        <f t="shared" si="1"/>
        <v>1.4688180351085343</v>
      </c>
      <c r="I35" s="220">
        <f t="shared" si="2"/>
        <v>0</v>
      </c>
      <c r="J35" s="237">
        <f t="shared" si="3"/>
        <v>30.875</v>
      </c>
      <c r="L35" s="555"/>
      <c r="M35" s="555"/>
    </row>
    <row r="36" spans="2:13">
      <c r="B36" s="234">
        <f>'Revenues &amp; Expenses'!K36</f>
        <v>37408</v>
      </c>
      <c r="C36" s="235">
        <f>PJM_01212000!C65</f>
        <v>54.849998474121094</v>
      </c>
      <c r="D36" s="159">
        <f>PJM_01212000!X36</f>
        <v>0.22275</v>
      </c>
      <c r="E36" s="159">
        <f>VLOOKUP(B36,'Revenues &amp; Expenses'!$K$8:$N$258,2)</f>
        <v>7.1083555987836014E-2</v>
      </c>
      <c r="F36" s="236">
        <f>VLOOKUP(B36,'Revenues &amp; Expenses'!$K$8:$N$246,4)</f>
        <v>0.84786152325334441</v>
      </c>
      <c r="G36" s="220">
        <f t="shared" si="0"/>
        <v>2.2422997946611911</v>
      </c>
      <c r="H36" s="220">
        <f t="shared" si="1"/>
        <v>1.4974310650781861</v>
      </c>
      <c r="I36" s="220">
        <f t="shared" si="2"/>
        <v>0</v>
      </c>
      <c r="J36" s="237">
        <f t="shared" si="3"/>
        <v>54.849998474121094</v>
      </c>
      <c r="L36" s="555"/>
      <c r="M36" s="555"/>
    </row>
    <row r="37" spans="2:13">
      <c r="B37" s="234">
        <f>'Revenues &amp; Expenses'!K37</f>
        <v>37438</v>
      </c>
      <c r="C37" s="235">
        <f>PJM_01212000!C66</f>
        <v>94.699996948242188</v>
      </c>
      <c r="D37" s="159">
        <f>PJM_01212000!X37</f>
        <v>0.27224999999999999</v>
      </c>
      <c r="E37" s="159">
        <f>VLOOKUP(B37,'Revenues &amp; Expenses'!$K$8:$N$258,2)</f>
        <v>7.1203412357002005E-2</v>
      </c>
      <c r="F37" s="236">
        <f>VLOOKUP(B37,'Revenues &amp; Expenses'!$K$8:$N$246,4)</f>
        <v>0.84277264871995949</v>
      </c>
      <c r="G37" s="220">
        <f t="shared" si="0"/>
        <v>2.324435318275154</v>
      </c>
      <c r="H37" s="220">
        <f t="shared" si="1"/>
        <v>1.5246098905212291</v>
      </c>
      <c r="I37" s="220">
        <f t="shared" si="2"/>
        <v>0</v>
      </c>
      <c r="J37" s="237">
        <f t="shared" si="3"/>
        <v>94.699996948242188</v>
      </c>
      <c r="L37" s="555"/>
      <c r="M37" s="555"/>
    </row>
    <row r="38" spans="2:13">
      <c r="B38" s="234">
        <f>'Revenues &amp; Expenses'!K38</f>
        <v>37469</v>
      </c>
      <c r="C38" s="235">
        <f>PJM_01212000!C67</f>
        <v>81.699996948242188</v>
      </c>
      <c r="D38" s="159">
        <f>PJM_01212000!X38</f>
        <v>0.27224999999999999</v>
      </c>
      <c r="E38" s="159">
        <f>VLOOKUP(B38,'Revenues &amp; Expenses'!$K$8:$N$258,2)</f>
        <v>7.1311312147306002E-2</v>
      </c>
      <c r="F38" s="236">
        <f>VLOOKUP(B38,'Revenues &amp; Expenses'!$K$8:$N$246,4)</f>
        <v>0.83756215153463875</v>
      </c>
      <c r="G38" s="220">
        <f t="shared" si="0"/>
        <v>2.409308692676249</v>
      </c>
      <c r="H38" s="220">
        <f t="shared" si="1"/>
        <v>1.5521947985598485</v>
      </c>
      <c r="I38" s="220">
        <f t="shared" si="2"/>
        <v>0</v>
      </c>
      <c r="J38" s="237">
        <f t="shared" si="3"/>
        <v>81.699996948242188</v>
      </c>
      <c r="L38" s="555"/>
      <c r="M38" s="555"/>
    </row>
    <row r="39" spans="2:13">
      <c r="B39" s="234">
        <f>'Revenues &amp; Expenses'!K39</f>
        <v>37500</v>
      </c>
      <c r="C39" s="235">
        <f>PJM_01212000!C68</f>
        <v>32.824998474121095</v>
      </c>
      <c r="D39" s="159">
        <f>PJM_01212000!X39</f>
        <v>0.17499999999999999</v>
      </c>
      <c r="E39" s="159">
        <f>VLOOKUP(B39,'Revenues &amp; Expenses'!$K$8:$N$258,2)</f>
        <v>7.1419211941457006E-2</v>
      </c>
      <c r="F39" s="236">
        <f>VLOOKUP(B39,'Revenues &amp; Expenses'!$K$8:$N$246,4)</f>
        <v>0.83236915937661771</v>
      </c>
      <c r="G39" s="220">
        <f t="shared" si="0"/>
        <v>2.4941820670773445</v>
      </c>
      <c r="H39" s="220">
        <f t="shared" si="1"/>
        <v>1.5792979665273252</v>
      </c>
      <c r="I39" s="220">
        <f t="shared" si="2"/>
        <v>0</v>
      </c>
      <c r="J39" s="237">
        <f t="shared" si="3"/>
        <v>32.824998474121095</v>
      </c>
      <c r="L39" s="555"/>
      <c r="M39" s="555"/>
    </row>
    <row r="40" spans="2:13">
      <c r="B40" s="234">
        <f>'Revenues &amp; Expenses'!K40</f>
        <v>37530</v>
      </c>
      <c r="C40" s="235">
        <f>PJM_01212000!C69</f>
        <v>26.475000381469727</v>
      </c>
      <c r="D40" s="159">
        <f>PJM_01212000!X40</f>
        <v>0.12375</v>
      </c>
      <c r="E40" s="159">
        <f>VLOOKUP(B40,'Revenues &amp; Expenses'!$K$8:$N$258,2)</f>
        <v>7.1515306365121017E-2</v>
      </c>
      <c r="F40" s="236">
        <f>VLOOKUP(B40,'Revenues &amp; Expenses'!$K$8:$N$246,4)</f>
        <v>0.82737835456571951</v>
      </c>
      <c r="G40" s="220">
        <f t="shared" si="0"/>
        <v>2.5763175906913074</v>
      </c>
      <c r="H40" s="220">
        <f t="shared" si="1"/>
        <v>1.6050911471599696</v>
      </c>
      <c r="I40" s="220">
        <f t="shared" si="2"/>
        <v>0</v>
      </c>
      <c r="J40" s="237">
        <f t="shared" si="3"/>
        <v>26.475000381469727</v>
      </c>
      <c r="L40" s="555"/>
      <c r="M40" s="555"/>
    </row>
    <row r="41" spans="2:13">
      <c r="B41" s="234">
        <f>'Revenues &amp; Expenses'!K41</f>
        <v>37561</v>
      </c>
      <c r="C41" s="235">
        <f>PJM_01212000!C70</f>
        <v>26.147499084472656</v>
      </c>
      <c r="D41" s="159">
        <f>PJM_01212000!X41</f>
        <v>0.12375</v>
      </c>
      <c r="E41" s="159">
        <f>VLOOKUP(B41,'Revenues &amp; Expenses'!$K$8:$N$258,2)</f>
        <v>7.1602640768726022E-2</v>
      </c>
      <c r="F41" s="236">
        <f>VLOOKUP(B41,'Revenues &amp; Expenses'!$K$8:$N$246,4)</f>
        <v>0.82226588634790743</v>
      </c>
      <c r="G41" s="220">
        <f t="shared" si="0"/>
        <v>2.6611909650924024</v>
      </c>
      <c r="H41" s="220">
        <f t="shared" si="1"/>
        <v>1.6313157159459974</v>
      </c>
      <c r="I41" s="220">
        <f t="shared" si="2"/>
        <v>0</v>
      </c>
      <c r="J41" s="237">
        <f t="shared" si="3"/>
        <v>26.147499084472656</v>
      </c>
      <c r="L41" s="555"/>
      <c r="M41" s="555"/>
    </row>
    <row r="42" spans="2:13">
      <c r="B42" s="234">
        <f>'Revenues &amp; Expenses'!K42</f>
        <v>37591</v>
      </c>
      <c r="C42" s="235">
        <f>PJM_01212000!C71</f>
        <v>27.899999618530273</v>
      </c>
      <c r="D42" s="159">
        <f>PJM_01212000!X42</f>
        <v>0.12375</v>
      </c>
      <c r="E42" s="159">
        <f>VLOOKUP(B42,'Revenues &amp; Expenses'!$K$8:$N$258,2)</f>
        <v>7.1687157935905008E-2</v>
      </c>
      <c r="F42" s="236">
        <f>VLOOKUP(B42,'Revenues &amp; Expenses'!$K$8:$N$246,4)</f>
        <v>0.81733728641604919</v>
      </c>
      <c r="G42" s="220">
        <f t="shared" si="0"/>
        <v>2.7433264887063653</v>
      </c>
      <c r="H42" s="220">
        <f t="shared" si="1"/>
        <v>1.6562990336006254</v>
      </c>
      <c r="I42" s="220">
        <f t="shared" si="2"/>
        <v>0</v>
      </c>
      <c r="J42" s="237">
        <f t="shared" si="3"/>
        <v>27.899999618530273</v>
      </c>
      <c r="L42" s="555"/>
      <c r="M42" s="555"/>
    </row>
    <row r="43" spans="2:13">
      <c r="B43" s="234">
        <f>'Revenues &amp; Expenses'!K43</f>
        <v>37622</v>
      </c>
      <c r="C43" s="235">
        <f>PJM_01212000!C72</f>
        <v>36.324998474121088</v>
      </c>
      <c r="D43" s="159">
        <f>PJM_01212000!X43</f>
        <v>0.18611999999999998</v>
      </c>
      <c r="E43" s="159">
        <f>VLOOKUP(B43,'Revenues &amp; Expenses'!$K$8:$N$258,2)</f>
        <v>7.1774577695173022E-2</v>
      </c>
      <c r="F43" s="236">
        <f>VLOOKUP(B43,'Revenues &amp; Expenses'!$K$8:$N$246,4)</f>
        <v>0.81226380619908445</v>
      </c>
      <c r="G43" s="220">
        <f t="shared" si="0"/>
        <v>2.8281998631074607</v>
      </c>
      <c r="H43" s="220">
        <f t="shared" si="1"/>
        <v>1.6817252638607356</v>
      </c>
      <c r="I43" s="220">
        <f t="shared" si="2"/>
        <v>0</v>
      </c>
      <c r="J43" s="237">
        <f t="shared" si="3"/>
        <v>36.324998474121088</v>
      </c>
      <c r="L43" s="555"/>
      <c r="M43" s="555"/>
    </row>
    <row r="44" spans="2:13">
      <c r="B44" s="234">
        <f>'Revenues &amp; Expenses'!K44</f>
        <v>37653</v>
      </c>
      <c r="C44" s="235">
        <f>PJM_01212000!C73</f>
        <v>36.324998474121088</v>
      </c>
      <c r="D44" s="159">
        <f>PJM_01212000!X44</f>
        <v>0.18611999999999998</v>
      </c>
      <c r="E44" s="159">
        <f>VLOOKUP(B44,'Revenues &amp; Expenses'!$K$8:$N$258,2)</f>
        <v>7.1862101097110012E-2</v>
      </c>
      <c r="F44" s="236">
        <f>VLOOKUP(B44,'Revenues &amp; Expenses'!$K$8:$N$246,4)</f>
        <v>0.80721001874908904</v>
      </c>
      <c r="G44" s="220">
        <f t="shared" si="0"/>
        <v>2.9130732375085557</v>
      </c>
      <c r="H44" s="220">
        <f t="shared" si="1"/>
        <v>1.706772755087377</v>
      </c>
      <c r="I44" s="220">
        <f t="shared" si="2"/>
        <v>0</v>
      </c>
      <c r="J44" s="237">
        <f t="shared" si="3"/>
        <v>36.324998474121088</v>
      </c>
      <c r="L44" s="555"/>
      <c r="M44" s="555"/>
    </row>
    <row r="45" spans="2:13">
      <c r="B45" s="234">
        <f>'Revenues &amp; Expenses'!K45</f>
        <v>37681</v>
      </c>
      <c r="C45" s="235">
        <f>PJM_01212000!C74</f>
        <v>26.200000762939453</v>
      </c>
      <c r="D45" s="159">
        <f>PJM_01212000!X45</f>
        <v>0.15509999999999999</v>
      </c>
      <c r="E45" s="159">
        <f>VLOOKUP(B45,'Revenues &amp; Expenses'!$K$8:$N$258,2)</f>
        <v>7.1941154494584006E-2</v>
      </c>
      <c r="F45" s="236">
        <f>VLOOKUP(B45,'Revenues &amp; Expenses'!$K$8:$N$246,4)</f>
        <v>0.80266245276593362</v>
      </c>
      <c r="G45" s="220">
        <f t="shared" si="0"/>
        <v>2.9897330595482545</v>
      </c>
      <c r="H45" s="220">
        <f t="shared" si="1"/>
        <v>1.7290844570315975</v>
      </c>
      <c r="I45" s="220">
        <f t="shared" si="2"/>
        <v>0</v>
      </c>
      <c r="J45" s="237">
        <f t="shared" si="3"/>
        <v>26.200000762939453</v>
      </c>
      <c r="L45" s="555"/>
      <c r="M45" s="555"/>
    </row>
    <row r="46" spans="2:13">
      <c r="B46" s="234">
        <f>'Revenues &amp; Expenses'!K46</f>
        <v>37712</v>
      </c>
      <c r="C46" s="235">
        <f>PJM_01212000!C75</f>
        <v>25.975000762939452</v>
      </c>
      <c r="D46" s="159">
        <f>PJM_01212000!X46</f>
        <v>0.147345</v>
      </c>
      <c r="E46" s="159">
        <f>VLOOKUP(B46,'Revenues &amp; Expenses'!$K$8:$N$258,2)</f>
        <v>7.2017864961397005E-2</v>
      </c>
      <c r="F46" s="236">
        <f>VLOOKUP(B46,'Revenues &amp; Expenses'!$K$8:$N$246,4)</f>
        <v>0.79767324817740448</v>
      </c>
      <c r="G46" s="220">
        <f t="shared" si="0"/>
        <v>3.07460643394935</v>
      </c>
      <c r="H46" s="220">
        <f t="shared" si="1"/>
        <v>1.7534555694255129</v>
      </c>
      <c r="I46" s="220">
        <f t="shared" si="2"/>
        <v>0</v>
      </c>
      <c r="J46" s="237">
        <f t="shared" si="3"/>
        <v>25.975000762939452</v>
      </c>
      <c r="L46" s="555"/>
      <c r="M46" s="555"/>
    </row>
    <row r="47" spans="2:13">
      <c r="B47" s="234">
        <f>'Revenues &amp; Expenses'!K47</f>
        <v>37742</v>
      </c>
      <c r="C47" s="235">
        <f>PJM_01212000!C76</f>
        <v>30.975000000000001</v>
      </c>
      <c r="D47" s="159">
        <f>PJM_01212000!X47</f>
        <v>0.16285499999999997</v>
      </c>
      <c r="E47" s="159">
        <f>VLOOKUP(B47,'Revenues &amp; Expenses'!$K$8:$N$258,2)</f>
        <v>7.2077719331942E-2</v>
      </c>
      <c r="F47" s="236">
        <f>VLOOKUP(B47,'Revenues &amp; Expenses'!$K$8:$N$246,4)</f>
        <v>0.79290110304987704</v>
      </c>
      <c r="G47" s="220">
        <f t="shared" si="0"/>
        <v>3.1567419575633129</v>
      </c>
      <c r="H47" s="220">
        <f t="shared" si="1"/>
        <v>1.7767222511026626</v>
      </c>
      <c r="I47" s="220">
        <f t="shared" si="2"/>
        <v>0</v>
      </c>
      <c r="J47" s="237">
        <f t="shared" si="3"/>
        <v>30.975000000000001</v>
      </c>
      <c r="L47" s="555"/>
      <c r="M47" s="555"/>
    </row>
    <row r="48" spans="2:13">
      <c r="B48" s="234">
        <f>'Revenues &amp; Expenses'!K48</f>
        <v>37773</v>
      </c>
      <c r="C48" s="235">
        <f>PJM_01212000!C77</f>
        <v>55.099998474121094</v>
      </c>
      <c r="D48" s="159">
        <f>PJM_01212000!X48</f>
        <v>0.20938499999999999</v>
      </c>
      <c r="E48" s="159">
        <f>VLOOKUP(B48,'Revenues &amp; Expenses'!$K$8:$N$258,2)</f>
        <v>7.2139568849415026E-2</v>
      </c>
      <c r="F48" s="236">
        <f>VLOOKUP(B48,'Revenues &amp; Expenses'!$K$8:$N$246,4)</f>
        <v>0.78799202563955995</v>
      </c>
      <c r="G48" s="220">
        <f t="shared" si="0"/>
        <v>3.2416153319644079</v>
      </c>
      <c r="H48" s="220">
        <f t="shared" si="1"/>
        <v>1.8004486474110857</v>
      </c>
      <c r="I48" s="220">
        <f t="shared" si="2"/>
        <v>0</v>
      </c>
      <c r="J48" s="237">
        <f t="shared" si="3"/>
        <v>55.099998474121094</v>
      </c>
      <c r="L48" s="555"/>
      <c r="M48" s="555"/>
    </row>
    <row r="49" spans="2:13">
      <c r="B49" s="234">
        <f>'Revenues &amp; Expenses'!K49</f>
        <v>37803</v>
      </c>
      <c r="C49" s="235">
        <f>PJM_01212000!C78</f>
        <v>94.199996948242188</v>
      </c>
      <c r="D49" s="159">
        <f>PJM_01212000!X49</f>
        <v>0.255915</v>
      </c>
      <c r="E49" s="159">
        <f>VLOOKUP(B49,'Revenues &amp; Expenses'!$K$8:$N$258,2)</f>
        <v>7.2196593496435008E-2</v>
      </c>
      <c r="F49" s="236">
        <f>VLOOKUP(B49,'Revenues &amp; Expenses'!$K$8:$N$246,4)</f>
        <v>0.7832700613907857</v>
      </c>
      <c r="G49" s="220">
        <f t="shared" si="0"/>
        <v>3.3237508555783708</v>
      </c>
      <c r="H49" s="220">
        <f t="shared" si="1"/>
        <v>1.8231156999977733</v>
      </c>
      <c r="I49" s="220">
        <f t="shared" si="2"/>
        <v>0</v>
      </c>
      <c r="J49" s="237">
        <f t="shared" si="3"/>
        <v>94.199996948242188</v>
      </c>
      <c r="L49" s="555"/>
      <c r="M49" s="555"/>
    </row>
    <row r="50" spans="2:13">
      <c r="B50" s="234">
        <f>'Revenues &amp; Expenses'!K50</f>
        <v>37834</v>
      </c>
      <c r="C50" s="235">
        <f>PJM_01212000!C79</f>
        <v>81.199996948242188</v>
      </c>
      <c r="D50" s="159">
        <f>PJM_01212000!X50</f>
        <v>0.255915</v>
      </c>
      <c r="E50" s="159">
        <f>VLOOKUP(B50,'Revenues &amp; Expenses'!$K$8:$N$258,2)</f>
        <v>7.2251448163748011E-2</v>
      </c>
      <c r="F50" s="236">
        <f>VLOOKUP(B50,'Revenues &amp; Expenses'!$K$8:$N$246,4)</f>
        <v>0.77842382649130337</v>
      </c>
      <c r="G50" s="220">
        <f t="shared" si="0"/>
        <v>3.4086242299794662</v>
      </c>
      <c r="H50" s="220">
        <f t="shared" si="1"/>
        <v>1.8462459830638673</v>
      </c>
      <c r="I50" s="220">
        <f t="shared" si="2"/>
        <v>0</v>
      </c>
      <c r="J50" s="237">
        <f t="shared" si="3"/>
        <v>81.199996948242188</v>
      </c>
      <c r="L50" s="555"/>
      <c r="M50" s="555"/>
    </row>
    <row r="51" spans="2:13">
      <c r="B51" s="234">
        <f>'Revenues &amp; Expenses'!K51</f>
        <v>37865</v>
      </c>
      <c r="C51" s="235">
        <f>PJM_01212000!C80</f>
        <v>33.074998474121095</v>
      </c>
      <c r="D51" s="159">
        <f>PJM_01212000!X51</f>
        <v>0.16449999999999998</v>
      </c>
      <c r="E51" s="159">
        <f>VLOOKUP(B51,'Revenues &amp; Expenses'!$K$8:$N$258,2)</f>
        <v>7.2306302832055996E-2</v>
      </c>
      <c r="F51" s="236">
        <f>VLOOKUP(B51,'Revenues &amp; Expenses'!$K$8:$N$246,4)</f>
        <v>0.77360062776988048</v>
      </c>
      <c r="G51" s="220">
        <f t="shared" si="0"/>
        <v>3.4934976043805612</v>
      </c>
      <c r="H51" s="220">
        <f t="shared" si="1"/>
        <v>1.8690900471567873</v>
      </c>
      <c r="I51" s="220">
        <f t="shared" si="2"/>
        <v>0</v>
      </c>
      <c r="J51" s="237">
        <f t="shared" si="3"/>
        <v>33.074998474121095</v>
      </c>
      <c r="L51" s="555"/>
      <c r="M51" s="555"/>
    </row>
    <row r="52" spans="2:13">
      <c r="B52" s="234">
        <f>'Revenues &amp; Expenses'!K52</f>
        <v>37895</v>
      </c>
      <c r="C52" s="235">
        <f>PJM_01212000!C81</f>
        <v>26.725000381469727</v>
      </c>
      <c r="D52" s="159">
        <f>PJM_01212000!X52</f>
        <v>0.11632499999999998</v>
      </c>
      <c r="E52" s="159">
        <f>VLOOKUP(B52,'Revenues &amp; Expenses'!$K$8:$N$258,2)</f>
        <v>7.2356619918754014E-2</v>
      </c>
      <c r="F52" s="236">
        <f>VLOOKUP(B52,'Revenues &amp; Expenses'!$K$8:$N$246,4)</f>
        <v>0.76896248937747591</v>
      </c>
      <c r="G52" s="220">
        <f t="shared" si="0"/>
        <v>3.5756331279945242</v>
      </c>
      <c r="H52" s="220">
        <f t="shared" si="1"/>
        <v>1.8909344589367776</v>
      </c>
      <c r="I52" s="220">
        <f t="shared" si="2"/>
        <v>0</v>
      </c>
      <c r="J52" s="237">
        <f t="shared" si="3"/>
        <v>26.725000381469727</v>
      </c>
      <c r="L52" s="555"/>
      <c r="M52" s="555"/>
    </row>
    <row r="53" spans="2:13">
      <c r="B53" s="234">
        <f>'Revenues &amp; Expenses'!K53</f>
        <v>37926</v>
      </c>
      <c r="C53" s="235">
        <f>PJM_01212000!C82</f>
        <v>26.397499084472656</v>
      </c>
      <c r="D53" s="159">
        <f>PJM_01212000!X53</f>
        <v>0.11632499999999998</v>
      </c>
      <c r="E53" s="159">
        <f>VLOOKUP(B53,'Revenues &amp; Expenses'!$K$8:$N$258,2)</f>
        <v>7.2405134672305027E-2</v>
      </c>
      <c r="F53" s="236">
        <f>VLOOKUP(B53,'Revenues &amp; Expenses'!$K$8:$N$246,4)</f>
        <v>0.76420226024836957</v>
      </c>
      <c r="G53" s="220">
        <f t="shared" si="0"/>
        <v>3.6605065023956196</v>
      </c>
      <c r="H53" s="220">
        <f t="shared" si="1"/>
        <v>1.9132450189130559</v>
      </c>
      <c r="I53" s="220">
        <f t="shared" si="2"/>
        <v>0</v>
      </c>
      <c r="J53" s="237">
        <f t="shared" si="3"/>
        <v>26.397499084472656</v>
      </c>
      <c r="L53" s="555"/>
      <c r="M53" s="555"/>
    </row>
    <row r="54" spans="2:13">
      <c r="B54" s="234">
        <f>'Revenues &amp; Expenses'!K54</f>
        <v>37956</v>
      </c>
      <c r="C54" s="235">
        <f>PJM_01212000!C83</f>
        <v>28.149999618530273</v>
      </c>
      <c r="D54" s="159">
        <f>PJM_01212000!X54</f>
        <v>0.11632499999999998</v>
      </c>
      <c r="E54" s="159">
        <f>VLOOKUP(B54,'Revenues &amp; Expenses'!$K$8:$N$258,2)</f>
        <v>7.2452084434547009E-2</v>
      </c>
      <c r="F54" s="236">
        <f>VLOOKUP(B54,'Revenues &amp; Expenses'!$K$8:$N$246,4)</f>
        <v>0.75961790110436567</v>
      </c>
      <c r="G54" s="220">
        <f t="shared" si="0"/>
        <v>3.7426420260095825</v>
      </c>
      <c r="H54" s="220">
        <f t="shared" si="1"/>
        <v>1.9345909195511031</v>
      </c>
      <c r="I54" s="220">
        <f t="shared" si="2"/>
        <v>0</v>
      </c>
      <c r="J54" s="237">
        <f t="shared" si="3"/>
        <v>28.149999618530273</v>
      </c>
      <c r="L54" s="555"/>
      <c r="M54" s="555"/>
    </row>
    <row r="55" spans="2:13">
      <c r="B55" s="234">
        <f>'Revenues &amp; Expenses'!K55</f>
        <v>37987</v>
      </c>
      <c r="C55" s="235">
        <f>PJM_01212000!C84</f>
        <v>36.824998474121088</v>
      </c>
      <c r="D55" s="159">
        <f>PJM_01212000!X55</f>
        <v>0.17867519999999998</v>
      </c>
      <c r="E55" s="159">
        <f>VLOOKUP(B55,'Revenues &amp; Expenses'!$K$8:$N$258,2)</f>
        <v>7.2504748875384023E-2</v>
      </c>
      <c r="F55" s="236">
        <f>VLOOKUP(B55,'Revenues &amp; Expenses'!$K$8:$N$246,4)</f>
        <v>0.75489178509530708</v>
      </c>
      <c r="G55" s="220">
        <f t="shared" si="0"/>
        <v>3.8275154004106775</v>
      </c>
      <c r="H55" s="220">
        <f t="shared" si="1"/>
        <v>1.9564036905533269</v>
      </c>
      <c r="I55" s="220">
        <f t="shared" si="2"/>
        <v>0</v>
      </c>
      <c r="J55" s="237">
        <f t="shared" si="3"/>
        <v>36.824998474121088</v>
      </c>
      <c r="L55" s="555"/>
      <c r="M55" s="555"/>
    </row>
    <row r="56" spans="2:13">
      <c r="B56" s="234">
        <f>'Revenues &amp; Expenses'!K56</f>
        <v>38018</v>
      </c>
      <c r="C56" s="235">
        <f>PJM_01212000!C85</f>
        <v>36.824998474121088</v>
      </c>
      <c r="D56" s="159">
        <f>PJM_01212000!X56</f>
        <v>0.17867519999999998</v>
      </c>
      <c r="E56" s="159">
        <f>VLOOKUP(B56,'Revenues &amp; Expenses'!$K$8:$N$258,2)</f>
        <v>7.2561839648691021E-2</v>
      </c>
      <c r="F56" s="236">
        <f>VLOOKUP(B56,'Revenues &amp; Expenses'!$K$8:$N$246,4)</f>
        <v>0.75017568309458926</v>
      </c>
      <c r="G56" s="220">
        <f t="shared" si="0"/>
        <v>3.9123887748117729</v>
      </c>
      <c r="H56" s="220">
        <f t="shared" si="1"/>
        <v>1.9779759287746079</v>
      </c>
      <c r="I56" s="220">
        <f t="shared" si="2"/>
        <v>0</v>
      </c>
      <c r="J56" s="237">
        <f t="shared" si="3"/>
        <v>36.824998474121088</v>
      </c>
      <c r="L56" s="555"/>
      <c r="M56" s="555"/>
    </row>
    <row r="57" spans="2:13">
      <c r="B57" s="234">
        <f>'Revenues &amp; Expenses'!K57</f>
        <v>38047</v>
      </c>
      <c r="C57" s="235">
        <f>PJM_01212000!C86</f>
        <v>26.550000762939455</v>
      </c>
      <c r="D57" s="159">
        <f>PJM_01212000!X57</f>
        <v>0.14889599999999997</v>
      </c>
      <c r="E57" s="159">
        <f>VLOOKUP(B57,'Revenues &amp; Expenses'!$K$8:$N$258,2)</f>
        <v>7.2615247147275006E-2</v>
      </c>
      <c r="F57" s="236">
        <f>VLOOKUP(B57,'Revenues &amp; Expenses'!$K$8:$N$246,4)</f>
        <v>0.74578421285638075</v>
      </c>
      <c r="G57" s="220">
        <f t="shared" si="0"/>
        <v>3.9917864476386038</v>
      </c>
      <c r="H57" s="220">
        <f t="shared" si="1"/>
        <v>1.9979455567253588</v>
      </c>
      <c r="I57" s="220">
        <f t="shared" si="2"/>
        <v>0</v>
      </c>
      <c r="J57" s="237">
        <f t="shared" si="3"/>
        <v>26.550000762939455</v>
      </c>
      <c r="L57" s="555"/>
      <c r="M57" s="555"/>
    </row>
    <row r="58" spans="2:13">
      <c r="B58" s="234">
        <f>'Revenues &amp; Expenses'!K58</f>
        <v>38078</v>
      </c>
      <c r="C58" s="235">
        <f>PJM_01212000!C87</f>
        <v>26.325000762939453</v>
      </c>
      <c r="D58" s="159">
        <f>PJM_01212000!X58</f>
        <v>0.1414512</v>
      </c>
      <c r="E58" s="159">
        <f>VLOOKUP(B58,'Revenues &amp; Expenses'!$K$8:$N$258,2)</f>
        <v>7.2673184464531013E-2</v>
      </c>
      <c r="F58" s="236">
        <f>VLOOKUP(B58,'Revenues &amp; Expenses'!$K$8:$N$246,4)</f>
        <v>0.74110906328764004</v>
      </c>
      <c r="G58" s="220">
        <f t="shared" si="0"/>
        <v>4.0766598220396988</v>
      </c>
      <c r="H58" s="220">
        <f t="shared" si="1"/>
        <v>2.0190740011301465</v>
      </c>
      <c r="I58" s="220">
        <f t="shared" si="2"/>
        <v>0</v>
      </c>
      <c r="J58" s="237">
        <f t="shared" si="3"/>
        <v>26.325000762939453</v>
      </c>
      <c r="L58" s="555"/>
      <c r="M58" s="555"/>
    </row>
    <row r="59" spans="2:13">
      <c r="B59" s="234">
        <f>'Revenues &amp; Expenses'!K59</f>
        <v>38108</v>
      </c>
      <c r="C59" s="235">
        <f>PJM_01212000!C88</f>
        <v>31.324999999999999</v>
      </c>
      <c r="D59" s="159">
        <f>PJM_01212000!X59</f>
        <v>0.15634079999999997</v>
      </c>
      <c r="E59" s="159">
        <f>VLOOKUP(B59,'Revenues &amp; Expenses'!$K$8:$N$258,2)</f>
        <v>7.2730126686808005E-2</v>
      </c>
      <c r="F59" s="236">
        <f>VLOOKUP(B59,'Revenues &amp; Expenses'!$K$8:$N$246,4)</f>
        <v>0.73660332252317651</v>
      </c>
      <c r="G59" s="220">
        <f t="shared" si="0"/>
        <v>4.1587953456536617</v>
      </c>
      <c r="H59" s="220">
        <f t="shared" si="1"/>
        <v>2.0393124688614206</v>
      </c>
      <c r="I59" s="220">
        <f t="shared" si="2"/>
        <v>0</v>
      </c>
      <c r="J59" s="237">
        <f t="shared" si="3"/>
        <v>31.324999999999999</v>
      </c>
      <c r="L59" s="555"/>
      <c r="M59" s="555"/>
    </row>
    <row r="60" spans="2:13">
      <c r="B60" s="234">
        <f>'Revenues &amp; Expenses'!K60</f>
        <v>38139</v>
      </c>
      <c r="C60" s="235">
        <f>PJM_01212000!C89</f>
        <v>55.599998474121094</v>
      </c>
      <c r="D60" s="159">
        <f>PJM_01212000!X60</f>
        <v>0.20100959999999998</v>
      </c>
      <c r="E60" s="159">
        <f>VLOOKUP(B60,'Revenues &amp; Expenses'!$K$8:$N$258,2)</f>
        <v>7.2788966984285011E-2</v>
      </c>
      <c r="F60" s="236">
        <f>VLOOKUP(B60,'Revenues &amp; Expenses'!$K$8:$N$246,4)</f>
        <v>0.73196923140271486</v>
      </c>
      <c r="G60" s="220">
        <f t="shared" si="0"/>
        <v>4.2436687200547567</v>
      </c>
      <c r="H60" s="220">
        <f t="shared" si="1"/>
        <v>2.0600166795574149</v>
      </c>
      <c r="I60" s="220">
        <f t="shared" si="2"/>
        <v>0</v>
      </c>
      <c r="J60" s="237">
        <f t="shared" si="3"/>
        <v>55.599998474121094</v>
      </c>
      <c r="L60" s="555"/>
      <c r="M60" s="555"/>
    </row>
    <row r="61" spans="2:13">
      <c r="B61" s="234">
        <f>'Revenues &amp; Expenses'!K61</f>
        <v>38169</v>
      </c>
      <c r="C61" s="235">
        <f>PJM_01212000!C90</f>
        <v>94.449996948242188</v>
      </c>
      <c r="D61" s="159">
        <f>PJM_01212000!X61</f>
        <v>0.24567839999999999</v>
      </c>
      <c r="E61" s="159">
        <f>VLOOKUP(B61,'Revenues &amp; Expenses'!$K$8:$N$258,2)</f>
        <v>7.2845909208738999E-2</v>
      </c>
      <c r="F61" s="236">
        <f>VLOOKUP(B61,'Revenues &amp; Expenses'!$K$8:$N$246,4)</f>
        <v>0.72750571660407293</v>
      </c>
      <c r="G61" s="220">
        <f t="shared" si="0"/>
        <v>4.3258042436687196</v>
      </c>
      <c r="H61" s="220">
        <f t="shared" si="1"/>
        <v>2.0798567844129843</v>
      </c>
      <c r="I61" s="220">
        <f t="shared" si="2"/>
        <v>0</v>
      </c>
      <c r="J61" s="237">
        <f t="shared" si="3"/>
        <v>94.449996948242188</v>
      </c>
      <c r="L61" s="555"/>
      <c r="M61" s="555"/>
    </row>
    <row r="62" spans="2:13">
      <c r="B62" s="234">
        <f>'Revenues &amp; Expenses'!K62</f>
        <v>38200</v>
      </c>
      <c r="C62" s="235">
        <f>PJM_01212000!C91</f>
        <v>81.449996948242188</v>
      </c>
      <c r="D62" s="159">
        <f>PJM_01212000!X62</f>
        <v>0.24567839999999999</v>
      </c>
      <c r="E62" s="159">
        <f>VLOOKUP(B62,'Revenues &amp; Expenses'!$K$8:$N$258,2)</f>
        <v>7.2904749508467023E-2</v>
      </c>
      <c r="F62" s="236">
        <f>VLOOKUP(B62,'Revenues &amp; Expenses'!$K$8:$N$246,4)</f>
        <v>0.722915161120814</v>
      </c>
      <c r="G62" s="220">
        <f t="shared" si="0"/>
        <v>4.4106776180698155</v>
      </c>
      <c r="H62" s="220">
        <f t="shared" si="1"/>
        <v>2.1001613314385672</v>
      </c>
      <c r="I62" s="220">
        <f t="shared" si="2"/>
        <v>0</v>
      </c>
      <c r="J62" s="237">
        <f t="shared" si="3"/>
        <v>81.449996948242188</v>
      </c>
      <c r="L62" s="555"/>
      <c r="M62" s="555"/>
    </row>
    <row r="63" spans="2:13">
      <c r="B63" s="234">
        <f>'Revenues &amp; Expenses'!K63</f>
        <v>38231</v>
      </c>
      <c r="C63" s="235">
        <f>PJM_01212000!C92</f>
        <v>33.424998474121097</v>
      </c>
      <c r="D63" s="159">
        <f>PJM_01212000!X63</f>
        <v>0.15791999999999998</v>
      </c>
      <c r="E63" s="159">
        <f>VLOOKUP(B63,'Revenues &amp; Expenses'!$K$8:$N$258,2)</f>
        <v>7.2963589809337009E-2</v>
      </c>
      <c r="F63" s="236">
        <f>VLOOKUP(B63,'Revenues &amp; Expenses'!$K$8:$N$246,4)</f>
        <v>0.71834665474593562</v>
      </c>
      <c r="G63" s="220">
        <f t="shared" si="0"/>
        <v>4.4955509924709105</v>
      </c>
      <c r="H63" s="220">
        <f t="shared" si="1"/>
        <v>2.1202714431107426</v>
      </c>
      <c r="I63" s="220">
        <f t="shared" si="2"/>
        <v>0</v>
      </c>
      <c r="J63" s="237">
        <f t="shared" si="3"/>
        <v>33.424998474121097</v>
      </c>
      <c r="L63" s="555"/>
      <c r="M63" s="555"/>
    </row>
    <row r="64" spans="2:13">
      <c r="B64" s="234">
        <f>'Revenues &amp; Expenses'!K64</f>
        <v>38261</v>
      </c>
      <c r="C64" s="235">
        <f>PJM_01212000!C93</f>
        <v>27.075000381469728</v>
      </c>
      <c r="D64" s="159">
        <f>PJM_01212000!X64</f>
        <v>0.11167199999999998</v>
      </c>
      <c r="E64" s="159">
        <f>VLOOKUP(B64,'Revenues &amp; Expenses'!$K$8:$N$258,2)</f>
        <v>7.3020532037074995E-2</v>
      </c>
      <c r="F64" s="236">
        <f>VLOOKUP(B64,'Revenues &amp; Expenses'!$K$8:$N$246,4)</f>
        <v>0.71394646487506941</v>
      </c>
      <c r="G64" s="220">
        <f t="shared" si="0"/>
        <v>4.5776865160848734</v>
      </c>
      <c r="H64" s="220">
        <f t="shared" si="1"/>
        <v>2.1395528776089816</v>
      </c>
      <c r="I64" s="220">
        <f t="shared" si="2"/>
        <v>0</v>
      </c>
      <c r="J64" s="237">
        <f t="shared" si="3"/>
        <v>27.075000381469728</v>
      </c>
      <c r="L64" s="555"/>
      <c r="M64" s="555"/>
    </row>
    <row r="65" spans="2:13">
      <c r="B65" s="234">
        <f>'Revenues &amp; Expenses'!K65</f>
        <v>38292</v>
      </c>
      <c r="C65" s="235">
        <f>PJM_01212000!C94</f>
        <v>26.747499084472658</v>
      </c>
      <c r="D65" s="159">
        <f>PJM_01212000!X65</f>
        <v>0.11167199999999998</v>
      </c>
      <c r="E65" s="159">
        <f>VLOOKUP(B65,'Revenues &amp; Expenses'!$K$8:$N$258,2)</f>
        <v>7.3079372340195015E-2</v>
      </c>
      <c r="F65" s="236">
        <f>VLOOKUP(B65,'Revenues &amp; Expenses'!$K$8:$N$246,4)</f>
        <v>0.70942119524404046</v>
      </c>
      <c r="G65" s="220">
        <f t="shared" si="0"/>
        <v>4.6625598904859684</v>
      </c>
      <c r="H65" s="220">
        <f t="shared" si="1"/>
        <v>2.1592961562708273</v>
      </c>
      <c r="I65" s="220">
        <f t="shared" si="2"/>
        <v>0</v>
      </c>
      <c r="J65" s="237">
        <f t="shared" si="3"/>
        <v>26.747499084472658</v>
      </c>
      <c r="L65" s="555"/>
      <c r="M65" s="555"/>
    </row>
    <row r="66" spans="2:13">
      <c r="B66" s="234">
        <f>'Revenues &amp; Expenses'!K66</f>
        <v>38322</v>
      </c>
      <c r="C66" s="235">
        <f>PJM_01212000!C95</f>
        <v>28.499999618530275</v>
      </c>
      <c r="D66" s="159">
        <f>PJM_01212000!X66</f>
        <v>0.11167199999999998</v>
      </c>
      <c r="E66" s="159">
        <f>VLOOKUP(B66,'Revenues &amp; Expenses'!$K$8:$N$258,2)</f>
        <v>7.3136314570109023E-2</v>
      </c>
      <c r="F66" s="236">
        <f>VLOOKUP(B66,'Revenues &amp; Expenses'!$K$8:$N$246,4)</f>
        <v>0.70506275032547461</v>
      </c>
      <c r="G66" s="220">
        <f t="shared" si="0"/>
        <v>4.7446954140999313</v>
      </c>
      <c r="H66" s="220">
        <f t="shared" si="1"/>
        <v>2.178232176353093</v>
      </c>
      <c r="I66" s="220">
        <f t="shared" si="2"/>
        <v>0</v>
      </c>
      <c r="J66" s="237">
        <f t="shared" si="3"/>
        <v>28.499999618530275</v>
      </c>
      <c r="L66" s="555"/>
      <c r="M66" s="555"/>
    </row>
    <row r="67" spans="2:13">
      <c r="B67" s="234">
        <f>'Revenues &amp; Expenses'!K67</f>
        <v>38353</v>
      </c>
      <c r="C67" s="235">
        <f>PJM_01212000!C96</f>
        <v>37.324998474121088</v>
      </c>
      <c r="D67" s="159">
        <f>PJM_01212000!X67</f>
        <v>0.17152819199999997</v>
      </c>
      <c r="E67" s="159">
        <f>VLOOKUP(B67,'Revenues &amp; Expenses'!$K$8:$N$258,2)</f>
        <v>7.3195154875478008E-2</v>
      </c>
      <c r="F67" s="236">
        <f>VLOOKUP(B67,'Revenues &amp; Expenses'!$K$8:$N$246,4)</f>
        <v>0.700580516261328</v>
      </c>
      <c r="G67" s="220">
        <f t="shared" si="0"/>
        <v>4.8295687885010263</v>
      </c>
      <c r="H67" s="220">
        <f t="shared" si="1"/>
        <v>2.1976279913809402</v>
      </c>
      <c r="I67" s="220">
        <f t="shared" si="2"/>
        <v>0</v>
      </c>
      <c r="J67" s="237">
        <f t="shared" si="3"/>
        <v>37.324998474121088</v>
      </c>
      <c r="L67" s="555"/>
      <c r="M67" s="555"/>
    </row>
    <row r="68" spans="2:13">
      <c r="B68" s="234">
        <f>'Revenues &amp; Expenses'!K68</f>
        <v>38384</v>
      </c>
      <c r="C68" s="235">
        <f>PJM_01212000!C97</f>
        <v>37.324998474121088</v>
      </c>
      <c r="D68" s="159">
        <f>PJM_01212000!X68</f>
        <v>0.17152819199999997</v>
      </c>
      <c r="E68" s="159">
        <f>VLOOKUP(B68,'Revenues &amp; Expenses'!$K$8:$N$258,2)</f>
        <v>7.3253995182000028E-2</v>
      </c>
      <c r="F68" s="236">
        <f>VLOOKUP(B68,'Revenues &amp; Expenses'!$K$8:$N$246,4)</f>
        <v>0.69612007488836769</v>
      </c>
      <c r="G68" s="220">
        <f t="shared" si="0"/>
        <v>4.9144421629021222</v>
      </c>
      <c r="H68" s="220">
        <f t="shared" si="1"/>
        <v>2.2168541140323423</v>
      </c>
      <c r="I68" s="220">
        <f t="shared" si="2"/>
        <v>0</v>
      </c>
      <c r="J68" s="237">
        <f t="shared" si="3"/>
        <v>37.324998474121088</v>
      </c>
      <c r="L68" s="555"/>
      <c r="M68" s="555"/>
    </row>
    <row r="69" spans="2:13">
      <c r="B69" s="234">
        <f>'Revenues &amp; Expenses'!K69</f>
        <v>38412</v>
      </c>
      <c r="C69" s="235">
        <f>PJM_01212000!C98</f>
        <v>27.050000762939455</v>
      </c>
      <c r="D69" s="159">
        <f>PJM_01212000!X69</f>
        <v>0.14294015999999996</v>
      </c>
      <c r="E69" s="159">
        <f>VLOOKUP(B69,'Revenues &amp; Expenses'!$K$8:$N$258,2)</f>
        <v>7.3307141266274009E-2</v>
      </c>
      <c r="F69" s="236">
        <f>VLOOKUP(B69,'Revenues &amp; Expenses'!$K$8:$N$246,4)</f>
        <v>0.69210997645630823</v>
      </c>
      <c r="G69" s="220">
        <f t="shared" si="0"/>
        <v>4.991101984941821</v>
      </c>
      <c r="H69" s="220">
        <f t="shared" si="1"/>
        <v>2.234077434858027</v>
      </c>
      <c r="I69" s="220">
        <f t="shared" si="2"/>
        <v>0</v>
      </c>
      <c r="J69" s="237">
        <f t="shared" si="3"/>
        <v>27.050000762939455</v>
      </c>
      <c r="L69" s="555"/>
      <c r="M69" s="555"/>
    </row>
    <row r="70" spans="2:13">
      <c r="B70" s="234">
        <f>'Revenues &amp; Expenses'!K70</f>
        <v>38443</v>
      </c>
      <c r="C70" s="235">
        <f>PJM_01212000!C99</f>
        <v>26.825000762939453</v>
      </c>
      <c r="D70" s="159">
        <f>PJM_01212000!X70</f>
        <v>0.135793152</v>
      </c>
      <c r="E70" s="159">
        <f>VLOOKUP(B70,'Revenues &amp; Expenses'!$K$8:$N$258,2)</f>
        <v>7.3338081657494017E-2</v>
      </c>
      <c r="F70" s="236">
        <f>VLOOKUP(B70,'Revenues &amp; Expenses'!$K$8:$N$246,4)</f>
        <v>0.68778704626600484</v>
      </c>
      <c r="G70" s="220">
        <f t="shared" si="0"/>
        <v>5.075975359342916</v>
      </c>
      <c r="H70" s="220">
        <f t="shared" si="1"/>
        <v>2.2529925342403856</v>
      </c>
      <c r="I70" s="220">
        <f t="shared" si="2"/>
        <v>0</v>
      </c>
      <c r="J70" s="237">
        <f t="shared" si="3"/>
        <v>26.825000762939453</v>
      </c>
      <c r="L70" s="555"/>
      <c r="M70" s="555"/>
    </row>
    <row r="71" spans="2:13">
      <c r="B71" s="234">
        <f>'Revenues &amp; Expenses'!K71</f>
        <v>38473</v>
      </c>
      <c r="C71" s="235">
        <f>PJM_01212000!C100</f>
        <v>31.824999999999999</v>
      </c>
      <c r="D71" s="159">
        <f>PJM_01212000!X71</f>
        <v>0.15008716799999997</v>
      </c>
      <c r="E71" s="159">
        <f>VLOOKUP(B71,'Revenues &amp; Expenses'!$K$8:$N$258,2)</f>
        <v>7.3361543991021017E-2</v>
      </c>
      <c r="F71" s="236">
        <f>VLOOKUP(B71,'Revenues &amp; Expenses'!$K$8:$N$246,4)</f>
        <v>0.68364853609648157</v>
      </c>
      <c r="G71" s="220">
        <f t="shared" si="0"/>
        <v>5.1581108829568789</v>
      </c>
      <c r="H71" s="220">
        <f t="shared" si="1"/>
        <v>2.2711474815513144</v>
      </c>
      <c r="I71" s="220">
        <f t="shared" si="2"/>
        <v>0</v>
      </c>
      <c r="J71" s="237">
        <f t="shared" si="3"/>
        <v>31.824999999999999</v>
      </c>
      <c r="L71" s="555"/>
      <c r="M71" s="555"/>
    </row>
    <row r="72" spans="2:13">
      <c r="B72" s="234">
        <f>'Revenues &amp; Expenses'!K72</f>
        <v>38504</v>
      </c>
      <c r="C72" s="235">
        <f>PJM_01212000!C101</f>
        <v>56.349998474121094</v>
      </c>
      <c r="D72" s="159">
        <f>PJM_01212000!X72</f>
        <v>0.19296921599999997</v>
      </c>
      <c r="E72" s="159">
        <f>VLOOKUP(B72,'Revenues &amp; Expenses'!$K$8:$N$258,2)</f>
        <v>7.3385788402523008E-2</v>
      </c>
      <c r="F72" s="236">
        <f>VLOOKUP(B72,'Revenues &amp; Expenses'!$K$8:$N$246,4)</f>
        <v>0.67939558216018492</v>
      </c>
      <c r="G72" s="220">
        <f t="shared" si="0"/>
        <v>5.2429842573579739</v>
      </c>
      <c r="H72" s="220">
        <f t="shared" si="1"/>
        <v>2.2897563751102372</v>
      </c>
      <c r="I72" s="220">
        <f t="shared" si="2"/>
        <v>0</v>
      </c>
      <c r="J72" s="237">
        <f t="shared" si="3"/>
        <v>56.349998474121094</v>
      </c>
      <c r="L72" s="555"/>
      <c r="M72" s="555"/>
    </row>
    <row r="73" spans="2:13">
      <c r="B73" s="234">
        <f>'Revenues &amp; Expenses'!K73</f>
        <v>38534</v>
      </c>
      <c r="C73" s="235">
        <f>PJM_01212000!C102</f>
        <v>95.699996948242188</v>
      </c>
      <c r="D73" s="159">
        <f>PJM_01212000!X73</f>
        <v>0.23585126399999998</v>
      </c>
      <c r="E73" s="159">
        <f>VLOOKUP(B73,'Revenues &amp; Expenses'!$K$8:$N$258,2)</f>
        <v>7.3409250736419004E-2</v>
      </c>
      <c r="F73" s="236">
        <f>VLOOKUP(B73,'Revenues &amp; Expenses'!$K$8:$N$246,4)</f>
        <v>0.67530246149529427</v>
      </c>
      <c r="G73" s="220">
        <f t="shared" ref="G73:G136" si="4">(B73-$B$1)/365.25</f>
        <v>5.3251197809719368</v>
      </c>
      <c r="H73" s="220">
        <f t="shared" ref="H73:H136" si="5">SQRT(G73)</f>
        <v>2.3076221053222592</v>
      </c>
      <c r="I73" s="220">
        <f t="shared" ref="I73:I136" si="6">IF($I$2=0,0,-(D73^2)/2)</f>
        <v>0</v>
      </c>
      <c r="J73" s="237">
        <f t="shared" si="3"/>
        <v>95.699996948242188</v>
      </c>
      <c r="L73" s="555"/>
      <c r="M73" s="555"/>
    </row>
    <row r="74" spans="2:13">
      <c r="B74" s="234">
        <f>'Revenues &amp; Expenses'!K74</f>
        <v>38565</v>
      </c>
      <c r="C74" s="235">
        <f>PJM_01212000!C103</f>
        <v>82.699996948242188</v>
      </c>
      <c r="D74" s="159">
        <f>PJM_01212000!X74</f>
        <v>0.23585126399999998</v>
      </c>
      <c r="E74" s="159">
        <f>VLOOKUP(B74,'Revenues &amp; Expenses'!$K$8:$N$258,2)</f>
        <v>7.3433495148302011E-2</v>
      </c>
      <c r="F74" s="236">
        <f>VLOOKUP(B74,'Revenues &amp; Expenses'!$K$8:$N$246,4)</f>
        <v>0.67109618793239023</v>
      </c>
      <c r="G74" s="220">
        <f t="shared" si="4"/>
        <v>5.4099931553730318</v>
      </c>
      <c r="H74" s="220">
        <f t="shared" si="5"/>
        <v>2.3259391985546465</v>
      </c>
      <c r="I74" s="220">
        <f t="shared" si="6"/>
        <v>0</v>
      </c>
      <c r="J74" s="237">
        <f t="shared" si="3"/>
        <v>82.699996948242188</v>
      </c>
      <c r="L74" s="555"/>
      <c r="M74" s="555"/>
    </row>
    <row r="75" spans="2:13">
      <c r="B75" s="234">
        <f>'Revenues &amp; Expenses'!K75</f>
        <v>38596</v>
      </c>
      <c r="C75" s="235">
        <f>PJM_01212000!C104</f>
        <v>33.924998474121097</v>
      </c>
      <c r="D75" s="159">
        <f>PJM_01212000!X75</f>
        <v>0.15160319999999997</v>
      </c>
      <c r="E75" s="159">
        <f>VLOOKUP(B75,'Revenues &amp; Expenses'!$K$8:$N$258,2)</f>
        <v>7.3457739560380028E-2</v>
      </c>
      <c r="F75" s="236">
        <f>VLOOKUP(B75,'Revenues &amp; Expenses'!$K$8:$N$246,4)</f>
        <v>0.6669134676770353</v>
      </c>
      <c r="G75" s="220">
        <f t="shared" si="4"/>
        <v>5.4948665297741277</v>
      </c>
      <c r="H75" s="220">
        <f t="shared" si="5"/>
        <v>2.3441131648822178</v>
      </c>
      <c r="I75" s="220">
        <f t="shared" si="6"/>
        <v>0</v>
      </c>
      <c r="J75" s="237">
        <f t="shared" si="3"/>
        <v>33.924998474121097</v>
      </c>
      <c r="L75" s="555"/>
      <c r="M75" s="555"/>
    </row>
    <row r="76" spans="2:13">
      <c r="B76" s="234">
        <f>'Revenues &amp; Expenses'!K76</f>
        <v>38626</v>
      </c>
      <c r="C76" s="235">
        <f>PJM_01212000!C105</f>
        <v>27.575000381469728</v>
      </c>
      <c r="D76" s="159">
        <f>PJM_01212000!X76</f>
        <v>0.10720511999999997</v>
      </c>
      <c r="E76" s="159">
        <f>VLOOKUP(B76,'Revenues &amp; Expenses'!$K$8:$N$258,2)</f>
        <v>7.3481201894832995E-2</v>
      </c>
      <c r="F76" s="236">
        <f>VLOOKUP(B76,'Revenues &amp; Expenses'!$K$8:$N$246,4)</f>
        <v>0.66288799270644394</v>
      </c>
      <c r="G76" s="220">
        <f t="shared" si="4"/>
        <v>5.5770020533880906</v>
      </c>
      <c r="H76" s="220">
        <f t="shared" si="5"/>
        <v>2.3615677109471349</v>
      </c>
      <c r="I76" s="220">
        <f t="shared" si="6"/>
        <v>0</v>
      </c>
      <c r="J76" s="237">
        <f t="shared" si="3"/>
        <v>27.575000381469728</v>
      </c>
      <c r="L76" s="555"/>
      <c r="M76" s="555"/>
    </row>
    <row r="77" spans="2:13">
      <c r="B77" s="234">
        <f>'Revenues &amp; Expenses'!K77</f>
        <v>38657</v>
      </c>
      <c r="C77" s="235">
        <f>PJM_01212000!C106</f>
        <v>27.247499084472658</v>
      </c>
      <c r="D77" s="159">
        <f>PJM_01212000!X77</f>
        <v>0.10720511999999997</v>
      </c>
      <c r="E77" s="159">
        <f>VLOOKUP(B77,'Revenues &amp; Expenses'!$K$8:$N$258,2)</f>
        <v>7.3505446307292013E-2</v>
      </c>
      <c r="F77" s="236">
        <f>VLOOKUP(B77,'Revenues &amp; Expenses'!$K$8:$N$246,4)</f>
        <v>0.65875128780759895</v>
      </c>
      <c r="G77" s="220">
        <f t="shared" si="4"/>
        <v>5.6618754277891856</v>
      </c>
      <c r="H77" s="220">
        <f t="shared" si="5"/>
        <v>2.3794695685780867</v>
      </c>
      <c r="I77" s="220">
        <f t="shared" si="6"/>
        <v>0</v>
      </c>
      <c r="J77" s="237">
        <f t="shared" ref="J77:J140" si="7">C77*EXP(I77*G77+D77*$I$2*H77)</f>
        <v>27.247499084472658</v>
      </c>
      <c r="L77" s="555"/>
      <c r="M77" s="555"/>
    </row>
    <row r="78" spans="2:13">
      <c r="B78" s="234">
        <f>'Revenues &amp; Expenses'!K78</f>
        <v>38687</v>
      </c>
      <c r="C78" s="235">
        <f>PJM_01212000!C107</f>
        <v>28.999999618530275</v>
      </c>
      <c r="D78" s="159">
        <f>PJM_01212000!X78</f>
        <v>0.10720511999999997</v>
      </c>
      <c r="E78" s="159">
        <f>VLOOKUP(B78,'Revenues &amp; Expenses'!$K$8:$N$258,2)</f>
        <v>7.3528908642115018E-2</v>
      </c>
      <c r="F78" s="236">
        <f>VLOOKUP(B78,'Revenues &amp; Expenses'!$K$8:$N$246,4)</f>
        <v>0.6547701320602235</v>
      </c>
      <c r="G78" s="220">
        <f t="shared" si="4"/>
        <v>5.7440109514031485</v>
      </c>
      <c r="H78" s="220">
        <f t="shared" si="5"/>
        <v>2.3966666333478983</v>
      </c>
      <c r="I78" s="220">
        <f t="shared" si="6"/>
        <v>0</v>
      </c>
      <c r="J78" s="237">
        <f t="shared" si="7"/>
        <v>28.999999618530275</v>
      </c>
      <c r="L78" s="555"/>
      <c r="M78" s="555"/>
    </row>
    <row r="79" spans="2:13">
      <c r="B79" s="234">
        <f>'Revenues &amp; Expenses'!K79</f>
        <v>38718</v>
      </c>
      <c r="C79" s="235">
        <f>PJM_01212000!C108</f>
        <v>37.824998474121088</v>
      </c>
      <c r="D79" s="159">
        <f>PJM_01212000!X79</f>
        <v>0.16466706431999997</v>
      </c>
      <c r="E79" s="159">
        <f>VLOOKUP(B79,'Revenues &amp; Expenses'!$K$8:$N$258,2)</f>
        <v>7.3553153054956008E-2</v>
      </c>
      <c r="F79" s="236">
        <f>VLOOKUP(B79,'Revenues &amp; Expenses'!$K$8:$N$246,4)</f>
        <v>0.65067900568650605</v>
      </c>
      <c r="G79" s="220">
        <f t="shared" si="4"/>
        <v>5.8288843258042435</v>
      </c>
      <c r="H79" s="220">
        <f t="shared" si="5"/>
        <v>2.4143082499557185</v>
      </c>
      <c r="I79" s="220">
        <f t="shared" si="6"/>
        <v>0</v>
      </c>
      <c r="J79" s="237">
        <f t="shared" si="7"/>
        <v>37.824998474121088</v>
      </c>
      <c r="L79" s="555"/>
      <c r="M79" s="555"/>
    </row>
    <row r="80" spans="2:13">
      <c r="B80" s="234">
        <f>'Revenues &amp; Expenses'!K80</f>
        <v>38749</v>
      </c>
      <c r="C80" s="235">
        <f>PJM_01212000!C109</f>
        <v>37.824998474121088</v>
      </c>
      <c r="D80" s="159">
        <f>PJM_01212000!X80</f>
        <v>0.16466706431999997</v>
      </c>
      <c r="E80" s="159">
        <f>VLOOKUP(B80,'Revenues &amp; Expenses'!$K$8:$N$258,2)</f>
        <v>7.3577397468000016E-2</v>
      </c>
      <c r="F80" s="236">
        <f>VLOOKUP(B80,'Revenues &amp; Expenses'!$K$8:$N$246,4)</f>
        <v>0.64661087580678567</v>
      </c>
      <c r="G80" s="220">
        <f t="shared" si="4"/>
        <v>5.9137577002053385</v>
      </c>
      <c r="H80" s="220">
        <f t="shared" si="5"/>
        <v>2.4318218890793255</v>
      </c>
      <c r="I80" s="220">
        <f t="shared" si="6"/>
        <v>0</v>
      </c>
      <c r="J80" s="237">
        <f t="shared" si="7"/>
        <v>37.824998474121088</v>
      </c>
      <c r="L80" s="555"/>
      <c r="M80" s="555"/>
    </row>
    <row r="81" spans="2:13">
      <c r="B81" s="234">
        <f>'Revenues &amp; Expenses'!K81</f>
        <v>38777</v>
      </c>
      <c r="C81" s="235">
        <f>PJM_01212000!C110</f>
        <v>27.550000762939455</v>
      </c>
      <c r="D81" s="159">
        <f>PJM_01212000!X81</f>
        <v>0.13722255359999996</v>
      </c>
      <c r="E81" s="159">
        <f>VLOOKUP(B81,'Revenues &amp; Expenses'!$K$8:$N$258,2)</f>
        <v>7.3599295647674035E-2</v>
      </c>
      <c r="F81" s="236">
        <f>VLOOKUP(B81,'Revenues &amp; Expenses'!$K$8:$N$246,4)</f>
        <v>0.64295610909713796</v>
      </c>
      <c r="G81" s="220">
        <f t="shared" si="4"/>
        <v>5.9904175222450373</v>
      </c>
      <c r="H81" s="220">
        <f t="shared" si="5"/>
        <v>2.4475329461000186</v>
      </c>
      <c r="I81" s="220">
        <f t="shared" si="6"/>
        <v>0</v>
      </c>
      <c r="J81" s="237">
        <f t="shared" si="7"/>
        <v>27.550000762939455</v>
      </c>
      <c r="L81" s="555"/>
      <c r="M81" s="555"/>
    </row>
    <row r="82" spans="2:13">
      <c r="B82" s="234">
        <f>'Revenues &amp; Expenses'!K82</f>
        <v>38808</v>
      </c>
      <c r="C82" s="235">
        <f>PJM_01212000!C111</f>
        <v>27.325000762939453</v>
      </c>
      <c r="D82" s="159">
        <f>PJM_01212000!X82</f>
        <v>0.13036142592</v>
      </c>
      <c r="E82" s="159">
        <f>VLOOKUP(B82,'Revenues &amp; Expenses'!$K$8:$N$258,2)</f>
        <v>7.3623540061079004E-2</v>
      </c>
      <c r="F82" s="236">
        <f>VLOOKUP(B82,'Revenues &amp; Expenses'!$K$8:$N$246,4)</f>
        <v>0.63893143890679971</v>
      </c>
      <c r="G82" s="220">
        <f t="shared" si="4"/>
        <v>6.0752908966461332</v>
      </c>
      <c r="H82" s="220">
        <f t="shared" si="5"/>
        <v>2.4648105194205363</v>
      </c>
      <c r="I82" s="220">
        <f t="shared" si="6"/>
        <v>0</v>
      </c>
      <c r="J82" s="237">
        <f t="shared" si="7"/>
        <v>27.325000762939453</v>
      </c>
      <c r="L82" s="555"/>
      <c r="M82" s="555"/>
    </row>
    <row r="83" spans="2:13">
      <c r="B83" s="234">
        <f>'Revenues &amp; Expenses'!K83</f>
        <v>38838</v>
      </c>
      <c r="C83" s="235">
        <f>PJM_01212000!C112</f>
        <v>32.575000000000003</v>
      </c>
      <c r="D83" s="159">
        <f>PJM_01212000!X83</f>
        <v>0.14408368127999996</v>
      </c>
      <c r="E83" s="159">
        <f>VLOOKUP(B83,'Revenues &amp; Expenses'!$K$8:$N$258,2)</f>
        <v>7.3647002396816028E-2</v>
      </c>
      <c r="F83" s="236">
        <f>VLOOKUP(B83,'Revenues &amp; Expenses'!$K$8:$N$246,4)</f>
        <v>0.63505818640712919</v>
      </c>
      <c r="G83" s="220">
        <f t="shared" si="4"/>
        <v>6.1574264202600961</v>
      </c>
      <c r="H83" s="220">
        <f t="shared" si="5"/>
        <v>2.4814162126213524</v>
      </c>
      <c r="I83" s="220">
        <f t="shared" si="6"/>
        <v>0</v>
      </c>
      <c r="J83" s="237">
        <f t="shared" si="7"/>
        <v>32.575000000000003</v>
      </c>
      <c r="L83" s="555"/>
      <c r="M83" s="555"/>
    </row>
    <row r="84" spans="2:13">
      <c r="B84" s="234">
        <f>'Revenues &amp; Expenses'!K84</f>
        <v>38869</v>
      </c>
      <c r="C84" s="235">
        <f>PJM_01212000!C113</f>
        <v>57.349998474121094</v>
      </c>
      <c r="D84" s="159">
        <f>PJM_01212000!X84</f>
        <v>0.18525044735999996</v>
      </c>
      <c r="E84" s="159">
        <f>VLOOKUP(B84,'Revenues &amp; Expenses'!$K$8:$N$258,2)</f>
        <v>7.3671246810602012E-2</v>
      </c>
      <c r="F84" s="236">
        <f>VLOOKUP(B84,'Revenues &amp; Expenses'!$K$8:$N$246,4)</f>
        <v>0.63107802738640284</v>
      </c>
      <c r="G84" s="220">
        <f t="shared" si="4"/>
        <v>6.2422997946611911</v>
      </c>
      <c r="H84" s="220">
        <f t="shared" si="5"/>
        <v>2.4984594842945103</v>
      </c>
      <c r="I84" s="220">
        <f t="shared" si="6"/>
        <v>0</v>
      </c>
      <c r="J84" s="237">
        <f t="shared" si="7"/>
        <v>57.349998474121094</v>
      </c>
      <c r="L84" s="555"/>
      <c r="M84" s="555"/>
    </row>
    <row r="85" spans="2:13">
      <c r="B85" s="234">
        <f>'Revenues &amp; Expenses'!K85</f>
        <v>38899</v>
      </c>
      <c r="C85" s="235">
        <f>PJM_01212000!C114</f>
        <v>97.949996948242188</v>
      </c>
      <c r="D85" s="159">
        <f>PJM_01212000!X85</f>
        <v>0.22641721343999996</v>
      </c>
      <c r="E85" s="159">
        <f>VLOOKUP(B85,'Revenues &amp; Expenses'!$K$8:$N$258,2)</f>
        <v>7.3694709146709017E-2</v>
      </c>
      <c r="F85" s="236">
        <f>VLOOKUP(B85,'Revenues &amp; Expenses'!$K$8:$N$246,4)</f>
        <v>0.62724764389992926</v>
      </c>
      <c r="G85" s="220">
        <f t="shared" si="4"/>
        <v>6.324435318275154</v>
      </c>
      <c r="H85" s="220">
        <f t="shared" si="5"/>
        <v>2.5148430007209504</v>
      </c>
      <c r="I85" s="220">
        <f t="shared" si="6"/>
        <v>0</v>
      </c>
      <c r="J85" s="237">
        <f t="shared" si="7"/>
        <v>97.949996948242188</v>
      </c>
      <c r="L85" s="555"/>
      <c r="M85" s="555"/>
    </row>
    <row r="86" spans="2:13">
      <c r="B86" s="234">
        <f>'Revenues &amp; Expenses'!K86</f>
        <v>38930</v>
      </c>
      <c r="C86" s="235">
        <f>PJM_01212000!C115</f>
        <v>84.949996948242188</v>
      </c>
      <c r="D86" s="159">
        <f>PJM_01212000!X86</f>
        <v>0.22641721343999996</v>
      </c>
      <c r="E86" s="159">
        <f>VLOOKUP(B86,'Revenues &amp; Expenses'!$K$8:$N$258,2)</f>
        <v>7.3718953560877015E-2</v>
      </c>
      <c r="F86" s="236">
        <f>VLOOKUP(B86,'Revenues &amp; Expenses'!$K$8:$N$246,4)</f>
        <v>0.62331157047885244</v>
      </c>
      <c r="G86" s="220">
        <f t="shared" si="4"/>
        <v>6.409308692676249</v>
      </c>
      <c r="H86" s="220">
        <f t="shared" si="5"/>
        <v>2.531661251565116</v>
      </c>
      <c r="I86" s="220">
        <f t="shared" si="6"/>
        <v>0</v>
      </c>
      <c r="J86" s="237">
        <f t="shared" si="7"/>
        <v>84.949996948242188</v>
      </c>
      <c r="L86" s="555"/>
      <c r="M86" s="555"/>
    </row>
    <row r="87" spans="2:13">
      <c r="B87" s="234">
        <f>'Revenues &amp; Expenses'!K87</f>
        <v>38961</v>
      </c>
      <c r="C87" s="235">
        <f>PJM_01212000!C116</f>
        <v>34.424998474121097</v>
      </c>
      <c r="D87" s="159">
        <f>PJM_01212000!X87</f>
        <v>0.14553907199999996</v>
      </c>
      <c r="E87" s="159">
        <f>VLOOKUP(B87,'Revenues &amp; Expenses'!$K$8:$N$258,2)</f>
        <v>7.3743197975238997E-2</v>
      </c>
      <c r="F87" s="236">
        <f>VLOOKUP(B87,'Revenues &amp; Expenses'!$K$8:$N$246,4)</f>
        <v>0.61939773915277652</v>
      </c>
      <c r="G87" s="220">
        <f t="shared" si="4"/>
        <v>6.494182067077344</v>
      </c>
      <c r="H87" s="220">
        <f t="shared" si="5"/>
        <v>2.5483685108471543</v>
      </c>
      <c r="I87" s="220">
        <f t="shared" si="6"/>
        <v>0</v>
      </c>
      <c r="J87" s="237">
        <f t="shared" si="7"/>
        <v>34.424998474121097</v>
      </c>
      <c r="L87" s="555"/>
      <c r="M87" s="555"/>
    </row>
    <row r="88" spans="2:13">
      <c r="B88" s="234">
        <f>'Revenues &amp; Expenses'!K88</f>
        <v>38991</v>
      </c>
      <c r="C88" s="235">
        <f>PJM_01212000!C117</f>
        <v>28.075000381469728</v>
      </c>
      <c r="D88" s="159">
        <f>PJM_01212000!X88</f>
        <v>0.10291691519999997</v>
      </c>
      <c r="E88" s="159">
        <f>VLOOKUP(B88,'Revenues &amp; Expenses'!$K$8:$N$258,2)</f>
        <v>7.3766660311903001E-2</v>
      </c>
      <c r="F88" s="236">
        <f>VLOOKUP(B88,'Revenues &amp; Expenses'!$K$8:$N$246,4)</f>
        <v>0.61563123553752408</v>
      </c>
      <c r="G88" s="220">
        <f t="shared" si="4"/>
        <v>6.5763175906913069</v>
      </c>
      <c r="H88" s="220">
        <f t="shared" si="5"/>
        <v>2.5644331909198388</v>
      </c>
      <c r="I88" s="220">
        <f t="shared" si="6"/>
        <v>0</v>
      </c>
      <c r="J88" s="237">
        <f t="shared" si="7"/>
        <v>28.075000381469728</v>
      </c>
      <c r="L88" s="555"/>
      <c r="M88" s="555"/>
    </row>
    <row r="89" spans="2:13">
      <c r="B89" s="234">
        <f>'Revenues &amp; Expenses'!K89</f>
        <v>39022</v>
      </c>
      <c r="C89" s="235">
        <f>PJM_01212000!C118</f>
        <v>27.747499084472658</v>
      </c>
      <c r="D89" s="159">
        <f>PJM_01212000!X89</f>
        <v>0.10291691519999997</v>
      </c>
      <c r="E89" s="159">
        <f>VLOOKUP(B89,'Revenues &amp; Expenses'!$K$8:$N$258,2)</f>
        <v>7.3790904726647011E-2</v>
      </c>
      <c r="F89" s="236">
        <f>VLOOKUP(B89,'Revenues &amp; Expenses'!$K$8:$N$246,4)</f>
        <v>0.61176085403546743</v>
      </c>
      <c r="G89" s="220">
        <f t="shared" si="4"/>
        <v>6.6611909650924028</v>
      </c>
      <c r="H89" s="220">
        <f t="shared" si="5"/>
        <v>2.5809283145977537</v>
      </c>
      <c r="I89" s="220">
        <f t="shared" si="6"/>
        <v>0</v>
      </c>
      <c r="J89" s="237">
        <f t="shared" si="7"/>
        <v>27.747499084472658</v>
      </c>
      <c r="L89" s="555"/>
      <c r="M89" s="555"/>
    </row>
    <row r="90" spans="2:13">
      <c r="B90" s="234">
        <f>'Revenues &amp; Expenses'!K90</f>
        <v>39052</v>
      </c>
      <c r="C90" s="235">
        <f>PJM_01212000!C119</f>
        <v>29.499999618530275</v>
      </c>
      <c r="D90" s="159">
        <f>PJM_01212000!X90</f>
        <v>0.10291691519999997</v>
      </c>
      <c r="E90" s="159">
        <f>VLOOKUP(B90,'Revenues &amp; Expenses'!$K$8:$N$258,2)</f>
        <v>7.3814367063680011E-2</v>
      </c>
      <c r="F90" s="236">
        <f>VLOOKUP(B90,'Revenues &amp; Expenses'!$K$8:$N$246,4)</f>
        <v>0.60803619621257565</v>
      </c>
      <c r="G90" s="220">
        <f t="shared" si="4"/>
        <v>6.7433264887063658</v>
      </c>
      <c r="H90" s="220">
        <f t="shared" si="5"/>
        <v>2.5967915759079254</v>
      </c>
      <c r="I90" s="220">
        <f t="shared" si="6"/>
        <v>0</v>
      </c>
      <c r="J90" s="237">
        <f t="shared" si="7"/>
        <v>29.499999618530275</v>
      </c>
      <c r="L90" s="555"/>
      <c r="M90" s="555"/>
    </row>
    <row r="91" spans="2:13">
      <c r="B91" s="234">
        <f>'Revenues &amp; Expenses'!K91</f>
        <v>39083</v>
      </c>
      <c r="C91" s="235">
        <f>PJM_01212000!C120</f>
        <v>38.324998474121088</v>
      </c>
      <c r="D91" s="159">
        <f>PJM_01212000!X91</f>
        <v>0.15808038174719996</v>
      </c>
      <c r="E91" s="159">
        <f>VLOOKUP(B91,'Revenues &amp; Expenses'!$K$8:$N$258,2)</f>
        <v>7.3838611478806021E-2</v>
      </c>
      <c r="F91" s="236">
        <f>VLOOKUP(B91,'Revenues &amp; Expenses'!$K$8:$N$246,4)</f>
        <v>0.60420884699077582</v>
      </c>
      <c r="G91" s="220">
        <f t="shared" si="4"/>
        <v>6.8281998631074607</v>
      </c>
      <c r="H91" s="220">
        <f t="shared" si="5"/>
        <v>2.6130824447589593</v>
      </c>
      <c r="I91" s="220">
        <f t="shared" si="6"/>
        <v>0</v>
      </c>
      <c r="J91" s="237">
        <f t="shared" si="7"/>
        <v>38.324998474121088</v>
      </c>
      <c r="L91" s="555"/>
      <c r="M91" s="555"/>
    </row>
    <row r="92" spans="2:13">
      <c r="B92" s="234">
        <f>'Revenues &amp; Expenses'!K92</f>
        <v>39114</v>
      </c>
      <c r="C92" s="235">
        <f>PJM_01212000!C121</f>
        <v>38.324998474121088</v>
      </c>
      <c r="D92" s="159">
        <f>PJM_01212000!X92</f>
        <v>0.15808038174719996</v>
      </c>
      <c r="E92" s="159">
        <f>VLOOKUP(B92,'Revenues &amp; Expenses'!$K$8:$N$258,2)</f>
        <v>7.3862855894125015E-2</v>
      </c>
      <c r="F92" s="236">
        <f>VLOOKUP(B92,'Revenues &amp; Expenses'!$K$8:$N$246,4)</f>
        <v>0.60040320763544686</v>
      </c>
      <c r="G92" s="220">
        <f t="shared" si="4"/>
        <v>6.9130732375085557</v>
      </c>
      <c r="H92" s="220">
        <f t="shared" si="5"/>
        <v>2.6292723779609743</v>
      </c>
      <c r="I92" s="220">
        <f t="shared" si="6"/>
        <v>0</v>
      </c>
      <c r="J92" s="237">
        <f t="shared" si="7"/>
        <v>38.324998474121088</v>
      </c>
      <c r="L92" s="555"/>
      <c r="M92" s="555"/>
    </row>
    <row r="93" spans="2:13">
      <c r="B93" s="234">
        <f>'Revenues &amp; Expenses'!K93</f>
        <v>39142</v>
      </c>
      <c r="C93" s="235">
        <f>PJM_01212000!C122</f>
        <v>28.050000762939455</v>
      </c>
      <c r="D93" s="159">
        <f>PJM_01212000!X93</f>
        <v>0.13173365145599997</v>
      </c>
      <c r="E93" s="159">
        <f>VLOOKUP(B93,'Revenues &amp; Expenses'!$K$8:$N$258,2)</f>
        <v>7.3884754075871015E-2</v>
      </c>
      <c r="F93" s="236">
        <f>VLOOKUP(B93,'Revenues &amp; Expenses'!$K$8:$N$246,4)</f>
        <v>0.59698442737488722</v>
      </c>
      <c r="G93" s="220">
        <f t="shared" si="4"/>
        <v>6.9897330595482545</v>
      </c>
      <c r="H93" s="220">
        <f t="shared" si="5"/>
        <v>2.6438103297226627</v>
      </c>
      <c r="I93" s="220">
        <f t="shared" si="6"/>
        <v>0</v>
      </c>
      <c r="J93" s="237">
        <f t="shared" si="7"/>
        <v>28.050000762939455</v>
      </c>
      <c r="L93" s="555"/>
      <c r="M93" s="555"/>
    </row>
    <row r="94" spans="2:13">
      <c r="B94" s="234">
        <f>'Revenues &amp; Expenses'!K94</f>
        <v>39173</v>
      </c>
      <c r="C94" s="235">
        <f>PJM_01212000!C123</f>
        <v>27.825000762939453</v>
      </c>
      <c r="D94" s="159">
        <f>PJM_01212000!X94</f>
        <v>0.12514696888319998</v>
      </c>
      <c r="E94" s="159">
        <f>VLOOKUP(B94,'Revenues &amp; Expenses'!$K$8:$N$258,2)</f>
        <v>7.3901230464944026E-2</v>
      </c>
      <c r="F94" s="236">
        <f>VLOOKUP(B94,'Revenues &amp; Expenses'!$K$8:$N$246,4)</f>
        <v>0.5932517879085123</v>
      </c>
      <c r="G94" s="220">
        <f t="shared" si="4"/>
        <v>7.0746064339493495</v>
      </c>
      <c r="H94" s="220">
        <f t="shared" si="5"/>
        <v>2.6598132329074065</v>
      </c>
      <c r="I94" s="220">
        <f t="shared" si="6"/>
        <v>0</v>
      </c>
      <c r="J94" s="237">
        <f t="shared" si="7"/>
        <v>27.825000762939453</v>
      </c>
      <c r="L94" s="555"/>
      <c r="M94" s="555"/>
    </row>
    <row r="95" spans="2:13">
      <c r="B95" s="234">
        <f>'Revenues &amp; Expenses'!K95</f>
        <v>39203</v>
      </c>
      <c r="C95" s="235">
        <f>PJM_01212000!C124</f>
        <v>33.575000000000003</v>
      </c>
      <c r="D95" s="159">
        <f>PJM_01212000!X95</f>
        <v>0.13832033402879995</v>
      </c>
      <c r="E95" s="159">
        <f>VLOOKUP(B95,'Revenues &amp; Expenses'!$K$8:$N$258,2)</f>
        <v>7.3915729695154003E-2</v>
      </c>
      <c r="F95" s="236">
        <f>VLOOKUP(B95,'Revenues &amp; Expenses'!$K$8:$N$246,4)</f>
        <v>0.58966624744480589</v>
      </c>
      <c r="G95" s="220">
        <f t="shared" si="4"/>
        <v>7.1567419575633124</v>
      </c>
      <c r="H95" s="220">
        <f t="shared" si="5"/>
        <v>2.6752087689680057</v>
      </c>
      <c r="I95" s="220">
        <f t="shared" si="6"/>
        <v>0</v>
      </c>
      <c r="J95" s="237">
        <f t="shared" si="7"/>
        <v>33.575000000000003</v>
      </c>
      <c r="L95" s="555"/>
      <c r="M95" s="555"/>
    </row>
    <row r="96" spans="2:13">
      <c r="B96" s="234">
        <f>'Revenues &amp; Expenses'!K96</f>
        <v>39234</v>
      </c>
      <c r="C96" s="235">
        <f>PJM_01212000!C125</f>
        <v>58.599998474121094</v>
      </c>
      <c r="D96" s="159">
        <f>PJM_01212000!X96</f>
        <v>0.17784042946559994</v>
      </c>
      <c r="E96" s="159">
        <f>VLOOKUP(B96,'Revenues &amp; Expenses'!$K$8:$N$258,2)</f>
        <v>7.3930712233109999E-2</v>
      </c>
      <c r="F96" s="236">
        <f>VLOOKUP(B96,'Revenues &amp; Expenses'!$K$8:$N$246,4)</f>
        <v>0.58598254000407157</v>
      </c>
      <c r="G96" s="220">
        <f t="shared" si="4"/>
        <v>7.2416153319644083</v>
      </c>
      <c r="H96" s="220">
        <f t="shared" si="5"/>
        <v>2.6910249593722479</v>
      </c>
      <c r="I96" s="220">
        <f t="shared" si="6"/>
        <v>0</v>
      </c>
      <c r="J96" s="237">
        <f t="shared" si="7"/>
        <v>58.599998474121094</v>
      </c>
      <c r="L96" s="555"/>
      <c r="M96" s="555"/>
    </row>
    <row r="97" spans="2:13">
      <c r="B97" s="234">
        <f>'Revenues &amp; Expenses'!K97</f>
        <v>39264</v>
      </c>
      <c r="C97" s="235">
        <f>PJM_01212000!C126</f>
        <v>100.19999694824219</v>
      </c>
      <c r="D97" s="159">
        <f>PJM_01212000!X97</f>
        <v>0.21736052490239996</v>
      </c>
      <c r="E97" s="159">
        <f>VLOOKUP(B97,'Revenues &amp; Expenses'!$K$8:$N$258,2)</f>
        <v>7.3945211463460017E-2</v>
      </c>
      <c r="F97" s="236">
        <f>VLOOKUP(B97,'Revenues &amp; Expenses'!$K$8:$N$246,4)</f>
        <v>0.58243821461084155</v>
      </c>
      <c r="G97" s="220">
        <f t="shared" si="4"/>
        <v>7.3237508555783712</v>
      </c>
      <c r="H97" s="220">
        <f t="shared" si="5"/>
        <v>2.7062429409752502</v>
      </c>
      <c r="I97" s="220">
        <f t="shared" si="6"/>
        <v>0</v>
      </c>
      <c r="J97" s="237">
        <f t="shared" si="7"/>
        <v>100.19999694824219</v>
      </c>
      <c r="L97" s="555"/>
      <c r="M97" s="555"/>
    </row>
    <row r="98" spans="2:13">
      <c r="B98" s="234">
        <f>'Revenues &amp; Expenses'!K98</f>
        <v>39295</v>
      </c>
      <c r="C98" s="235">
        <f>PJM_01212000!C127</f>
        <v>87.199996948242188</v>
      </c>
      <c r="D98" s="159">
        <f>PJM_01212000!X98</f>
        <v>0.21736052490239996</v>
      </c>
      <c r="E98" s="159">
        <f>VLOOKUP(B98,'Revenues &amp; Expenses'!$K$8:$N$258,2)</f>
        <v>7.3960194001562007E-2</v>
      </c>
      <c r="F98" s="236">
        <f>VLOOKUP(B98,'Revenues &amp; Expenses'!$K$8:$N$246,4)</f>
        <v>0.57879686904277527</v>
      </c>
      <c r="G98" s="220">
        <f t="shared" si="4"/>
        <v>7.4086242299794662</v>
      </c>
      <c r="H98" s="220">
        <f t="shared" si="5"/>
        <v>2.7218788051600433</v>
      </c>
      <c r="I98" s="220">
        <f t="shared" si="6"/>
        <v>0</v>
      </c>
      <c r="J98" s="237">
        <f t="shared" si="7"/>
        <v>87.199996948242188</v>
      </c>
      <c r="L98" s="555"/>
      <c r="M98" s="555"/>
    </row>
    <row r="99" spans="2:13">
      <c r="B99" s="234">
        <f>'Revenues &amp; Expenses'!K99</f>
        <v>39326</v>
      </c>
      <c r="C99" s="235">
        <f>PJM_01212000!C128</f>
        <v>34.924998474121097</v>
      </c>
      <c r="D99" s="159">
        <f>PJM_01212000!X99</f>
        <v>0.13971750911999997</v>
      </c>
      <c r="E99" s="159">
        <f>VLOOKUP(B99,'Revenues &amp; Expenses'!$K$8:$N$258,2)</f>
        <v>7.3975176539738008E-2</v>
      </c>
      <c r="F99" s="236">
        <f>VLOOKUP(B99,'Revenues &amp; Expenses'!$K$8:$N$246,4)</f>
        <v>0.57517687860822675</v>
      </c>
      <c r="G99" s="220">
        <f t="shared" si="4"/>
        <v>7.4934976043805612</v>
      </c>
      <c r="H99" s="220">
        <f t="shared" si="5"/>
        <v>2.7374253605131522</v>
      </c>
      <c r="I99" s="220">
        <f t="shared" si="6"/>
        <v>0</v>
      </c>
      <c r="J99" s="237">
        <f t="shared" si="7"/>
        <v>34.924998474121097</v>
      </c>
      <c r="L99" s="555"/>
      <c r="M99" s="555"/>
    </row>
    <row r="100" spans="2:13">
      <c r="B100" s="234">
        <f>'Revenues &amp; Expenses'!K100</f>
        <v>39356</v>
      </c>
      <c r="C100" s="235">
        <f>PJM_01212000!C129</f>
        <v>28.575000381469728</v>
      </c>
      <c r="D100" s="159">
        <f>PJM_01212000!X100</f>
        <v>9.8800238591999975E-2</v>
      </c>
      <c r="E100" s="159">
        <f>VLOOKUP(B100,'Revenues &amp; Expenses'!$K$8:$N$258,2)</f>
        <v>7.3989675770301008E-2</v>
      </c>
      <c r="F100" s="236">
        <f>VLOOKUP(B100,'Revenues &amp; Expenses'!$K$8:$N$246,4)</f>
        <v>0.57169388586550773</v>
      </c>
      <c r="G100" s="220">
        <f t="shared" si="4"/>
        <v>7.5756331279945242</v>
      </c>
      <c r="H100" s="220">
        <f t="shared" si="5"/>
        <v>2.7523868056642264</v>
      </c>
      <c r="I100" s="220">
        <f t="shared" si="6"/>
        <v>0</v>
      </c>
      <c r="J100" s="237">
        <f t="shared" si="7"/>
        <v>28.575000381469728</v>
      </c>
      <c r="L100" s="555"/>
      <c r="M100" s="555"/>
    </row>
    <row r="101" spans="2:13">
      <c r="B101" s="234">
        <f>'Revenues &amp; Expenses'!K101</f>
        <v>39387</v>
      </c>
      <c r="C101" s="235">
        <f>PJM_01212000!C130</f>
        <v>28.247499084472658</v>
      </c>
      <c r="D101" s="159">
        <f>PJM_01212000!X101</f>
        <v>9.8800238591999975E-2</v>
      </c>
      <c r="E101" s="159">
        <f>VLOOKUP(B101,'Revenues &amp; Expenses'!$K$8:$N$258,2)</f>
        <v>7.4004658308623017E-2</v>
      </c>
      <c r="F101" s="236">
        <f>VLOOKUP(B101,'Revenues &amp; Expenses'!$K$8:$N$246,4)</f>
        <v>0.56811557908537158</v>
      </c>
      <c r="G101" s="220">
        <f t="shared" si="4"/>
        <v>7.6605065023956191</v>
      </c>
      <c r="H101" s="220">
        <f t="shared" si="5"/>
        <v>2.7677620024842486</v>
      </c>
      <c r="I101" s="220">
        <f t="shared" si="6"/>
        <v>0</v>
      </c>
      <c r="J101" s="237">
        <f t="shared" si="7"/>
        <v>28.247499084472658</v>
      </c>
      <c r="L101" s="555"/>
      <c r="M101" s="555"/>
    </row>
    <row r="102" spans="2:13">
      <c r="B102" s="234">
        <f>'Revenues &amp; Expenses'!K102</f>
        <v>39417</v>
      </c>
      <c r="C102" s="235">
        <f>PJM_01212000!C131</f>
        <v>29.999999618530275</v>
      </c>
      <c r="D102" s="159">
        <f>PJM_01212000!X102</f>
        <v>9.8800238591999975E-2</v>
      </c>
      <c r="E102" s="159">
        <f>VLOOKUP(B102,'Revenues &amp; Expenses'!$K$8:$N$258,2)</f>
        <v>7.4019157539328015E-2</v>
      </c>
      <c r="F102" s="236">
        <f>VLOOKUP(B102,'Revenues &amp; Expenses'!$K$8:$N$246,4)</f>
        <v>0.56467270987595808</v>
      </c>
      <c r="G102" s="220">
        <f t="shared" si="4"/>
        <v>7.7426420260095821</v>
      </c>
      <c r="H102" s="220">
        <f t="shared" si="5"/>
        <v>2.7825603364544644</v>
      </c>
      <c r="I102" s="220">
        <f t="shared" si="6"/>
        <v>0</v>
      </c>
      <c r="J102" s="237">
        <f t="shared" si="7"/>
        <v>29.999999618530275</v>
      </c>
      <c r="L102" s="555"/>
      <c r="M102" s="555"/>
    </row>
    <row r="103" spans="2:13">
      <c r="B103" s="234">
        <f>'Revenues &amp; Expenses'!K103</f>
        <v>39448</v>
      </c>
      <c r="C103" s="235">
        <f>PJM_01212000!C132</f>
        <v>38.824998474121088</v>
      </c>
      <c r="D103" s="159">
        <f>PJM_01212000!X103</f>
        <v>0.15175716647731197</v>
      </c>
      <c r="E103" s="159">
        <f>VLOOKUP(B103,'Revenues &amp; Expenses'!$K$8:$N$258,2)</f>
        <v>7.4034140077795019E-2</v>
      </c>
      <c r="F103" s="236">
        <f>VLOOKUP(B103,'Revenues &amp; Expenses'!$K$8:$N$246,4)</f>
        <v>0.56113564249260006</v>
      </c>
      <c r="G103" s="220">
        <f t="shared" si="4"/>
        <v>7.8275154004106779</v>
      </c>
      <c r="H103" s="220">
        <f t="shared" si="5"/>
        <v>2.7977697189745045</v>
      </c>
      <c r="I103" s="220">
        <f t="shared" si="6"/>
        <v>0</v>
      </c>
      <c r="J103" s="237">
        <f t="shared" si="7"/>
        <v>38.824998474121088</v>
      </c>
      <c r="L103" s="555"/>
      <c r="M103" s="555"/>
    </row>
    <row r="104" spans="2:13">
      <c r="B104" s="234">
        <f>'Revenues &amp; Expenses'!K104</f>
        <v>39479</v>
      </c>
      <c r="C104" s="235">
        <f>PJM_01212000!C133</f>
        <v>38.824998474121088</v>
      </c>
      <c r="D104" s="159">
        <f>PJM_01212000!X104</f>
        <v>0.15175716647731197</v>
      </c>
      <c r="E104" s="159">
        <f>VLOOKUP(B104,'Revenues &amp; Expenses'!$K$8:$N$258,2)</f>
        <v>7.4049122616337018E-2</v>
      </c>
      <c r="F104" s="236">
        <f>VLOOKUP(B104,'Revenues &amp; Expenses'!$K$8:$N$246,4)</f>
        <v>0.55761936395772205</v>
      </c>
      <c r="G104" s="220">
        <f t="shared" si="4"/>
        <v>7.9123887748117729</v>
      </c>
      <c r="H104" s="220">
        <f t="shared" si="5"/>
        <v>2.8128968652995034</v>
      </c>
      <c r="I104" s="220">
        <f t="shared" si="6"/>
        <v>0</v>
      </c>
      <c r="J104" s="237">
        <f t="shared" si="7"/>
        <v>38.824998474121088</v>
      </c>
      <c r="L104" s="555"/>
      <c r="M104" s="555"/>
    </row>
    <row r="105" spans="2:13">
      <c r="B105" s="234">
        <f>'Revenues &amp; Expenses'!K105</f>
        <v>39508</v>
      </c>
      <c r="C105" s="235">
        <f>PJM_01212000!C134</f>
        <v>28.550000762939455</v>
      </c>
      <c r="D105" s="159">
        <f>PJM_01212000!X105</f>
        <v>0.12646430539775996</v>
      </c>
      <c r="E105" s="159">
        <f>VLOOKUP(B105,'Revenues &amp; Expenses'!$K$8:$N$258,2)</f>
        <v>7.4063138539555026E-2</v>
      </c>
      <c r="F105" s="236">
        <f>VLOOKUP(B105,'Revenues &amp; Expenses'!$K$8:$N$246,4)</f>
        <v>0.5543486622235968</v>
      </c>
      <c r="G105" s="220">
        <f t="shared" si="4"/>
        <v>7.9917864476386038</v>
      </c>
      <c r="H105" s="220">
        <f t="shared" si="5"/>
        <v>2.826974787230796</v>
      </c>
      <c r="I105" s="220">
        <f t="shared" si="6"/>
        <v>0</v>
      </c>
      <c r="J105" s="237">
        <f t="shared" si="7"/>
        <v>28.550000762939455</v>
      </c>
      <c r="L105" s="555"/>
      <c r="M105" s="555"/>
    </row>
    <row r="106" spans="2:13">
      <c r="B106" s="234">
        <f>'Revenues &amp; Expenses'!K106</f>
        <v>39539</v>
      </c>
      <c r="C106" s="235">
        <f>PJM_01212000!C135</f>
        <v>28.325000762939453</v>
      </c>
      <c r="D106" s="159">
        <f>PJM_01212000!X106</f>
        <v>0.12014109012787198</v>
      </c>
      <c r="E106" s="159">
        <f>VLOOKUP(B106,'Revenues &amp; Expenses'!$K$8:$N$258,2)</f>
        <v>7.4078121078241022E-2</v>
      </c>
      <c r="F106" s="236">
        <f>VLOOKUP(B106,'Revenues &amp; Expenses'!$K$8:$N$246,4)</f>
        <v>0.55087229945877958</v>
      </c>
      <c r="G106" s="220">
        <f t="shared" si="4"/>
        <v>8.0766598220396997</v>
      </c>
      <c r="H106" s="220">
        <f t="shared" si="5"/>
        <v>2.8419464847248093</v>
      </c>
      <c r="I106" s="220">
        <f t="shared" si="6"/>
        <v>0</v>
      </c>
      <c r="J106" s="237">
        <f t="shared" si="7"/>
        <v>28.325000762939453</v>
      </c>
      <c r="L106" s="555"/>
      <c r="M106" s="555"/>
    </row>
    <row r="107" spans="2:13">
      <c r="B107" s="234">
        <f>'Revenues &amp; Expenses'!K107</f>
        <v>39569</v>
      </c>
      <c r="C107" s="235">
        <f>PJM_01212000!C136</f>
        <v>34.825000000000003</v>
      </c>
      <c r="D107" s="159">
        <f>PJM_01212000!X107</f>
        <v>0.13278752066764796</v>
      </c>
      <c r="E107" s="159">
        <f>VLOOKUP(B107,'Revenues &amp; Expenses'!$K$8:$N$258,2)</f>
        <v>7.4092620309297016E-2</v>
      </c>
      <c r="F107" s="236">
        <f>VLOOKUP(B107,'Revenues &amp; Expenses'!$K$8:$N$246,4)</f>
        <v>0.54752755780400564</v>
      </c>
      <c r="G107" s="220">
        <f t="shared" si="4"/>
        <v>8.1587953456536617</v>
      </c>
      <c r="H107" s="220">
        <f t="shared" si="5"/>
        <v>2.8563605069482496</v>
      </c>
      <c r="I107" s="220">
        <f t="shared" si="6"/>
        <v>0</v>
      </c>
      <c r="J107" s="237">
        <f t="shared" si="7"/>
        <v>34.825000000000003</v>
      </c>
      <c r="L107" s="555"/>
      <c r="M107" s="555"/>
    </row>
    <row r="108" spans="2:13">
      <c r="B108" s="234">
        <f>'Revenues &amp; Expenses'!K108</f>
        <v>39600</v>
      </c>
      <c r="C108" s="235">
        <f>PJM_01212000!C137</f>
        <v>59.849998474121094</v>
      </c>
      <c r="D108" s="159">
        <f>PJM_01212000!X108</f>
        <v>0.17072681228697595</v>
      </c>
      <c r="E108" s="159">
        <f>VLOOKUP(B108,'Revenues &amp; Expenses'!$K$8:$N$258,2)</f>
        <v>7.4107602848128021E-2</v>
      </c>
      <c r="F108" s="236">
        <f>VLOOKUP(B108,'Revenues &amp; Expenses'!$K$8:$N$246,4)</f>
        <v>0.54409134600917253</v>
      </c>
      <c r="G108" s="220">
        <f t="shared" si="4"/>
        <v>8.2436687200547567</v>
      </c>
      <c r="H108" s="220">
        <f t="shared" si="5"/>
        <v>2.8711789773636118</v>
      </c>
      <c r="I108" s="220">
        <f t="shared" si="6"/>
        <v>0</v>
      </c>
      <c r="J108" s="237">
        <f t="shared" si="7"/>
        <v>59.849998474121094</v>
      </c>
      <c r="L108" s="555"/>
      <c r="M108" s="555"/>
    </row>
    <row r="109" spans="2:13">
      <c r="B109" s="234">
        <f>'Revenues &amp; Expenses'!K109</f>
        <v>39630</v>
      </c>
      <c r="C109" s="235">
        <f>PJM_01212000!C138</f>
        <v>102.44999694824219</v>
      </c>
      <c r="D109" s="159">
        <f>PJM_01212000!X109</f>
        <v>0.20866610390630394</v>
      </c>
      <c r="E109" s="159">
        <f>VLOOKUP(B109,'Revenues &amp; Expenses'!$K$8:$N$258,2)</f>
        <v>7.4122102079324015E-2</v>
      </c>
      <c r="F109" s="236">
        <f>VLOOKUP(B109,'Revenues &amp; Expenses'!$K$8:$N$246,4)</f>
        <v>0.5407852518288927</v>
      </c>
      <c r="G109" s="220">
        <f t="shared" si="4"/>
        <v>8.3258042436687205</v>
      </c>
      <c r="H109" s="220">
        <f t="shared" si="5"/>
        <v>2.8854469746763187</v>
      </c>
      <c r="I109" s="220">
        <f t="shared" si="6"/>
        <v>0</v>
      </c>
      <c r="J109" s="237">
        <f t="shared" si="7"/>
        <v>102.44999694824219</v>
      </c>
      <c r="L109" s="555"/>
      <c r="M109" s="555"/>
    </row>
    <row r="110" spans="2:13">
      <c r="B110" s="234">
        <f>'Revenues &amp; Expenses'!K110</f>
        <v>39661</v>
      </c>
      <c r="C110" s="235">
        <f>PJM_01212000!C139</f>
        <v>89.449996948242188</v>
      </c>
      <c r="D110" s="159">
        <f>PJM_01212000!X110</f>
        <v>0.20866610390630394</v>
      </c>
      <c r="E110" s="159">
        <f>VLOOKUP(B110,'Revenues &amp; Expenses'!$K$8:$N$258,2)</f>
        <v>7.4137084618301027E-2</v>
      </c>
      <c r="F110" s="236">
        <f>VLOOKUP(B110,'Revenues &amp; Expenses'!$K$8:$N$246,4)</f>
        <v>0.5373887615622317</v>
      </c>
      <c r="G110" s="220">
        <f t="shared" si="4"/>
        <v>8.4106776180698155</v>
      </c>
      <c r="H110" s="220">
        <f t="shared" si="5"/>
        <v>2.9001168283484402</v>
      </c>
      <c r="I110" s="220">
        <f t="shared" si="6"/>
        <v>0</v>
      </c>
      <c r="J110" s="237">
        <f t="shared" si="7"/>
        <v>89.449996948242188</v>
      </c>
      <c r="L110" s="555"/>
      <c r="M110" s="555"/>
    </row>
    <row r="111" spans="2:13">
      <c r="B111" s="234">
        <f>'Revenues &amp; Expenses'!K111</f>
        <v>39692</v>
      </c>
      <c r="C111" s="235">
        <f>PJM_01212000!C140</f>
        <v>35.424998474121097</v>
      </c>
      <c r="D111" s="159">
        <f>PJM_01212000!X111</f>
        <v>0.13412880875519997</v>
      </c>
      <c r="E111" s="159">
        <f>VLOOKUP(B111,'Revenues &amp; Expenses'!$K$8:$N$258,2)</f>
        <v>7.4152067157352008E-2</v>
      </c>
      <c r="F111" s="236">
        <f>VLOOKUP(B111,'Revenues &amp; Expenses'!$K$8:$N$246,4)</f>
        <v>0.53401229440607301</v>
      </c>
      <c r="G111" s="220">
        <f t="shared" si="4"/>
        <v>8.4955509924709105</v>
      </c>
      <c r="H111" s="220">
        <f t="shared" si="5"/>
        <v>2.9147128490592191</v>
      </c>
      <c r="I111" s="220">
        <f t="shared" si="6"/>
        <v>0</v>
      </c>
      <c r="J111" s="237">
        <f t="shared" si="7"/>
        <v>35.424998474121097</v>
      </c>
      <c r="L111" s="555"/>
      <c r="M111" s="555"/>
    </row>
    <row r="112" spans="2:13">
      <c r="B112" s="234">
        <f>'Revenues &amp; Expenses'!K112</f>
        <v>39722</v>
      </c>
      <c r="C112" s="235">
        <f>PJM_01212000!C141</f>
        <v>29.075000381469728</v>
      </c>
      <c r="D112" s="159">
        <f>PJM_01212000!X112</f>
        <v>9.4848229048319979E-2</v>
      </c>
      <c r="E112" s="159">
        <f>VLOOKUP(B112,'Revenues &amp; Expenses'!$K$8:$N$258,2)</f>
        <v>7.4166566388762012E-2</v>
      </c>
      <c r="F112" s="236">
        <f>VLOOKUP(B112,'Revenues &amp; Expenses'!$K$8:$N$246,4)</f>
        <v>0.53076370726893729</v>
      </c>
      <c r="G112" s="220">
        <f t="shared" si="4"/>
        <v>8.5776865160848725</v>
      </c>
      <c r="H112" s="220">
        <f t="shared" si="5"/>
        <v>2.928768771358516</v>
      </c>
      <c r="I112" s="220">
        <f t="shared" si="6"/>
        <v>0</v>
      </c>
      <c r="J112" s="237">
        <f t="shared" si="7"/>
        <v>29.075000381469728</v>
      </c>
      <c r="L112" s="555"/>
      <c r="M112" s="555"/>
    </row>
    <row r="113" spans="2:13">
      <c r="B113" s="234">
        <f>'Revenues &amp; Expenses'!K113</f>
        <v>39753</v>
      </c>
      <c r="C113" s="235">
        <f>PJM_01212000!C142</f>
        <v>28.747499084472658</v>
      </c>
      <c r="D113" s="159">
        <f>PJM_01212000!X113</f>
        <v>9.4848229048319979E-2</v>
      </c>
      <c r="E113" s="159">
        <f>VLOOKUP(B113,'Revenues &amp; Expenses'!$K$8:$N$258,2)</f>
        <v>7.4181548927958016E-2</v>
      </c>
      <c r="F113" s="236">
        <f>VLOOKUP(B113,'Revenues &amp; Expenses'!$K$8:$N$246,4)</f>
        <v>0.52742632182094185</v>
      </c>
      <c r="G113" s="220">
        <f t="shared" si="4"/>
        <v>8.6625598904859693</v>
      </c>
      <c r="H113" s="220">
        <f t="shared" si="5"/>
        <v>2.9432227048740245</v>
      </c>
      <c r="I113" s="220">
        <f t="shared" si="6"/>
        <v>0</v>
      </c>
      <c r="J113" s="237">
        <f t="shared" si="7"/>
        <v>28.747499084472658</v>
      </c>
      <c r="L113" s="555"/>
      <c r="M113" s="555"/>
    </row>
    <row r="114" spans="2:13">
      <c r="B114" s="234">
        <f>'Revenues &amp; Expenses'!K114</f>
        <v>39783</v>
      </c>
      <c r="C114" s="235">
        <f>PJM_01212000!C143</f>
        <v>30.499999618530275</v>
      </c>
      <c r="D114" s="159">
        <f>PJM_01212000!X114</f>
        <v>9.4848229048319979E-2</v>
      </c>
      <c r="E114" s="159">
        <f>VLOOKUP(B114,'Revenues &amp; Expenses'!$K$8:$N$258,2)</f>
        <v>7.4196048159509018E-2</v>
      </c>
      <c r="F114" s="236">
        <f>VLOOKUP(B114,'Revenues &amp; Expenses'!$K$8:$N$246,4)</f>
        <v>0.52421535241972717</v>
      </c>
      <c r="G114" s="220">
        <f t="shared" si="4"/>
        <v>8.7446954140999313</v>
      </c>
      <c r="H114" s="220">
        <f t="shared" si="5"/>
        <v>2.9571431169458018</v>
      </c>
      <c r="I114" s="220">
        <f t="shared" si="6"/>
        <v>0</v>
      </c>
      <c r="J114" s="237">
        <f t="shared" si="7"/>
        <v>30.499999618530275</v>
      </c>
      <c r="L114" s="555"/>
      <c r="M114" s="555"/>
    </row>
    <row r="115" spans="2:13">
      <c r="B115" s="234">
        <f>'Revenues &amp; Expenses'!K115</f>
        <v>39814</v>
      </c>
      <c r="C115" s="235">
        <f>PJM_01212000!C144</f>
        <v>39.324998474121088</v>
      </c>
      <c r="D115" s="159">
        <f>PJM_01212000!X115</f>
        <v>0.14568687981821948</v>
      </c>
      <c r="E115" s="159">
        <f>VLOOKUP(B115,'Revenues &amp; Expenses'!$K$8:$N$258,2)</f>
        <v>7.4211030698851016E-2</v>
      </c>
      <c r="F115" s="236">
        <f>VLOOKUP(B115,'Revenues &amp; Expenses'!$K$8:$N$246,4)</f>
        <v>0.5209166296131954</v>
      </c>
      <c r="G115" s="220">
        <f t="shared" si="4"/>
        <v>8.8295687885010263</v>
      </c>
      <c r="H115" s="220">
        <f t="shared" si="5"/>
        <v>2.9714590336232178</v>
      </c>
      <c r="I115" s="220">
        <f t="shared" si="6"/>
        <v>0</v>
      </c>
      <c r="J115" s="237">
        <f t="shared" si="7"/>
        <v>39.324998474121088</v>
      </c>
      <c r="L115" s="555"/>
      <c r="M115" s="555"/>
    </row>
    <row r="116" spans="2:13">
      <c r="B116" s="234">
        <f>'Revenues &amp; Expenses'!K116</f>
        <v>39845</v>
      </c>
      <c r="C116" s="235">
        <f>PJM_01212000!C145</f>
        <v>39.324998474121088</v>
      </c>
      <c r="D116" s="159">
        <f>PJM_01212000!X116</f>
        <v>0.14568687981821948</v>
      </c>
      <c r="E116" s="159">
        <f>VLOOKUP(B116,'Revenues &amp; Expenses'!$K$8:$N$258,2)</f>
        <v>7.422601323826801E-2</v>
      </c>
      <c r="F116" s="236">
        <f>VLOOKUP(B116,'Revenues &amp; Expenses'!$K$8:$N$246,4)</f>
        <v>0.51763739574229861</v>
      </c>
      <c r="G116" s="220">
        <f t="shared" si="4"/>
        <v>8.9144421629021213</v>
      </c>
      <c r="H116" s="220">
        <f t="shared" si="5"/>
        <v>2.9857063088827274</v>
      </c>
      <c r="I116" s="220">
        <f t="shared" si="6"/>
        <v>0</v>
      </c>
      <c r="J116" s="237">
        <f t="shared" si="7"/>
        <v>39.324998474121088</v>
      </c>
      <c r="L116" s="555"/>
      <c r="M116" s="555"/>
    </row>
    <row r="117" spans="2:13">
      <c r="B117" s="234">
        <f>'Revenues &amp; Expenses'!K117</f>
        <v>39873</v>
      </c>
      <c r="C117" s="235">
        <f>PJM_01212000!C146</f>
        <v>29.050000762939455</v>
      </c>
      <c r="D117" s="159">
        <f>PJM_01212000!X117</f>
        <v>0.12140573318184956</v>
      </c>
      <c r="E117" s="159">
        <f>VLOOKUP(B117,'Revenues &amp; Expenses'!$K$8:$N$258,2)</f>
        <v>7.4239545854578023E-2</v>
      </c>
      <c r="F117" s="236">
        <f>VLOOKUP(B117,'Revenues &amp; Expenses'!$K$8:$N$246,4)</f>
        <v>0.51469216952292873</v>
      </c>
      <c r="G117" s="220">
        <f t="shared" si="4"/>
        <v>8.991101984941821</v>
      </c>
      <c r="H117" s="220">
        <f t="shared" si="5"/>
        <v>2.9985166307595863</v>
      </c>
      <c r="I117" s="220">
        <f t="shared" si="6"/>
        <v>0</v>
      </c>
      <c r="J117" s="237">
        <f t="shared" si="7"/>
        <v>29.050000762939455</v>
      </c>
      <c r="L117" s="555"/>
      <c r="M117" s="555"/>
    </row>
    <row r="118" spans="2:13">
      <c r="B118" s="234">
        <f>'Revenues &amp; Expenses'!K118</f>
        <v>39904</v>
      </c>
      <c r="C118" s="235">
        <f>PJM_01212000!C147</f>
        <v>28.825000762939453</v>
      </c>
      <c r="D118" s="159">
        <f>PJM_01212000!X118</f>
        <v>0.1153354465227571</v>
      </c>
      <c r="E118" s="159">
        <f>VLOOKUP(B118,'Revenues &amp; Expenses'!$K$8:$N$258,2)</f>
        <v>7.4254528394135003E-2</v>
      </c>
      <c r="F118" s="236">
        <f>VLOOKUP(B118,'Revenues &amp; Expenses'!$K$8:$N$246,4)</f>
        <v>0.51144973330331744</v>
      </c>
      <c r="G118" s="220">
        <f t="shared" si="4"/>
        <v>9.075975359342916</v>
      </c>
      <c r="H118" s="220">
        <f t="shared" si="5"/>
        <v>3.0126359486906007</v>
      </c>
      <c r="I118" s="220">
        <f t="shared" si="6"/>
        <v>0</v>
      </c>
      <c r="J118" s="237">
        <f t="shared" si="7"/>
        <v>28.825000762939453</v>
      </c>
      <c r="L118" s="555"/>
      <c r="M118" s="555"/>
    </row>
    <row r="119" spans="2:13">
      <c r="B119" s="234">
        <f>'Revenues &amp; Expenses'!K119</f>
        <v>39934</v>
      </c>
      <c r="C119" s="235">
        <f>PJM_01212000!C148</f>
        <v>36.075000000000003</v>
      </c>
      <c r="D119" s="159">
        <f>PJM_01212000!X119</f>
        <v>0.12747601984094203</v>
      </c>
      <c r="E119" s="159">
        <f>VLOOKUP(B119,'Revenues &amp; Expenses'!$K$8:$N$258,2)</f>
        <v>7.4269027626035003E-2</v>
      </c>
      <c r="F119" s="236">
        <f>VLOOKUP(B119,'Revenues &amp; Expenses'!$K$8:$N$246,4)</f>
        <v>0.50833015553540151</v>
      </c>
      <c r="G119" s="220">
        <f t="shared" si="4"/>
        <v>9.158110882956878</v>
      </c>
      <c r="H119" s="220">
        <f t="shared" si="5"/>
        <v>3.0262370830714631</v>
      </c>
      <c r="I119" s="220">
        <f t="shared" si="6"/>
        <v>0</v>
      </c>
      <c r="J119" s="237">
        <f t="shared" si="7"/>
        <v>36.075000000000003</v>
      </c>
      <c r="L119" s="555"/>
      <c r="M119" s="555"/>
    </row>
    <row r="120" spans="2:13">
      <c r="B120" s="234">
        <f>'Revenues &amp; Expenses'!K120</f>
        <v>39965</v>
      </c>
      <c r="C120" s="235">
        <f>PJM_01212000!C149</f>
        <v>61.099998474121094</v>
      </c>
      <c r="D120" s="159">
        <f>PJM_01212000!X120</f>
        <v>0.16389773979549691</v>
      </c>
      <c r="E120" s="159">
        <f>VLOOKUP(B120,'Revenues &amp; Expenses'!$K$8:$N$258,2)</f>
        <v>7.4284010165738018E-2</v>
      </c>
      <c r="F120" s="236">
        <f>VLOOKUP(B120,'Revenues &amp; Expenses'!$K$8:$N$246,4)</f>
        <v>0.50512536205173364</v>
      </c>
      <c r="G120" s="220">
        <f t="shared" si="4"/>
        <v>9.2429842573579748</v>
      </c>
      <c r="H120" s="220">
        <f t="shared" si="5"/>
        <v>3.0402276653826394</v>
      </c>
      <c r="I120" s="220">
        <f t="shared" si="6"/>
        <v>0</v>
      </c>
      <c r="J120" s="237">
        <f t="shared" si="7"/>
        <v>61.099998474121094</v>
      </c>
      <c r="L120" s="555"/>
      <c r="M120" s="555"/>
    </row>
    <row r="121" spans="2:13">
      <c r="B121" s="234">
        <f>'Revenues &amp; Expenses'!K121</f>
        <v>39995</v>
      </c>
      <c r="C121" s="235">
        <f>PJM_01212000!C150</f>
        <v>104.69999694824219</v>
      </c>
      <c r="D121" s="159">
        <f>PJM_01212000!X121</f>
        <v>0.20031945975005178</v>
      </c>
      <c r="E121" s="159">
        <f>VLOOKUP(B121,'Revenues &amp; Expenses'!$K$8:$N$258,2)</f>
        <v>7.4298509397779017E-2</v>
      </c>
      <c r="F121" s="236">
        <f>VLOOKUP(B121,'Revenues &amp; Expenses'!$K$8:$N$246,4)</f>
        <v>0.50204201626175271</v>
      </c>
      <c r="G121" s="220">
        <f t="shared" si="4"/>
        <v>9.3251197809719368</v>
      </c>
      <c r="H121" s="220">
        <f t="shared" si="5"/>
        <v>3.0537059093782979</v>
      </c>
      <c r="I121" s="220">
        <f t="shared" si="6"/>
        <v>0</v>
      </c>
      <c r="J121" s="237">
        <f t="shared" si="7"/>
        <v>104.69999694824219</v>
      </c>
      <c r="L121" s="555"/>
      <c r="M121" s="555"/>
    </row>
    <row r="122" spans="2:13">
      <c r="B122" s="234">
        <f>'Revenues &amp; Expenses'!K122</f>
        <v>40026</v>
      </c>
      <c r="C122" s="235">
        <f>PJM_01212000!C151</f>
        <v>91.699996948242188</v>
      </c>
      <c r="D122" s="159">
        <f>PJM_01212000!X122</f>
        <v>0.20031945975005178</v>
      </c>
      <c r="E122" s="159">
        <f>VLOOKUP(B122,'Revenues &amp; Expenses'!$K$8:$N$258,2)</f>
        <v>7.4313491937627998E-2</v>
      </c>
      <c r="F122" s="236">
        <f>VLOOKUP(B122,'Revenues &amp; Expenses'!$K$8:$N$246,4)</f>
        <v>0.49887446046185019</v>
      </c>
      <c r="G122" s="220">
        <f t="shared" si="4"/>
        <v>9.4099931553730318</v>
      </c>
      <c r="H122" s="220">
        <f t="shared" si="5"/>
        <v>3.0675712143930793</v>
      </c>
      <c r="I122" s="220">
        <f t="shared" si="6"/>
        <v>0</v>
      </c>
      <c r="J122" s="237">
        <f t="shared" si="7"/>
        <v>91.699996948242188</v>
      </c>
      <c r="L122" s="555"/>
      <c r="M122" s="555"/>
    </row>
    <row r="123" spans="2:13">
      <c r="B123" s="234">
        <f>'Revenues &amp; Expenses'!K123</f>
        <v>40057</v>
      </c>
      <c r="C123" s="235">
        <f>PJM_01212000!C152</f>
        <v>35.924998474121097</v>
      </c>
      <c r="D123" s="159">
        <f>PJM_01212000!X123</f>
        <v>0.12876365640499196</v>
      </c>
      <c r="E123" s="159">
        <f>VLOOKUP(B123,'Revenues &amp; Expenses'!$K$8:$N$258,2)</f>
        <v>7.4328474477551018E-2</v>
      </c>
      <c r="F123" s="236">
        <f>VLOOKUP(B123,'Revenues &amp; Expenses'!$K$8:$N$246,4)</f>
        <v>0.49572567477130808</v>
      </c>
      <c r="G123" s="220">
        <f t="shared" si="4"/>
        <v>9.4948665297741268</v>
      </c>
      <c r="H123" s="220">
        <f t="shared" si="5"/>
        <v>3.0813741301202175</v>
      </c>
      <c r="I123" s="220">
        <f t="shared" si="6"/>
        <v>0</v>
      </c>
      <c r="J123" s="237">
        <f t="shared" si="7"/>
        <v>35.924998474121097</v>
      </c>
      <c r="L123" s="555"/>
      <c r="M123" s="555"/>
    </row>
    <row r="124" spans="2:13">
      <c r="B124" s="234">
        <f>'Revenues &amp; Expenses'!K124</f>
        <v>40087</v>
      </c>
      <c r="C124" s="235">
        <f>PJM_01212000!C153</f>
        <v>29.575000381469728</v>
      </c>
      <c r="D124" s="159">
        <f>PJM_01212000!X124</f>
        <v>9.1054299886387177E-2</v>
      </c>
      <c r="E124" s="159">
        <f>VLOOKUP(B124,'Revenues &amp; Expenses'!$K$8:$N$258,2)</f>
        <v>7.4342973709804E-2</v>
      </c>
      <c r="F124" s="236">
        <f>VLOOKUP(B124,'Revenues &amp; Expenses'!$K$8:$N$246,4)</f>
        <v>0.49269623736971191</v>
      </c>
      <c r="G124" s="220">
        <f t="shared" si="4"/>
        <v>9.5770020533880906</v>
      </c>
      <c r="H124" s="220">
        <f t="shared" si="5"/>
        <v>3.0946731739212932</v>
      </c>
      <c r="I124" s="220">
        <f t="shared" si="6"/>
        <v>0</v>
      </c>
      <c r="J124" s="237">
        <f t="shared" si="7"/>
        <v>29.575000381469728</v>
      </c>
      <c r="L124" s="555"/>
      <c r="M124" s="555"/>
    </row>
    <row r="125" spans="2:13">
      <c r="B125" s="234">
        <f>'Revenues &amp; Expenses'!K125</f>
        <v>40118</v>
      </c>
      <c r="C125" s="235">
        <f>PJM_01212000!C154</f>
        <v>29.247499084472658</v>
      </c>
      <c r="D125" s="159">
        <f>PJM_01212000!X125</f>
        <v>9.1054299886387177E-2</v>
      </c>
      <c r="E125" s="159">
        <f>VLOOKUP(B125,'Revenues &amp; Expenses'!$K$8:$N$258,2)</f>
        <v>7.4357956249873014E-2</v>
      </c>
      <c r="F125" s="236">
        <f>VLOOKUP(B125,'Revenues &amp; Expenses'!$K$8:$N$246,4)</f>
        <v>0.48958408593606678</v>
      </c>
      <c r="G125" s="220">
        <f t="shared" si="4"/>
        <v>9.6618754277891856</v>
      </c>
      <c r="H125" s="220">
        <f t="shared" si="5"/>
        <v>3.108355743442051</v>
      </c>
      <c r="I125" s="220">
        <f t="shared" si="6"/>
        <v>0</v>
      </c>
      <c r="J125" s="237">
        <f t="shared" si="7"/>
        <v>29.247499084472658</v>
      </c>
      <c r="L125" s="555"/>
      <c r="M125" s="555"/>
    </row>
    <row r="126" spans="2:13">
      <c r="B126" s="234">
        <f>'Revenues &amp; Expenses'!K126</f>
        <v>40148</v>
      </c>
      <c r="C126" s="235">
        <f>PJM_01212000!C155</f>
        <v>30.999999618530275</v>
      </c>
      <c r="D126" s="159">
        <f>PJM_01212000!X126</f>
        <v>9.1054299886387177E-2</v>
      </c>
      <c r="E126" s="159">
        <f>VLOOKUP(B126,'Revenues &amp; Expenses'!$K$8:$N$258,2)</f>
        <v>7.4372455482268021E-2</v>
      </c>
      <c r="F126" s="236">
        <f>VLOOKUP(B126,'Revenues &amp; Expenses'!$K$8:$N$246,4)</f>
        <v>0.48658990934541541</v>
      </c>
      <c r="G126" s="220">
        <f t="shared" si="4"/>
        <v>9.7440109514031477</v>
      </c>
      <c r="H126" s="220">
        <f t="shared" si="5"/>
        <v>3.1215398365875693</v>
      </c>
      <c r="I126" s="220">
        <f t="shared" si="6"/>
        <v>0</v>
      </c>
      <c r="J126" s="237">
        <f t="shared" si="7"/>
        <v>30.999999618530275</v>
      </c>
      <c r="L126" s="555"/>
      <c r="M126" s="555"/>
    </row>
    <row r="127" spans="2:13">
      <c r="B127" s="234">
        <f>'Revenues &amp; Expenses'!K127</f>
        <v>40179</v>
      </c>
      <c r="C127" s="235">
        <f>PJM_01212000!C156</f>
        <v>39.824998474121088</v>
      </c>
      <c r="D127" s="159">
        <f>PJM_01212000!X127</f>
        <v>0.13985940462549071</v>
      </c>
      <c r="E127" s="159">
        <f>VLOOKUP(B127,'Revenues &amp; Expenses'!$K$8:$N$258,2)</f>
        <v>7.438743802248203E-2</v>
      </c>
      <c r="F127" s="236">
        <f>VLOOKUP(B127,'Revenues &amp; Expenses'!$K$8:$N$246,4)</f>
        <v>0.48351399697489028</v>
      </c>
      <c r="G127" s="220">
        <f t="shared" si="4"/>
        <v>9.8288843258042444</v>
      </c>
      <c r="H127" s="220">
        <f t="shared" si="5"/>
        <v>3.1351051538671304</v>
      </c>
      <c r="I127" s="220">
        <f t="shared" si="6"/>
        <v>0</v>
      </c>
      <c r="J127" s="237">
        <f t="shared" si="7"/>
        <v>39.824998474121088</v>
      </c>
      <c r="L127" s="555"/>
      <c r="M127" s="555"/>
    </row>
    <row r="128" spans="2:13">
      <c r="B128" s="234">
        <f>'Revenues &amp; Expenses'!K128</f>
        <v>40210</v>
      </c>
      <c r="C128" s="235">
        <f>PJM_01212000!C157</f>
        <v>39.824998474121088</v>
      </c>
      <c r="D128" s="159">
        <f>PJM_01212000!X128</f>
        <v>0.13985940462549071</v>
      </c>
      <c r="E128" s="159">
        <f>VLOOKUP(B128,'Revenues &amp; Expenses'!$K$8:$N$258,2)</f>
        <v>7.4402420562771021E-2</v>
      </c>
      <c r="F128" s="236">
        <f>VLOOKUP(B128,'Revenues &amp; Expenses'!$K$8:$N$246,4)</f>
        <v>0.48045635096898015</v>
      </c>
      <c r="G128" s="220">
        <f t="shared" si="4"/>
        <v>9.9137577002053394</v>
      </c>
      <c r="H128" s="220">
        <f t="shared" si="5"/>
        <v>3.1486120275774434</v>
      </c>
      <c r="I128" s="220">
        <f t="shared" si="6"/>
        <v>0</v>
      </c>
      <c r="J128" s="237">
        <f t="shared" si="7"/>
        <v>39.824998474121088</v>
      </c>
      <c r="L128" s="555"/>
      <c r="M128" s="555"/>
    </row>
    <row r="129" spans="2:13">
      <c r="B129" s="234">
        <f>'Revenues &amp; Expenses'!K129</f>
        <v>40238</v>
      </c>
      <c r="C129" s="235">
        <f>PJM_01212000!C158</f>
        <v>29.550000762939455</v>
      </c>
      <c r="D129" s="159">
        <f>PJM_01212000!X129</f>
        <v>0.11654950385457558</v>
      </c>
      <c r="E129" s="159">
        <f>VLOOKUP(B129,'Revenues &amp; Expenses'!$K$8:$N$258,2)</f>
        <v>7.4415953179869029E-2</v>
      </c>
      <c r="F129" s="236">
        <f>VLOOKUP(B129,'Revenues &amp; Expenses'!$K$8:$N$246,4)</f>
        <v>0.47771022286491061</v>
      </c>
      <c r="G129" s="220">
        <f t="shared" si="4"/>
        <v>9.9904175222450373</v>
      </c>
      <c r="H129" s="220">
        <f t="shared" si="5"/>
        <v>3.1607621742619356</v>
      </c>
      <c r="I129" s="220">
        <f t="shared" si="6"/>
        <v>0</v>
      </c>
      <c r="J129" s="237">
        <f t="shared" si="7"/>
        <v>29.550000762939455</v>
      </c>
      <c r="L129" s="555"/>
      <c r="M129" s="555"/>
    </row>
    <row r="130" spans="2:13">
      <c r="B130" s="234">
        <f>'Revenues &amp; Expenses'!K130</f>
        <v>40269</v>
      </c>
      <c r="C130" s="235">
        <f>PJM_01212000!C159</f>
        <v>29.325000762939453</v>
      </c>
      <c r="D130" s="159">
        <f>PJM_01212000!X130</f>
        <v>0.11072202866184681</v>
      </c>
      <c r="E130" s="159">
        <f>VLOOKUP(B130,'Revenues &amp; Expenses'!$K$8:$N$258,2)</f>
        <v>7.4415331083391018E-2</v>
      </c>
      <c r="F130" s="236">
        <f>VLOOKUP(B130,'Revenues &amp; Expenses'!$K$8:$N$246,4)</f>
        <v>0.47475988376968126</v>
      </c>
      <c r="G130" s="220">
        <f t="shared" si="4"/>
        <v>10.075290896646132</v>
      </c>
      <c r="H130" s="220">
        <f t="shared" si="5"/>
        <v>3.1741598725719742</v>
      </c>
      <c r="I130" s="220">
        <f t="shared" si="6"/>
        <v>0</v>
      </c>
      <c r="J130" s="237">
        <f t="shared" si="7"/>
        <v>29.325000762939453</v>
      </c>
      <c r="L130" s="555"/>
      <c r="M130" s="555"/>
    </row>
    <row r="131" spans="2:13">
      <c r="B131" s="234">
        <f>'Revenues &amp; Expenses'!K131</f>
        <v>40299</v>
      </c>
      <c r="C131" s="235">
        <f>PJM_01212000!C160</f>
        <v>37.325000000000003</v>
      </c>
      <c r="D131" s="159">
        <f>PJM_01212000!X131</f>
        <v>0.12237697904730435</v>
      </c>
      <c r="E131" s="159">
        <f>VLOOKUP(B131,'Revenues &amp; Expenses'!$K$8:$N$258,2)</f>
        <v>7.4410324519944018E-2</v>
      </c>
      <c r="F131" s="236">
        <f>VLOOKUP(B131,'Revenues &amp; Expenses'!$K$8:$N$246,4)</f>
        <v>0.4719427106093031</v>
      </c>
      <c r="G131" s="220">
        <f t="shared" si="4"/>
        <v>10.157426420260096</v>
      </c>
      <c r="H131" s="220">
        <f t="shared" si="5"/>
        <v>3.187071762646724</v>
      </c>
      <c r="I131" s="220">
        <f t="shared" si="6"/>
        <v>0</v>
      </c>
      <c r="J131" s="237">
        <f t="shared" si="7"/>
        <v>37.325000000000003</v>
      </c>
      <c r="L131" s="555"/>
      <c r="M131" s="555"/>
    </row>
    <row r="132" spans="2:13">
      <c r="B132" s="234">
        <f>'Revenues &amp; Expenses'!K132</f>
        <v>40330</v>
      </c>
      <c r="C132" s="235">
        <f>PJM_01212000!C161</f>
        <v>62.349998474121094</v>
      </c>
      <c r="D132" s="159">
        <f>PJM_01212000!X132</f>
        <v>0.15734183020367704</v>
      </c>
      <c r="E132" s="159">
        <f>VLOOKUP(B132,'Revenues &amp; Expenses'!$K$8:$N$258,2)</f>
        <v>7.4405151071058009E-2</v>
      </c>
      <c r="F132" s="236">
        <f>VLOOKUP(B132,'Revenues &amp; Expenses'!$K$8:$N$246,4)</f>
        <v>0.46904958322754942</v>
      </c>
      <c r="G132" s="220">
        <f t="shared" si="4"/>
        <v>10.242299794661191</v>
      </c>
      <c r="H132" s="220">
        <f t="shared" si="5"/>
        <v>3.2003593227419311</v>
      </c>
      <c r="I132" s="220">
        <f t="shared" si="6"/>
        <v>0</v>
      </c>
      <c r="J132" s="237">
        <f t="shared" si="7"/>
        <v>62.349998474121094</v>
      </c>
      <c r="L132" s="555"/>
      <c r="M132" s="555"/>
    </row>
    <row r="133" spans="2:13">
      <c r="B133" s="234">
        <f>'Revenues &amp; Expenses'!K133</f>
        <v>40360</v>
      </c>
      <c r="C133" s="235">
        <f>PJM_01212000!C162</f>
        <v>106.94999694824219</v>
      </c>
      <c r="D133" s="159">
        <f>PJM_01212000!X133</f>
        <v>0.19230668136004969</v>
      </c>
      <c r="E133" s="159">
        <f>VLOOKUP(B133,'Revenues &amp; Expenses'!$K$8:$N$258,2)</f>
        <v>7.440014450762801E-2</v>
      </c>
      <c r="F133" s="236">
        <f>VLOOKUP(B133,'Revenues &amp; Expenses'!$K$8:$N$246,4)</f>
        <v>0.46626704623979814</v>
      </c>
      <c r="G133" s="220">
        <f t="shared" si="4"/>
        <v>10.324435318275153</v>
      </c>
      <c r="H133" s="220">
        <f t="shared" si="5"/>
        <v>3.2131659338221477</v>
      </c>
      <c r="I133" s="220">
        <f t="shared" si="6"/>
        <v>0</v>
      </c>
      <c r="J133" s="237">
        <f t="shared" si="7"/>
        <v>106.94999694824219</v>
      </c>
      <c r="L133" s="555"/>
      <c r="M133" s="555"/>
    </row>
    <row r="134" spans="2:13">
      <c r="B134" s="234">
        <f>'Revenues &amp; Expenses'!K134</f>
        <v>40391</v>
      </c>
      <c r="C134" s="235">
        <f>PJM_01212000!C163</f>
        <v>93.949996948242188</v>
      </c>
      <c r="D134" s="159">
        <f>PJM_01212000!X134</f>
        <v>0.19230668136004969</v>
      </c>
      <c r="E134" s="159">
        <f>VLOOKUP(B134,'Revenues &amp; Expenses'!$K$8:$N$258,2)</f>
        <v>7.4394971058760001E-2</v>
      </c>
      <c r="F134" s="236">
        <f>VLOOKUP(B134,'Revenues &amp; Expenses'!$K$8:$N$246,4)</f>
        <v>0.46340948428482165</v>
      </c>
      <c r="G134" s="220">
        <f t="shared" si="4"/>
        <v>10.40930869267625</v>
      </c>
      <c r="H134" s="220">
        <f t="shared" si="5"/>
        <v>3.2263460280441478</v>
      </c>
      <c r="I134" s="220">
        <f t="shared" si="6"/>
        <v>0</v>
      </c>
      <c r="J134" s="237">
        <f t="shared" si="7"/>
        <v>93.949996948242188</v>
      </c>
      <c r="L134" s="555"/>
      <c r="M134" s="555"/>
    </row>
    <row r="135" spans="2:13">
      <c r="B135" s="234">
        <f>'Revenues &amp; Expenses'!K135</f>
        <v>40422</v>
      </c>
      <c r="C135" s="235">
        <f>PJM_01212000!C164</f>
        <v>36.424998474121097</v>
      </c>
      <c r="D135" s="159">
        <f>PJM_01212000!X135</f>
        <v>0.12361311014879228</v>
      </c>
      <c r="E135" s="159">
        <f>VLOOKUP(B135,'Revenues &amp; Expenses'!$K$8:$N$258,2)</f>
        <v>7.4389797609900013E-2</v>
      </c>
      <c r="F135" s="236">
        <f>VLOOKUP(B135,'Revenues &amp; Expenses'!$K$8:$N$246,4)</f>
        <v>0.46056982518632961</v>
      </c>
      <c r="G135" s="220">
        <f t="shared" si="4"/>
        <v>10.494182067077345</v>
      </c>
      <c r="H135" s="220">
        <f t="shared" si="5"/>
        <v>3.2394724982745795</v>
      </c>
      <c r="I135" s="220">
        <f t="shared" si="6"/>
        <v>0</v>
      </c>
      <c r="J135" s="237">
        <f t="shared" si="7"/>
        <v>36.424998474121097</v>
      </c>
      <c r="L135" s="555"/>
      <c r="M135" s="555"/>
    </row>
    <row r="136" spans="2:13">
      <c r="B136" s="234">
        <f>'Revenues &amp; Expenses'!K136</f>
        <v>40452</v>
      </c>
      <c r="C136" s="235">
        <f>PJM_01212000!C165</f>
        <v>30.075000381469728</v>
      </c>
      <c r="D136" s="159">
        <f>PJM_01212000!X136</f>
        <v>8.7412127890931682E-2</v>
      </c>
      <c r="E136" s="159">
        <f>VLOOKUP(B136,'Revenues &amp; Expenses'!$K$8:$N$258,2)</f>
        <v>7.438479104649702E-2</v>
      </c>
      <c r="F136" s="236">
        <f>VLOOKUP(B136,'Revenues &amp; Expenses'!$K$8:$N$246,4)</f>
        <v>0.4578387060479096</v>
      </c>
      <c r="G136" s="220">
        <f t="shared" si="4"/>
        <v>10.576317590691307</v>
      </c>
      <c r="H136" s="220">
        <f t="shared" si="5"/>
        <v>3.252125088413929</v>
      </c>
      <c r="I136" s="220">
        <f t="shared" si="6"/>
        <v>0</v>
      </c>
      <c r="J136" s="237">
        <f t="shared" si="7"/>
        <v>30.075000381469728</v>
      </c>
      <c r="L136" s="555"/>
      <c r="M136" s="555"/>
    </row>
    <row r="137" spans="2:13">
      <c r="B137" s="234">
        <f>'Revenues &amp; Expenses'!K137</f>
        <v>40483</v>
      </c>
      <c r="C137" s="235">
        <f>PJM_01212000!C166</f>
        <v>29.747499084472658</v>
      </c>
      <c r="D137" s="159">
        <f>PJM_01212000!X137</f>
        <v>8.7412127890931682E-2</v>
      </c>
      <c r="E137" s="159">
        <f>VLOOKUP(B137,'Revenues &amp; Expenses'!$K$8:$N$258,2)</f>
        <v>7.4379617597654019E-2</v>
      </c>
      <c r="F137" s="236">
        <f>VLOOKUP(B137,'Revenues &amp; Expenses'!$K$8:$N$246,4)</f>
        <v>0.45503394153593618</v>
      </c>
      <c r="G137" s="220">
        <f t="shared" ref="G137:G200" si="8">(B137-$B$1)/365.25</f>
        <v>10.661190965092402</v>
      </c>
      <c r="H137" s="220">
        <f t="shared" ref="H137:H200" si="9">SQRT(G137)</f>
        <v>3.2651479239220391</v>
      </c>
      <c r="I137" s="220">
        <f t="shared" ref="I137:I200" si="10">IF($I$2=0,0,-(D137^2)/2)</f>
        <v>0</v>
      </c>
      <c r="J137" s="237">
        <f t="shared" si="7"/>
        <v>29.747499084472658</v>
      </c>
      <c r="L137" s="555"/>
      <c r="M137" s="555"/>
    </row>
    <row r="138" spans="2:13">
      <c r="B138" s="234">
        <f>'Revenues &amp; Expenses'!K138</f>
        <v>40513</v>
      </c>
      <c r="C138" s="235">
        <f>PJM_01212000!C167</f>
        <v>31.499999618530275</v>
      </c>
      <c r="D138" s="159">
        <f>PJM_01212000!X138</f>
        <v>8.7412127890931682E-2</v>
      </c>
      <c r="E138" s="159">
        <f>VLOOKUP(B138,'Revenues &amp; Expenses'!$K$8:$N$258,2)</f>
        <v>7.4374611034266999E-2</v>
      </c>
      <c r="F138" s="236">
        <f>VLOOKUP(B138,'Revenues &amp; Expenses'!$K$8:$N$246,4)</f>
        <v>0.45233637889151584</v>
      </c>
      <c r="G138" s="220">
        <f t="shared" si="8"/>
        <v>10.743326488706366</v>
      </c>
      <c r="H138" s="220">
        <f t="shared" si="9"/>
        <v>3.277701403225493</v>
      </c>
      <c r="I138" s="220">
        <f t="shared" si="10"/>
        <v>0</v>
      </c>
      <c r="J138" s="237">
        <f t="shared" si="7"/>
        <v>31.499999618530275</v>
      </c>
      <c r="L138" s="555"/>
      <c r="M138" s="555"/>
    </row>
    <row r="139" spans="2:13">
      <c r="B139" s="234">
        <f>'Revenues &amp; Expenses'!K139</f>
        <v>40544</v>
      </c>
      <c r="C139" s="235">
        <f>PJM_01212000!C168</f>
        <v>40.074998474121088</v>
      </c>
      <c r="D139" s="159">
        <f>PJM_01212000!X139</f>
        <v>0.13426502844047108</v>
      </c>
      <c r="E139" s="159">
        <f>VLOOKUP(B139,'Revenues &amp; Expenses'!$K$8:$N$258,2)</f>
        <v>7.4369437585442011E-2</v>
      </c>
      <c r="F139" s="236">
        <f>VLOOKUP(B139,'Revenues &amp; Expenses'!$K$8:$N$246,4)</f>
        <v>0.44956607129656323</v>
      </c>
      <c r="G139" s="220">
        <f t="shared" si="8"/>
        <v>10.828199863107461</v>
      </c>
      <c r="H139" s="220">
        <f t="shared" si="9"/>
        <v>3.2906230205095599</v>
      </c>
      <c r="I139" s="220">
        <f t="shared" si="10"/>
        <v>0</v>
      </c>
      <c r="J139" s="237">
        <f t="shared" si="7"/>
        <v>40.074998474121088</v>
      </c>
      <c r="L139" s="555"/>
      <c r="M139" s="555"/>
    </row>
    <row r="140" spans="2:13">
      <c r="B140" s="234">
        <f>'Revenues &amp; Expenses'!K140</f>
        <v>40575</v>
      </c>
      <c r="C140" s="235">
        <f>PJM_01212000!C169</f>
        <v>40.074998474121088</v>
      </c>
      <c r="D140" s="159">
        <f>PJM_01212000!X140</f>
        <v>0.13426502844047108</v>
      </c>
      <c r="E140" s="159">
        <f>VLOOKUP(B140,'Revenues &amp; Expenses'!$K$8:$N$258,2)</f>
        <v>7.4364264136626015E-2</v>
      </c>
      <c r="F140" s="236">
        <f>VLOOKUP(B140,'Revenues &amp; Expenses'!$K$8:$N$246,4)</f>
        <v>0.44681310866161328</v>
      </c>
      <c r="G140" s="220">
        <f t="shared" si="8"/>
        <v>10.913073237508556</v>
      </c>
      <c r="H140" s="220">
        <f t="shared" si="9"/>
        <v>3.3034940952737535</v>
      </c>
      <c r="I140" s="220">
        <f t="shared" si="10"/>
        <v>0</v>
      </c>
      <c r="J140" s="237">
        <f t="shared" si="7"/>
        <v>40.074998474121088</v>
      </c>
      <c r="L140" s="555"/>
      <c r="M140" s="555"/>
    </row>
    <row r="141" spans="2:13">
      <c r="B141" s="234">
        <f>'Revenues &amp; Expenses'!K141</f>
        <v>40603</v>
      </c>
      <c r="C141" s="235">
        <f>PJM_01212000!C170</f>
        <v>29.800000762939455</v>
      </c>
      <c r="D141" s="159">
        <f>PJM_01212000!X141</f>
        <v>0.11188752370039255</v>
      </c>
      <c r="E141" s="159">
        <f>VLOOKUP(B141,'Revenues &amp; Expenses'!$K$8:$N$258,2)</f>
        <v>7.4359591344155013E-2</v>
      </c>
      <c r="F141" s="236">
        <f>VLOOKUP(B141,'Revenues &amp; Expenses'!$K$8:$N$246,4)</f>
        <v>0.44434137790091477</v>
      </c>
      <c r="G141" s="220">
        <f t="shared" si="8"/>
        <v>10.989733059548255</v>
      </c>
      <c r="H141" s="220">
        <f t="shared" si="9"/>
        <v>3.3150766295137517</v>
      </c>
      <c r="I141" s="220">
        <f t="shared" si="10"/>
        <v>0</v>
      </c>
      <c r="J141" s="237">
        <f t="shared" ref="J141:J204" si="11">C141*EXP(I141*G141+D141*$I$2*H141)</f>
        <v>29.800000762939455</v>
      </c>
      <c r="L141" s="555"/>
      <c r="M141" s="555"/>
    </row>
    <row r="142" spans="2:13">
      <c r="B142" s="234">
        <f>'Revenues &amp; Expenses'!K142</f>
        <v>40634</v>
      </c>
      <c r="C142" s="235">
        <f>PJM_01212000!C171</f>
        <v>29.575000762939453</v>
      </c>
      <c r="D142" s="159">
        <f>PJM_01212000!X142</f>
        <v>0.10629314751537294</v>
      </c>
      <c r="E142" s="159">
        <f>VLOOKUP(B142,'Revenues &amp; Expenses'!$K$8:$N$258,2)</f>
        <v>7.4354417895356004E-2</v>
      </c>
      <c r="F142" s="236">
        <f>VLOOKUP(B142,'Revenues &amp; Expenses'!$K$8:$N$246,4)</f>
        <v>0.44162112096298678</v>
      </c>
      <c r="G142" s="220">
        <f t="shared" si="8"/>
        <v>11.07460643394935</v>
      </c>
      <c r="H142" s="220">
        <f t="shared" si="9"/>
        <v>3.3278531268596199</v>
      </c>
      <c r="I142" s="220">
        <f t="shared" si="10"/>
        <v>0</v>
      </c>
      <c r="J142" s="237">
        <f t="shared" si="11"/>
        <v>29.575000762939453</v>
      </c>
      <c r="L142" s="555"/>
      <c r="M142" s="555"/>
    </row>
    <row r="143" spans="2:13">
      <c r="B143" s="234">
        <f>'Revenues &amp; Expenses'!K143</f>
        <v>40664</v>
      </c>
      <c r="C143" s="235">
        <f>PJM_01212000!C172</f>
        <v>37.575000000000003</v>
      </c>
      <c r="D143" s="159">
        <f>PJM_01212000!X143</f>
        <v>0.11748189988541217</v>
      </c>
      <c r="E143" s="159">
        <f>VLOOKUP(B143,'Revenues &amp; Expenses'!$K$8:$N$258,2)</f>
        <v>7.4349411332009008E-2</v>
      </c>
      <c r="F143" s="236">
        <f>VLOOKUP(B143,'Revenues &amp; Expenses'!$K$8:$N$246,4)</f>
        <v>0.43900482552622222</v>
      </c>
      <c r="G143" s="220">
        <f t="shared" si="8"/>
        <v>11.156741957563312</v>
      </c>
      <c r="H143" s="220">
        <f t="shared" si="9"/>
        <v>3.3401709473563344</v>
      </c>
      <c r="I143" s="220">
        <f t="shared" si="10"/>
        <v>0</v>
      </c>
      <c r="J143" s="237">
        <f t="shared" si="11"/>
        <v>37.575000000000003</v>
      </c>
      <c r="L143" s="555"/>
      <c r="M143" s="555"/>
    </row>
    <row r="144" spans="2:13">
      <c r="B144" s="234">
        <f>'Revenues &amp; Expenses'!K144</f>
        <v>40695</v>
      </c>
      <c r="C144" s="235">
        <f>PJM_01212000!C173</f>
        <v>63.099998474121094</v>
      </c>
      <c r="D144" s="159">
        <f>PJM_01212000!X144</f>
        <v>0.15104815699552995</v>
      </c>
      <c r="E144" s="159">
        <f>VLOOKUP(B144,'Revenues &amp; Expenses'!$K$8:$N$258,2)</f>
        <v>7.4344237883228012E-2</v>
      </c>
      <c r="F144" s="236">
        <f>VLOOKUP(B144,'Revenues &amp; Expenses'!$K$8:$N$246,4)</f>
        <v>0.43631796601260575</v>
      </c>
      <c r="G144" s="220">
        <f t="shared" si="8"/>
        <v>11.241615331964407</v>
      </c>
      <c r="H144" s="220">
        <f t="shared" si="9"/>
        <v>3.3528518207586222</v>
      </c>
      <c r="I144" s="220">
        <f t="shared" si="10"/>
        <v>0</v>
      </c>
      <c r="J144" s="237">
        <f t="shared" si="11"/>
        <v>63.099998474121094</v>
      </c>
      <c r="L144" s="555"/>
      <c r="M144" s="555"/>
    </row>
    <row r="145" spans="2:13">
      <c r="B145" s="234">
        <f>'Revenues &amp; Expenses'!K145</f>
        <v>40725</v>
      </c>
      <c r="C145" s="235">
        <f>PJM_01212000!C174</f>
        <v>109.19999694824219</v>
      </c>
      <c r="D145" s="159">
        <f>PJM_01212000!X145</f>
        <v>0.18461441410564769</v>
      </c>
      <c r="E145" s="159">
        <f>VLOOKUP(B145,'Revenues &amp; Expenses'!$K$8:$N$258,2)</f>
        <v>7.4339231319899002E-2</v>
      </c>
      <c r="F145" s="236">
        <f>VLOOKUP(B145,'Revenues &amp; Expenses'!$K$8:$N$246,4)</f>
        <v>0.4337337874939835</v>
      </c>
      <c r="G145" s="220">
        <f t="shared" si="8"/>
        <v>11.323750855578371</v>
      </c>
      <c r="H145" s="220">
        <f t="shared" si="9"/>
        <v>3.3650781351371877</v>
      </c>
      <c r="I145" s="220">
        <f t="shared" si="10"/>
        <v>0</v>
      </c>
      <c r="J145" s="237">
        <f t="shared" si="11"/>
        <v>109.19999694824219</v>
      </c>
      <c r="L145" s="555"/>
      <c r="M145" s="555"/>
    </row>
    <row r="146" spans="2:13">
      <c r="B146" s="234">
        <f>'Revenues &amp; Expenses'!K146</f>
        <v>40756</v>
      </c>
      <c r="C146" s="235">
        <f>PJM_01212000!C175</f>
        <v>96.199996948242188</v>
      </c>
      <c r="D146" s="159">
        <f>PJM_01212000!X146</f>
        <v>0.18461441410564769</v>
      </c>
      <c r="E146" s="159">
        <f>VLOOKUP(B146,'Revenues &amp; Expenses'!$K$8:$N$258,2)</f>
        <v>7.4334057871135006E-2</v>
      </c>
      <c r="F146" s="236">
        <f>VLOOKUP(B146,'Revenues &amp; Expenses'!$K$8:$N$246,4)</f>
        <v>0.43107990687313497</v>
      </c>
      <c r="G146" s="220">
        <f t="shared" si="8"/>
        <v>11.408624229979466</v>
      </c>
      <c r="H146" s="220">
        <f t="shared" si="9"/>
        <v>3.3776655000132068</v>
      </c>
      <c r="I146" s="220">
        <f t="shared" si="10"/>
        <v>0</v>
      </c>
      <c r="J146" s="237">
        <f t="shared" si="11"/>
        <v>96.199996948242188</v>
      </c>
      <c r="L146" s="555"/>
      <c r="M146" s="555"/>
    </row>
    <row r="147" spans="2:13">
      <c r="B147" s="234">
        <f>'Revenues &amp; Expenses'!K147</f>
        <v>40787</v>
      </c>
      <c r="C147" s="235">
        <f>PJM_01212000!C176</f>
        <v>36.924998474121097</v>
      </c>
      <c r="D147" s="159">
        <f>PJM_01212000!X147</f>
        <v>0.11866858574284059</v>
      </c>
      <c r="E147" s="159">
        <f>VLOOKUP(B147,'Revenues &amp; Expenses'!$K$8:$N$258,2)</f>
        <v>7.4328884422379032E-2</v>
      </c>
      <c r="F147" s="236">
        <f>VLOOKUP(B147,'Revenues &amp; Expenses'!$K$8:$N$246,4)</f>
        <v>0.42844262733949767</v>
      </c>
      <c r="G147" s="220">
        <f t="shared" si="8"/>
        <v>11.493497604380561</v>
      </c>
      <c r="H147" s="220">
        <f t="shared" si="9"/>
        <v>3.390206130072412</v>
      </c>
      <c r="I147" s="220">
        <f t="shared" si="10"/>
        <v>0</v>
      </c>
      <c r="J147" s="237">
        <f t="shared" si="11"/>
        <v>36.924998474121097</v>
      </c>
      <c r="L147" s="555"/>
      <c r="M147" s="555"/>
    </row>
    <row r="148" spans="2:13">
      <c r="B148" s="234">
        <f>'Revenues &amp; Expenses'!K148</f>
        <v>40817</v>
      </c>
      <c r="C148" s="235">
        <f>PJM_01212000!C177</f>
        <v>30.325000381469728</v>
      </c>
      <c r="D148" s="159">
        <f>PJM_01212000!X148</f>
        <v>8.3915642775294411E-2</v>
      </c>
      <c r="E148" s="159">
        <f>VLOOKUP(B148,'Revenues &amp; Expenses'!$K$8:$N$258,2)</f>
        <v>7.4323877859076001E-2</v>
      </c>
      <c r="F148" s="236">
        <f>VLOOKUP(B148,'Revenues &amp; Expenses'!$K$8:$N$246,4)</f>
        <v>0.42590612792549426</v>
      </c>
      <c r="G148" s="220">
        <f t="shared" si="8"/>
        <v>11.575633127994525</v>
      </c>
      <c r="H148" s="220">
        <f t="shared" si="9"/>
        <v>3.4022982126783838</v>
      </c>
      <c r="I148" s="220">
        <f t="shared" si="10"/>
        <v>0</v>
      </c>
      <c r="J148" s="237">
        <f t="shared" si="11"/>
        <v>30.325000381469728</v>
      </c>
      <c r="L148" s="555"/>
      <c r="M148" s="555"/>
    </row>
    <row r="149" spans="2:13">
      <c r="B149" s="234">
        <f>'Revenues &amp; Expenses'!K149</f>
        <v>40848</v>
      </c>
      <c r="C149" s="235">
        <f>PJM_01212000!C178</f>
        <v>29.997499084472658</v>
      </c>
      <c r="D149" s="159">
        <f>PJM_01212000!X149</f>
        <v>8.3915642775294411E-2</v>
      </c>
      <c r="E149" s="159">
        <f>VLOOKUP(B149,'Revenues &amp; Expenses'!$K$8:$N$258,2)</f>
        <v>7.4318704410337014E-2</v>
      </c>
      <c r="F149" s="236">
        <f>VLOOKUP(B149,'Revenues &amp; Expenses'!$K$8:$N$246,4)</f>
        <v>0.42330120614812733</v>
      </c>
      <c r="G149" s="220">
        <f t="shared" si="8"/>
        <v>11.66050650239562</v>
      </c>
      <c r="H149" s="220">
        <f t="shared" si="9"/>
        <v>3.4147483805392778</v>
      </c>
      <c r="I149" s="220">
        <f t="shared" si="10"/>
        <v>0</v>
      </c>
      <c r="J149" s="237">
        <f t="shared" si="11"/>
        <v>29.997499084472658</v>
      </c>
      <c r="L149" s="555"/>
      <c r="M149" s="555"/>
    </row>
    <row r="150" spans="2:13">
      <c r="B150" s="234">
        <f>'Revenues &amp; Expenses'!K150</f>
        <v>40878</v>
      </c>
      <c r="C150" s="235">
        <f>PJM_01212000!C179</f>
        <v>31.749999618530275</v>
      </c>
      <c r="D150" s="159">
        <f>PJM_01212000!X150</f>
        <v>8.3915642775294411E-2</v>
      </c>
      <c r="E150" s="159">
        <f>VLOOKUP(B150,'Revenues &amp; Expenses'!$K$8:$N$258,2)</f>
        <v>7.4313697847050011E-2</v>
      </c>
      <c r="F150" s="236">
        <f>VLOOKUP(B150,'Revenues &amp; Expenses'!$K$8:$N$246,4)</f>
        <v>0.42079582396906579</v>
      </c>
      <c r="G150" s="220">
        <f t="shared" si="8"/>
        <v>11.742642026009582</v>
      </c>
      <c r="H150" s="220">
        <f t="shared" si="9"/>
        <v>3.4267538613109614</v>
      </c>
      <c r="I150" s="220">
        <f t="shared" si="10"/>
        <v>0</v>
      </c>
      <c r="J150" s="237">
        <f t="shared" si="11"/>
        <v>31.749999618530275</v>
      </c>
      <c r="L150" s="555"/>
      <c r="M150" s="555"/>
    </row>
    <row r="151" spans="2:13">
      <c r="B151" s="234">
        <f>'Revenues &amp; Expenses'!K151</f>
        <v>40909</v>
      </c>
      <c r="C151" s="235">
        <f>PJM_01212000!C180</f>
        <v>40.324998474121088</v>
      </c>
      <c r="D151" s="159">
        <f>PJM_01212000!X151</f>
        <v>0.12889442730285225</v>
      </c>
      <c r="E151" s="159">
        <f>VLOOKUP(B151,'Revenues &amp; Expenses'!$K$8:$N$258,2)</f>
        <v>7.4308524398330023E-2</v>
      </c>
      <c r="F151" s="236">
        <f>VLOOKUP(B151,'Revenues &amp; Expenses'!$K$8:$N$246,4)</f>
        <v>0.41822285469682063</v>
      </c>
      <c r="G151" s="220">
        <f t="shared" si="8"/>
        <v>11.827515400410677</v>
      </c>
      <c r="H151" s="220">
        <f t="shared" si="9"/>
        <v>3.4391154968117421</v>
      </c>
      <c r="I151" s="220">
        <f t="shared" si="10"/>
        <v>0</v>
      </c>
      <c r="J151" s="237">
        <f t="shared" si="11"/>
        <v>40.324998474121088</v>
      </c>
      <c r="L151" s="555"/>
      <c r="M151" s="555"/>
    </row>
    <row r="152" spans="2:13">
      <c r="B152" s="234">
        <f>'Revenues &amp; Expenses'!K152</f>
        <v>40940</v>
      </c>
      <c r="C152" s="235">
        <f>PJM_01212000!C181</f>
        <v>40.324998474121088</v>
      </c>
      <c r="D152" s="159">
        <f>PJM_01212000!X152</f>
        <v>0.12889442730285225</v>
      </c>
      <c r="E152" s="159">
        <f>VLOOKUP(B152,'Revenues &amp; Expenses'!$K$8:$N$258,2)</f>
        <v>7.4303350949618013E-2</v>
      </c>
      <c r="F152" s="236">
        <f>VLOOKUP(B152,'Revenues &amp; Expenses'!$K$8:$N$246,4)</f>
        <v>0.4156659699389651</v>
      </c>
      <c r="G152" s="220">
        <f t="shared" si="8"/>
        <v>11.912388774811772</v>
      </c>
      <c r="H152" s="220">
        <f t="shared" si="9"/>
        <v>3.4514328582216072</v>
      </c>
      <c r="I152" s="220">
        <f t="shared" si="10"/>
        <v>0</v>
      </c>
      <c r="J152" s="237">
        <f t="shared" si="11"/>
        <v>40.324998474121088</v>
      </c>
      <c r="L152" s="555"/>
      <c r="M152" s="555"/>
    </row>
    <row r="153" spans="2:13">
      <c r="B153" s="234">
        <f>'Revenues &amp; Expenses'!K153</f>
        <v>40969</v>
      </c>
      <c r="C153" s="235">
        <f>PJM_01212000!C182</f>
        <v>30.050000762939455</v>
      </c>
      <c r="D153" s="159">
        <f>PJM_01212000!X153</f>
        <v>0.10741202275237685</v>
      </c>
      <c r="E153" s="159">
        <f>VLOOKUP(B153,'Revenues &amp; Expenses'!$K$8:$N$258,2)</f>
        <v>7.4298511271798012E-2</v>
      </c>
      <c r="F153" s="236">
        <f>VLOOKUP(B153,'Revenues &amp; Expenses'!$K$8:$N$246,4)</f>
        <v>0.41328851596860589</v>
      </c>
      <c r="G153" s="220">
        <f t="shared" si="8"/>
        <v>11.991786447638603</v>
      </c>
      <c r="H153" s="220">
        <f t="shared" si="9"/>
        <v>3.4629158880398183</v>
      </c>
      <c r="I153" s="220">
        <f t="shared" si="10"/>
        <v>0</v>
      </c>
      <c r="J153" s="237">
        <f t="shared" si="11"/>
        <v>30.050000762939455</v>
      </c>
      <c r="L153" s="555"/>
      <c r="M153" s="555"/>
    </row>
    <row r="154" spans="2:13">
      <c r="B154" s="234">
        <f>'Revenues &amp; Expenses'!K154</f>
        <v>41000</v>
      </c>
      <c r="C154" s="235">
        <f>PJM_01212000!C183</f>
        <v>29.825000762939453</v>
      </c>
      <c r="D154" s="159">
        <f>PJM_01212000!X154</f>
        <v>0.10204142161475802</v>
      </c>
      <c r="E154" s="159">
        <f>VLOOKUP(B154,'Revenues &amp; Expenses'!$K$8:$N$258,2)</f>
        <v>7.4293337823104003E-2</v>
      </c>
      <c r="F154" s="236">
        <f>VLOOKUP(B154,'Revenues &amp; Expenses'!$K$8:$N$246,4)</f>
        <v>0.41076247150824302</v>
      </c>
      <c r="G154" s="220">
        <f t="shared" si="8"/>
        <v>12.0766598220397</v>
      </c>
      <c r="H154" s="220">
        <f t="shared" si="9"/>
        <v>3.4751488920677485</v>
      </c>
      <c r="I154" s="220">
        <f t="shared" si="10"/>
        <v>0</v>
      </c>
      <c r="J154" s="237">
        <f t="shared" si="11"/>
        <v>29.825000762939453</v>
      </c>
      <c r="L154" s="555"/>
      <c r="M154" s="555"/>
    </row>
    <row r="155" spans="2:13">
      <c r="B155" s="234">
        <f>'Revenues &amp; Expenses'!K155</f>
        <v>41030</v>
      </c>
      <c r="C155" s="235">
        <f>PJM_01212000!C184</f>
        <v>37.825000000000003</v>
      </c>
      <c r="D155" s="159">
        <f>PJM_01212000!X155</f>
        <v>0.11278262388999569</v>
      </c>
      <c r="E155" s="159">
        <f>VLOOKUP(B155,'Revenues &amp; Expenses'!$K$8:$N$258,2)</f>
        <v>7.4288331259859022E-2</v>
      </c>
      <c r="F155" s="236">
        <f>VLOOKUP(B155,'Revenues &amp; Expenses'!$K$8:$N$246,4)</f>
        <v>0.40833294287988564</v>
      </c>
      <c r="G155" s="220">
        <f t="shared" si="8"/>
        <v>12.158795345653662</v>
      </c>
      <c r="H155" s="220">
        <f t="shared" si="9"/>
        <v>3.4869464213913099</v>
      </c>
      <c r="I155" s="220">
        <f t="shared" si="10"/>
        <v>0</v>
      </c>
      <c r="J155" s="237">
        <f t="shared" si="11"/>
        <v>37.825000000000003</v>
      </c>
      <c r="L155" s="555"/>
      <c r="M155" s="555"/>
    </row>
    <row r="156" spans="2:13">
      <c r="B156" s="234">
        <f>'Revenues &amp; Expenses'!K156</f>
        <v>41061</v>
      </c>
      <c r="C156" s="235">
        <f>PJM_01212000!C185</f>
        <v>63.849998474121094</v>
      </c>
      <c r="D156" s="159">
        <f>PJM_01212000!X156</f>
        <v>0.14500623071570876</v>
      </c>
      <c r="E156" s="159">
        <f>VLOOKUP(B156,'Revenues &amp; Expenses'!$K$8:$N$258,2)</f>
        <v>7.4283157811181028E-2</v>
      </c>
      <c r="F156" s="236">
        <f>VLOOKUP(B156,'Revenues &amp; Expenses'!$K$8:$N$246,4)</f>
        <v>0.40583786348409506</v>
      </c>
      <c r="G156" s="220">
        <f t="shared" si="8"/>
        <v>12.243668720054757</v>
      </c>
      <c r="H156" s="220">
        <f t="shared" si="9"/>
        <v>3.499095414539986</v>
      </c>
      <c r="I156" s="220">
        <f t="shared" si="10"/>
        <v>0</v>
      </c>
      <c r="J156" s="237">
        <f t="shared" si="11"/>
        <v>63.849998474121094</v>
      </c>
      <c r="L156" s="555"/>
      <c r="M156" s="555"/>
    </row>
    <row r="157" spans="2:13">
      <c r="B157" s="234">
        <f>'Revenues &amp; Expenses'!K157</f>
        <v>41091</v>
      </c>
      <c r="C157" s="235">
        <f>PJM_01212000!C186</f>
        <v>111.44999694824219</v>
      </c>
      <c r="D157" s="159">
        <f>PJM_01212000!X157</f>
        <v>0.17722983754142177</v>
      </c>
      <c r="E157" s="159">
        <f>VLOOKUP(B157,'Revenues &amp; Expenses'!$K$8:$N$258,2)</f>
        <v>7.4278151247953006E-2</v>
      </c>
      <c r="F157" s="236">
        <f>VLOOKUP(B157,'Revenues &amp; Expenses'!$K$8:$N$246,4)</f>
        <v>0.40343811295464965</v>
      </c>
      <c r="G157" s="220">
        <f t="shared" si="8"/>
        <v>12.325804243668721</v>
      </c>
      <c r="H157" s="220">
        <f t="shared" si="9"/>
        <v>3.510812476289316</v>
      </c>
      <c r="I157" s="220">
        <f t="shared" si="10"/>
        <v>0</v>
      </c>
      <c r="J157" s="237">
        <f t="shared" si="11"/>
        <v>111.44999694824219</v>
      </c>
      <c r="L157" s="555"/>
      <c r="M157" s="555"/>
    </row>
    <row r="158" spans="2:13">
      <c r="B158" s="234">
        <f>'Revenues &amp; Expenses'!K158</f>
        <v>41122</v>
      </c>
      <c r="C158" s="235">
        <f>PJM_01212000!C187</f>
        <v>98.449996948242188</v>
      </c>
      <c r="D158" s="159">
        <f>PJM_01212000!X158</f>
        <v>0.17722983754142177</v>
      </c>
      <c r="E158" s="159">
        <f>VLOOKUP(B158,'Revenues &amp; Expenses'!$K$8:$N$258,2)</f>
        <v>7.4272977799293011E-2</v>
      </c>
      <c r="F158" s="236">
        <f>VLOOKUP(B158,'Revenues &amp; Expenses'!$K$8:$N$246,4)</f>
        <v>0.40097361114942387</v>
      </c>
      <c r="G158" s="220">
        <f t="shared" si="8"/>
        <v>12.410677618069816</v>
      </c>
      <c r="H158" s="220">
        <f t="shared" si="9"/>
        <v>3.5228791659762919</v>
      </c>
      <c r="I158" s="220">
        <f t="shared" si="10"/>
        <v>0</v>
      </c>
      <c r="J158" s="237">
        <f t="shared" si="11"/>
        <v>98.449996948242188</v>
      </c>
      <c r="L158" s="555"/>
      <c r="M158" s="555"/>
    </row>
    <row r="159" spans="2:13">
      <c r="B159" s="234">
        <f>'Revenues &amp; Expenses'!K159</f>
        <v>41153</v>
      </c>
      <c r="C159" s="235">
        <f>PJM_01212000!C188</f>
        <v>37.424998474121097</v>
      </c>
      <c r="D159" s="159">
        <f>PJM_01212000!X159</f>
        <v>0.11392184231312696</v>
      </c>
      <c r="E159" s="159">
        <f>VLOOKUP(B159,'Revenues &amp; Expenses'!$K$8:$N$258,2)</f>
        <v>7.4267804350642008E-2</v>
      </c>
      <c r="F159" s="236">
        <f>VLOOKUP(B159,'Revenues &amp; Expenses'!$K$8:$N$246,4)</f>
        <v>0.39852450187009214</v>
      </c>
      <c r="G159" s="220">
        <f t="shared" si="8"/>
        <v>12.495550992470911</v>
      </c>
      <c r="H159" s="220">
        <f t="shared" si="9"/>
        <v>3.5349046652591509</v>
      </c>
      <c r="I159" s="220">
        <f t="shared" si="10"/>
        <v>0</v>
      </c>
      <c r="J159" s="237">
        <f t="shared" si="11"/>
        <v>37.424998474121097</v>
      </c>
      <c r="L159" s="555"/>
      <c r="M159" s="555"/>
    </row>
    <row r="160" spans="2:13">
      <c r="B160" s="234">
        <f>'Revenues &amp; Expenses'!K160</f>
        <v>41183</v>
      </c>
      <c r="C160" s="235">
        <f>PJM_01212000!C189</f>
        <v>30.575000381469728</v>
      </c>
      <c r="D160" s="159">
        <f>PJM_01212000!X160</f>
        <v>8.0559017064282631E-2</v>
      </c>
      <c r="E160" s="159">
        <f>VLOOKUP(B160,'Revenues &amp; Expenses'!$K$8:$N$258,2)</f>
        <v>7.4262797787439022E-2</v>
      </c>
      <c r="F160" s="236">
        <f>VLOOKUP(B160,'Revenues &amp; Expenses'!$K$8:$N$246,4)</f>
        <v>0.39616895939848518</v>
      </c>
      <c r="G160" s="220">
        <f t="shared" si="8"/>
        <v>12.577686516084873</v>
      </c>
      <c r="H160" s="220">
        <f t="shared" si="9"/>
        <v>3.5465034211297293</v>
      </c>
      <c r="I160" s="220">
        <f t="shared" si="10"/>
        <v>0</v>
      </c>
      <c r="J160" s="237">
        <f t="shared" si="11"/>
        <v>30.575000381469728</v>
      </c>
      <c r="L160" s="555"/>
      <c r="M160" s="555"/>
    </row>
    <row r="161" spans="2:13">
      <c r="B161" s="234">
        <f>'Revenues &amp; Expenses'!K161</f>
        <v>41214</v>
      </c>
      <c r="C161" s="235">
        <f>PJM_01212000!C190</f>
        <v>30.247499084472658</v>
      </c>
      <c r="D161" s="159">
        <f>PJM_01212000!X161</f>
        <v>8.0559017064282631E-2</v>
      </c>
      <c r="E161" s="159">
        <f>VLOOKUP(B161,'Revenues &amp; Expenses'!$K$8:$N$258,2)</f>
        <v>7.4257624338805006E-2</v>
      </c>
      <c r="F161" s="236">
        <f>VLOOKUP(B161,'Revenues &amp; Expenses'!$K$8:$N$246,4)</f>
        <v>0.39374985265197981</v>
      </c>
      <c r="G161" s="220">
        <f t="shared" si="8"/>
        <v>12.662559890485969</v>
      </c>
      <c r="H161" s="220">
        <f t="shared" si="9"/>
        <v>3.5584490849927821</v>
      </c>
      <c r="I161" s="220">
        <f t="shared" si="10"/>
        <v>0</v>
      </c>
      <c r="J161" s="237">
        <f t="shared" si="11"/>
        <v>30.247499084472658</v>
      </c>
      <c r="L161" s="555"/>
      <c r="M161" s="555"/>
    </row>
    <row r="162" spans="2:13">
      <c r="B162" s="234">
        <f>'Revenues &amp; Expenses'!K162</f>
        <v>41244</v>
      </c>
      <c r="C162" s="235">
        <f>PJM_01212000!C191</f>
        <v>31.999999618530275</v>
      </c>
      <c r="D162" s="159">
        <f>PJM_01212000!X162</f>
        <v>8.0559017064282631E-2</v>
      </c>
      <c r="E162" s="159">
        <f>VLOOKUP(B162,'Revenues &amp; Expenses'!$K$8:$N$258,2)</f>
        <v>7.4252617775620006E-2</v>
      </c>
      <c r="F162" s="236">
        <f>VLOOKUP(B162,'Revenues &amp; Expenses'!$K$8:$N$246,4)</f>
        <v>0.39142316275722272</v>
      </c>
      <c r="G162" s="220">
        <f t="shared" si="8"/>
        <v>12.744695414099931</v>
      </c>
      <c r="H162" s="220">
        <f t="shared" si="9"/>
        <v>3.5699713463976055</v>
      </c>
      <c r="I162" s="220">
        <f t="shared" si="10"/>
        <v>0</v>
      </c>
      <c r="J162" s="237">
        <f t="shared" si="11"/>
        <v>31.999999618530275</v>
      </c>
      <c r="L162" s="555"/>
      <c r="M162" s="555"/>
    </row>
    <row r="163" spans="2:13">
      <c r="B163" s="234">
        <f>'Revenues &amp; Expenses'!K163</f>
        <v>41275</v>
      </c>
      <c r="C163" s="235">
        <f>PJM_01212000!C192</f>
        <v>40.574998474121088</v>
      </c>
      <c r="D163" s="159">
        <f>PJM_01212000!X163</f>
        <v>0.12373865021073815</v>
      </c>
      <c r="E163" s="159">
        <f>VLOOKUP(B163,'Revenues &amp; Expenses'!$K$8:$N$258,2)</f>
        <v>7.4247444327003018E-2</v>
      </c>
      <c r="F163" s="236">
        <f>VLOOKUP(B163,'Revenues &amp; Expenses'!$K$8:$N$246,4)</f>
        <v>0.38903368334708766</v>
      </c>
      <c r="G163" s="220">
        <f t="shared" si="8"/>
        <v>12.829568788501026</v>
      </c>
      <c r="H163" s="220">
        <f t="shared" si="9"/>
        <v>3.5818387440672179</v>
      </c>
      <c r="I163" s="220">
        <f t="shared" si="10"/>
        <v>0</v>
      </c>
      <c r="J163" s="237">
        <f t="shared" si="11"/>
        <v>40.574998474121088</v>
      </c>
      <c r="L163" s="555"/>
      <c r="M163" s="555"/>
    </row>
    <row r="164" spans="2:13">
      <c r="B164" s="234">
        <f>'Revenues &amp; Expenses'!K164</f>
        <v>41306</v>
      </c>
      <c r="C164" s="235">
        <f>PJM_01212000!C193</f>
        <v>40.574998474121088</v>
      </c>
      <c r="D164" s="159">
        <f>PJM_01212000!X164</f>
        <v>0.12373865021073815</v>
      </c>
      <c r="E164" s="159">
        <f>VLOOKUP(B164,'Revenues &amp; Expenses'!$K$8:$N$258,2)</f>
        <v>7.4242270878395009E-2</v>
      </c>
      <c r="F164" s="236">
        <f>VLOOKUP(B164,'Revenues &amp; Expenses'!$K$8:$N$246,4)</f>
        <v>0.38665911820070931</v>
      </c>
      <c r="G164" s="220">
        <f t="shared" si="8"/>
        <v>12.914442162902121</v>
      </c>
      <c r="H164" s="220">
        <f t="shared" si="9"/>
        <v>3.5936669521398503</v>
      </c>
      <c r="I164" s="220">
        <f t="shared" si="10"/>
        <v>0</v>
      </c>
      <c r="J164" s="237">
        <f t="shared" si="11"/>
        <v>40.574998474121088</v>
      </c>
      <c r="L164" s="555"/>
      <c r="M164" s="555"/>
    </row>
    <row r="165" spans="2:13">
      <c r="B165" s="234">
        <f>'Revenues &amp; Expenses'!K165</f>
        <v>41334</v>
      </c>
      <c r="C165" s="235">
        <f>PJM_01212000!C194</f>
        <v>30.300000762939455</v>
      </c>
      <c r="D165" s="159">
        <f>PJM_01212000!X165</f>
        <v>0.10311554184228178</v>
      </c>
      <c r="E165" s="159">
        <f>VLOOKUP(B165,'Revenues &amp; Expenses'!$K$8:$N$258,2)</f>
        <v>7.4237598086112008E-2</v>
      </c>
      <c r="F165" s="236">
        <f>VLOOKUP(B165,'Revenues &amp; Expenses'!$K$8:$N$246,4)</f>
        <v>0.38452708974175076</v>
      </c>
      <c r="G165" s="220">
        <f t="shared" si="8"/>
        <v>12.991101984941821</v>
      </c>
      <c r="H165" s="220">
        <f t="shared" si="9"/>
        <v>3.6043171315717797</v>
      </c>
      <c r="I165" s="220">
        <f t="shared" si="10"/>
        <v>0</v>
      </c>
      <c r="J165" s="237">
        <f t="shared" si="11"/>
        <v>30.300000762939455</v>
      </c>
      <c r="L165" s="555"/>
      <c r="M165" s="555"/>
    </row>
    <row r="166" spans="2:13">
      <c r="B166" s="234">
        <f>'Revenues &amp; Expenses'!K166</f>
        <v>41365</v>
      </c>
      <c r="C166" s="235">
        <f>PJM_01212000!C195</f>
        <v>30.075000762939453</v>
      </c>
      <c r="D166" s="159">
        <f>PJM_01212000!X166</f>
        <v>9.7959764750167697E-2</v>
      </c>
      <c r="E166" s="159">
        <f>VLOOKUP(B166,'Revenues &amp; Expenses'!$K$8:$N$258,2)</f>
        <v>7.4232424637521027E-2</v>
      </c>
      <c r="F166" s="236">
        <f>VLOOKUP(B166,'Revenues &amp; Expenses'!$K$8:$N$246,4)</f>
        <v>0.38218064774511246</v>
      </c>
      <c r="G166" s="220">
        <f t="shared" si="8"/>
        <v>13.075975359342916</v>
      </c>
      <c r="H166" s="220">
        <f t="shared" si="9"/>
        <v>3.6160718133553318</v>
      </c>
      <c r="I166" s="220">
        <f t="shared" si="10"/>
        <v>0</v>
      </c>
      <c r="J166" s="237">
        <f t="shared" si="11"/>
        <v>30.075000762939453</v>
      </c>
      <c r="L166" s="555"/>
      <c r="M166" s="555"/>
    </row>
    <row r="167" spans="2:13">
      <c r="B167" s="234">
        <f>'Revenues &amp; Expenses'!K167</f>
        <v>41395</v>
      </c>
      <c r="C167" s="235">
        <f>PJM_01212000!C196</f>
        <v>38.075000000000003</v>
      </c>
      <c r="D167" s="159">
        <f>PJM_01212000!X167</f>
        <v>0.10827131893439586</v>
      </c>
      <c r="E167" s="159">
        <f>VLOOKUP(B167,'Revenues &amp; Expenses'!$K$8:$N$258,2)</f>
        <v>7.4227418074377008E-2</v>
      </c>
      <c r="F167" s="236">
        <f>VLOOKUP(B167,'Revenues &amp; Expenses'!$K$8:$N$246,4)</f>
        <v>0.37992383764982213</v>
      </c>
      <c r="G167" s="220">
        <f t="shared" si="8"/>
        <v>13.158110882956878</v>
      </c>
      <c r="H167" s="220">
        <f t="shared" si="9"/>
        <v>3.6274110441135394</v>
      </c>
      <c r="I167" s="220">
        <f t="shared" si="10"/>
        <v>0</v>
      </c>
      <c r="J167" s="237">
        <f t="shared" si="11"/>
        <v>38.075000000000003</v>
      </c>
      <c r="L167" s="555"/>
      <c r="M167" s="555"/>
    </row>
    <row r="168" spans="2:13">
      <c r="B168" s="234">
        <f>'Revenues &amp; Expenses'!K168</f>
        <v>41426</v>
      </c>
      <c r="C168" s="235">
        <f>PJM_01212000!C197</f>
        <v>64.599998474121094</v>
      </c>
      <c r="D168" s="159">
        <f>PJM_01212000!X168</f>
        <v>0.13920598148708041</v>
      </c>
      <c r="E168" s="159">
        <f>VLOOKUP(B168,'Revenues &amp; Expenses'!$K$8:$N$258,2)</f>
        <v>7.4222244625802999E-2</v>
      </c>
      <c r="F168" s="236">
        <f>VLOOKUP(B168,'Revenues &amp; Expenses'!$K$8:$N$246,4)</f>
        <v>0.37760611467099525</v>
      </c>
      <c r="G168" s="220">
        <f t="shared" si="8"/>
        <v>13.242984257357975</v>
      </c>
      <c r="H168" s="220">
        <f t="shared" si="9"/>
        <v>3.6390911306750722</v>
      </c>
      <c r="I168" s="220">
        <f t="shared" si="10"/>
        <v>0</v>
      </c>
      <c r="J168" s="237">
        <f t="shared" si="11"/>
        <v>64.599998474121094</v>
      </c>
      <c r="L168" s="555"/>
      <c r="M168" s="555"/>
    </row>
    <row r="169" spans="2:13">
      <c r="B169" s="234">
        <f>'Revenues &amp; Expenses'!K169</f>
        <v>41456</v>
      </c>
      <c r="C169" s="235">
        <f>PJM_01212000!C198</f>
        <v>113.69999694824219</v>
      </c>
      <c r="D169" s="159">
        <f>PJM_01212000!X169</f>
        <v>0.17014064403976489</v>
      </c>
      <c r="E169" s="159">
        <f>VLOOKUP(B169,'Revenues &amp; Expenses'!$K$8:$N$258,2)</f>
        <v>7.4217238062676022E-2</v>
      </c>
      <c r="F169" s="236">
        <f>VLOOKUP(B169,'Revenues &amp; Expenses'!$K$8:$N$246,4)</f>
        <v>0.37537692298347058</v>
      </c>
      <c r="G169" s="220">
        <f t="shared" si="8"/>
        <v>13.325119780971937</v>
      </c>
      <c r="H169" s="220">
        <f t="shared" si="9"/>
        <v>3.6503588564649281</v>
      </c>
      <c r="I169" s="220">
        <f t="shared" si="10"/>
        <v>0</v>
      </c>
      <c r="J169" s="237">
        <f t="shared" si="11"/>
        <v>113.69999694824219</v>
      </c>
      <c r="L169" s="555"/>
      <c r="M169" s="555"/>
    </row>
    <row r="170" spans="2:13">
      <c r="B170" s="234">
        <f>'Revenues &amp; Expenses'!K170</f>
        <v>41487</v>
      </c>
      <c r="C170" s="235">
        <f>PJM_01212000!C199</f>
        <v>100.69999694824219</v>
      </c>
      <c r="D170" s="159">
        <f>PJM_01212000!X170</f>
        <v>0.17014064403976489</v>
      </c>
      <c r="E170" s="159">
        <f>VLOOKUP(B170,'Revenues &amp; Expenses'!$K$8:$N$258,2)</f>
        <v>7.4212064614119014E-2</v>
      </c>
      <c r="F170" s="236">
        <f>VLOOKUP(B170,'Revenues &amp; Expenses'!$K$8:$N$246,4)</f>
        <v>0.37308756018617306</v>
      </c>
      <c r="G170" s="220">
        <f t="shared" si="8"/>
        <v>13.409993155373032</v>
      </c>
      <c r="H170" s="220">
        <f t="shared" si="9"/>
        <v>3.6619657501638421</v>
      </c>
      <c r="I170" s="220">
        <f t="shared" si="10"/>
        <v>0</v>
      </c>
      <c r="J170" s="237">
        <f t="shared" si="11"/>
        <v>100.69999694824219</v>
      </c>
      <c r="L170" s="555"/>
      <c r="M170" s="555"/>
    </row>
    <row r="171" spans="2:13">
      <c r="B171" s="234">
        <f>'Revenues &amp; Expenses'!K171</f>
        <v>41518</v>
      </c>
      <c r="C171" s="235">
        <f>PJM_01212000!C200</f>
        <v>37.924998474121097</v>
      </c>
      <c r="D171" s="159">
        <f>PJM_01212000!X171</f>
        <v>0.10936496862060188</v>
      </c>
      <c r="E171" s="159">
        <f>VLOOKUP(B171,'Revenues &amp; Expenses'!$K$8:$N$258,2)</f>
        <v>7.4206891165572011E-2</v>
      </c>
      <c r="F171" s="236">
        <f>VLOOKUP(B171,'Revenues &amp; Expenses'!$K$8:$N$246,4)</f>
        <v>0.37081247389024752</v>
      </c>
      <c r="G171" s="220">
        <f t="shared" si="8"/>
        <v>13.494866529774127</v>
      </c>
      <c r="H171" s="220">
        <f t="shared" si="9"/>
        <v>3.6735359709378277</v>
      </c>
      <c r="I171" s="220">
        <f t="shared" si="10"/>
        <v>0</v>
      </c>
      <c r="J171" s="237">
        <f t="shared" si="11"/>
        <v>37.924998474121097</v>
      </c>
      <c r="L171" s="555"/>
      <c r="M171" s="555"/>
    </row>
    <row r="172" spans="2:13">
      <c r="B172" s="234">
        <f>'Revenues &amp; Expenses'!K172</f>
        <v>41548</v>
      </c>
      <c r="C172" s="235">
        <f>PJM_01212000!C201</f>
        <v>30.825000381469728</v>
      </c>
      <c r="D172" s="159">
        <f>PJM_01212000!X172</f>
        <v>7.7336656381711319E-2</v>
      </c>
      <c r="E172" s="159">
        <f>VLOOKUP(B172,'Revenues &amp; Expenses'!$K$8:$N$258,2)</f>
        <v>7.420188460247E-2</v>
      </c>
      <c r="F172" s="236">
        <f>VLOOKUP(B172,'Revenues &amp; Expenses'!$K$8:$N$246,4)</f>
        <v>0.36862428498409106</v>
      </c>
      <c r="G172" s="220">
        <f t="shared" si="8"/>
        <v>13.577002053388091</v>
      </c>
      <c r="H172" s="220">
        <f t="shared" si="9"/>
        <v>3.6846983666764488</v>
      </c>
      <c r="I172" s="220">
        <f t="shared" si="10"/>
        <v>0</v>
      </c>
      <c r="J172" s="237">
        <f t="shared" si="11"/>
        <v>30.825000381469728</v>
      </c>
      <c r="L172" s="555"/>
      <c r="M172" s="555"/>
    </row>
    <row r="173" spans="2:13">
      <c r="B173" s="234">
        <f>'Revenues &amp; Expenses'!K173</f>
        <v>41579</v>
      </c>
      <c r="C173" s="235">
        <f>PJM_01212000!C202</f>
        <v>30.497499084472658</v>
      </c>
      <c r="D173" s="159">
        <f>PJM_01212000!X173</f>
        <v>7.7336656381711319E-2</v>
      </c>
      <c r="E173" s="159">
        <f>VLOOKUP(B173,'Revenues &amp; Expenses'!$K$8:$N$258,2)</f>
        <v>7.4196711153940012E-2</v>
      </c>
      <c r="F173" s="236">
        <f>VLOOKUP(B173,'Revenues &amp; Expenses'!$K$8:$N$246,4)</f>
        <v>0.36637702630144681</v>
      </c>
      <c r="G173" s="220">
        <f t="shared" si="8"/>
        <v>13.661875427789186</v>
      </c>
      <c r="H173" s="220">
        <f t="shared" si="9"/>
        <v>3.6961974281400587</v>
      </c>
      <c r="I173" s="220">
        <f t="shared" si="10"/>
        <v>0</v>
      </c>
      <c r="J173" s="237">
        <f t="shared" si="11"/>
        <v>30.497499084472658</v>
      </c>
      <c r="L173" s="555"/>
      <c r="M173" s="555"/>
    </row>
    <row r="174" spans="2:13">
      <c r="B174" s="234">
        <f>'Revenues &amp; Expenses'!K174</f>
        <v>41609</v>
      </c>
      <c r="C174" s="235">
        <f>PJM_01212000!C203</f>
        <v>32.249999618530275</v>
      </c>
      <c r="D174" s="159">
        <f>PJM_01212000!X174</f>
        <v>7.7336656381711319E-2</v>
      </c>
      <c r="E174" s="159">
        <f>VLOOKUP(B174,'Revenues &amp; Expenses'!$K$8:$N$258,2)</f>
        <v>7.4191704590855015E-2</v>
      </c>
      <c r="F174" s="236">
        <f>VLOOKUP(B174,'Revenues &amp; Expenses'!$K$8:$N$246,4)</f>
        <v>0.36421559866544645</v>
      </c>
      <c r="G174" s="220">
        <f t="shared" si="8"/>
        <v>13.744010951403148</v>
      </c>
      <c r="H174" s="220">
        <f t="shared" si="9"/>
        <v>3.7072915924436196</v>
      </c>
      <c r="I174" s="220">
        <f t="shared" si="10"/>
        <v>0</v>
      </c>
      <c r="J174" s="237">
        <f t="shared" si="11"/>
        <v>32.249999618530275</v>
      </c>
      <c r="L174" s="555"/>
      <c r="M174" s="555"/>
    </row>
    <row r="175" spans="2:13">
      <c r="B175" s="234">
        <f>'Revenues &amp; Expenses'!K175</f>
        <v>41640</v>
      </c>
      <c r="C175" s="235">
        <f>PJM_01212000!C204</f>
        <v>40.824998474121088</v>
      </c>
      <c r="D175" s="159">
        <f>PJM_01212000!X175</f>
        <v>0.11878910420230862</v>
      </c>
      <c r="E175" s="159">
        <f>VLOOKUP(B175,'Revenues &amp; Expenses'!$K$8:$N$258,2)</f>
        <v>7.4186531142343026E-2</v>
      </c>
      <c r="F175" s="236">
        <f>VLOOKUP(B175,'Revenues &amp; Expenses'!$K$8:$N$246,4)</f>
        <v>0.36199582011385734</v>
      </c>
      <c r="G175" s="220">
        <f t="shared" si="8"/>
        <v>13.828884325804244</v>
      </c>
      <c r="H175" s="220">
        <f t="shared" si="9"/>
        <v>3.7187207915900657</v>
      </c>
      <c r="I175" s="220">
        <f t="shared" si="10"/>
        <v>0</v>
      </c>
      <c r="J175" s="237">
        <f t="shared" si="11"/>
        <v>40.824998474121088</v>
      </c>
      <c r="L175" s="555"/>
      <c r="M175" s="555"/>
    </row>
    <row r="176" spans="2:13">
      <c r="B176" s="234">
        <f>'Revenues &amp; Expenses'!K176</f>
        <v>41671</v>
      </c>
      <c r="C176" s="235">
        <f>PJM_01212000!C205</f>
        <v>40.824998474121088</v>
      </c>
      <c r="D176" s="159">
        <f>PJM_01212000!X176</f>
        <v>0.11878910420230862</v>
      </c>
      <c r="E176" s="159">
        <f>VLOOKUP(B176,'Revenues &amp; Expenses'!$K$8:$N$258,2)</f>
        <v>7.4181357693839017E-2</v>
      </c>
      <c r="F176" s="236">
        <f>VLOOKUP(B176,'Revenues &amp; Expenses'!$K$8:$N$246,4)</f>
        <v>0.35978987512884081</v>
      </c>
      <c r="G176" s="220">
        <f t="shared" si="8"/>
        <v>13.913757700205339</v>
      </c>
      <c r="H176" s="220">
        <f t="shared" si="9"/>
        <v>3.7301149714459658</v>
      </c>
      <c r="I176" s="220">
        <f t="shared" si="10"/>
        <v>0</v>
      </c>
      <c r="J176" s="237">
        <f t="shared" si="11"/>
        <v>40.824998474121088</v>
      </c>
      <c r="L176" s="555"/>
      <c r="M176" s="555"/>
    </row>
    <row r="177" spans="2:13">
      <c r="B177" s="234">
        <f>'Revenues &amp; Expenses'!K177</f>
        <v>41699</v>
      </c>
      <c r="C177" s="235">
        <f>PJM_01212000!C206</f>
        <v>30.550000762939455</v>
      </c>
      <c r="D177" s="159">
        <f>PJM_01212000!X177</f>
        <v>9.8990920168590499E-2</v>
      </c>
      <c r="E177" s="159">
        <f>VLOOKUP(B177,'Revenues &amp; Expenses'!$K$8:$N$258,2)</f>
        <v>7.4176684901650025E-2</v>
      </c>
      <c r="F177" s="236">
        <f>VLOOKUP(B177,'Revenues &amp; Expenses'!$K$8:$N$246,4)</f>
        <v>0.35780922570719148</v>
      </c>
      <c r="G177" s="220">
        <f t="shared" si="8"/>
        <v>13.990417522245037</v>
      </c>
      <c r="H177" s="220">
        <f t="shared" si="9"/>
        <v>3.7403766551304747</v>
      </c>
      <c r="I177" s="220">
        <f t="shared" si="10"/>
        <v>0</v>
      </c>
      <c r="J177" s="237">
        <f t="shared" si="11"/>
        <v>30.550000762939455</v>
      </c>
      <c r="L177" s="555"/>
      <c r="M177" s="555"/>
    </row>
    <row r="178" spans="2:13">
      <c r="B178" s="234">
        <f>'Revenues &amp; Expenses'!K178</f>
        <v>41730</v>
      </c>
      <c r="C178" s="235">
        <f>PJM_01212000!C207</f>
        <v>30.325000762939453</v>
      </c>
      <c r="D178" s="159">
        <f>PJM_01212000!X178</f>
        <v>9.4041374160160979E-2</v>
      </c>
      <c r="E178" s="159">
        <f>VLOOKUP(B178,'Revenues &amp; Expenses'!$K$8:$N$258,2)</f>
        <v>7.4171511453163003E-2</v>
      </c>
      <c r="F178" s="236">
        <f>VLOOKUP(B178,'Revenues &amp; Expenses'!$K$8:$N$246,4)</f>
        <v>0.35562936641114601</v>
      </c>
      <c r="G178" s="220">
        <f t="shared" si="8"/>
        <v>14.075290896646132</v>
      </c>
      <c r="H178" s="220">
        <f t="shared" si="9"/>
        <v>3.7517050652531485</v>
      </c>
      <c r="I178" s="220">
        <f t="shared" si="10"/>
        <v>0</v>
      </c>
      <c r="J178" s="237">
        <f t="shared" si="11"/>
        <v>30.325000762939453</v>
      </c>
      <c r="L178" s="555"/>
      <c r="M178" s="555"/>
    </row>
    <row r="179" spans="2:13">
      <c r="B179" s="234">
        <f>'Revenues &amp; Expenses'!K179</f>
        <v>41760</v>
      </c>
      <c r="C179" s="235">
        <f>PJM_01212000!C208</f>
        <v>38.325000000000003</v>
      </c>
      <c r="D179" s="159">
        <f>PJM_01212000!X179</f>
        <v>0.10394046617702002</v>
      </c>
      <c r="E179" s="159">
        <f>VLOOKUP(B179,'Revenues &amp; Expenses'!$K$8:$N$258,2)</f>
        <v>7.4166504890119014E-2</v>
      </c>
      <c r="F179" s="236">
        <f>VLOOKUP(B179,'Revenues &amp; Expenses'!$K$8:$N$246,4)</f>
        <v>0.35353275562005493</v>
      </c>
      <c r="G179" s="220">
        <f t="shared" si="8"/>
        <v>14.157426420260096</v>
      </c>
      <c r="H179" s="220">
        <f t="shared" si="9"/>
        <v>3.7626355683563211</v>
      </c>
      <c r="I179" s="220">
        <f t="shared" si="10"/>
        <v>0</v>
      </c>
      <c r="J179" s="237">
        <f t="shared" si="11"/>
        <v>38.325000000000003</v>
      </c>
      <c r="L179" s="555"/>
      <c r="M179" s="555"/>
    </row>
    <row r="180" spans="2:13">
      <c r="B180" s="234">
        <f>'Revenues &amp; Expenses'!K180</f>
        <v>41791</v>
      </c>
      <c r="C180" s="235">
        <f>PJM_01212000!C209</f>
        <v>65.349998474121094</v>
      </c>
      <c r="D180" s="159">
        <f>PJM_01212000!X180</f>
        <v>0.13363774222759719</v>
      </c>
      <c r="E180" s="159">
        <f>VLOOKUP(B180,'Revenues &amp; Expenses'!$K$8:$N$258,2)</f>
        <v>7.4161331441650019E-2</v>
      </c>
      <c r="F180" s="236">
        <f>VLOOKUP(B180,'Revenues &amp; Expenses'!$K$8:$N$246,4)</f>
        <v>0.35137953520346754</v>
      </c>
      <c r="G180" s="220">
        <f t="shared" si="8"/>
        <v>14.242299794661191</v>
      </c>
      <c r="H180" s="220">
        <f t="shared" si="9"/>
        <v>3.7738971627034554</v>
      </c>
      <c r="I180" s="220">
        <f t="shared" si="10"/>
        <v>0</v>
      </c>
      <c r="J180" s="237">
        <f t="shared" si="11"/>
        <v>65.349998474121094</v>
      </c>
      <c r="L180" s="555"/>
      <c r="M180" s="555"/>
    </row>
    <row r="181" spans="2:13">
      <c r="B181" s="234">
        <f>'Revenues &amp; Expenses'!K181</f>
        <v>41821</v>
      </c>
      <c r="C181" s="235">
        <f>PJM_01212000!C210</f>
        <v>115.94999694824219</v>
      </c>
      <c r="D181" s="159">
        <f>PJM_01212000!X181</f>
        <v>0.16333501827817429</v>
      </c>
      <c r="E181" s="159">
        <f>VLOOKUP(B181,'Revenues &amp; Expenses'!$K$8:$N$258,2)</f>
        <v>7.4156324878623003E-2</v>
      </c>
      <c r="F181" s="236">
        <f>VLOOKUP(B181,'Revenues &amp; Expenses'!$K$8:$N$246,4)</f>
        <v>0.34930854264016292</v>
      </c>
      <c r="G181" s="220">
        <f t="shared" si="8"/>
        <v>14.324435318275153</v>
      </c>
      <c r="H181" s="220">
        <f t="shared" si="9"/>
        <v>3.784763574950905</v>
      </c>
      <c r="I181" s="220">
        <f t="shared" si="10"/>
        <v>0</v>
      </c>
      <c r="J181" s="237">
        <f t="shared" si="11"/>
        <v>115.94999694824219</v>
      </c>
      <c r="L181" s="555"/>
      <c r="M181" s="555"/>
    </row>
    <row r="182" spans="2:13">
      <c r="B182" s="234">
        <f>'Revenues &amp; Expenses'!K182</f>
        <v>41852</v>
      </c>
      <c r="C182" s="235">
        <f>PJM_01212000!C211</f>
        <v>102.94999694824219</v>
      </c>
      <c r="D182" s="159">
        <f>PJM_01212000!X182</f>
        <v>0.16333501827817429</v>
      </c>
      <c r="E182" s="159">
        <f>VLOOKUP(B182,'Revenues &amp; Expenses'!$K$8:$N$258,2)</f>
        <v>7.4151151430171008E-2</v>
      </c>
      <c r="F182" s="236">
        <f>VLOOKUP(B182,'Revenues &amp; Expenses'!$K$8:$N$246,4)</f>
        <v>0.34718162875125624</v>
      </c>
      <c r="G182" s="220">
        <f t="shared" si="8"/>
        <v>14.40930869267625</v>
      </c>
      <c r="H182" s="220">
        <f t="shared" si="9"/>
        <v>3.7959595220018154</v>
      </c>
      <c r="I182" s="220">
        <f t="shared" si="10"/>
        <v>0</v>
      </c>
      <c r="J182" s="237">
        <f t="shared" si="11"/>
        <v>102.94999694824219</v>
      </c>
      <c r="L182" s="555"/>
      <c r="M182" s="555"/>
    </row>
    <row r="183" spans="2:13">
      <c r="B183" s="234">
        <f>'Revenues &amp; Expenses'!K183</f>
        <v>41883</v>
      </c>
      <c r="C183" s="235">
        <f>PJM_01212000!C212</f>
        <v>38.424998474121097</v>
      </c>
      <c r="D183" s="159">
        <f>PJM_01212000!X183</f>
        <v>0.1049903698757778</v>
      </c>
      <c r="E183" s="159">
        <f>VLOOKUP(B183,'Revenues &amp; Expenses'!$K$8:$N$258,2)</f>
        <v>7.4145977981727007E-2</v>
      </c>
      <c r="F183" s="236">
        <f>VLOOKUP(B183,'Revenues &amp; Expenses'!$K$8:$N$246,4)</f>
        <v>0.34506795774302679</v>
      </c>
      <c r="G183" s="220">
        <f t="shared" si="8"/>
        <v>14.494182067077345</v>
      </c>
      <c r="H183" s="220">
        <f t="shared" si="9"/>
        <v>3.8071225442684855</v>
      </c>
      <c r="I183" s="220">
        <f t="shared" si="10"/>
        <v>0</v>
      </c>
      <c r="J183" s="237">
        <f t="shared" si="11"/>
        <v>38.424998474121097</v>
      </c>
      <c r="L183" s="555"/>
      <c r="M183" s="555"/>
    </row>
    <row r="184" spans="2:13">
      <c r="B184" s="234">
        <f>'Revenues &amp; Expenses'!K184</f>
        <v>41913</v>
      </c>
      <c r="C184" s="235">
        <f>PJM_01212000!C213</f>
        <v>31.075000381469728</v>
      </c>
      <c r="D184" s="159">
        <f>PJM_01212000!X184</f>
        <v>7.4243190126442857E-2</v>
      </c>
      <c r="E184" s="159">
        <f>VLOOKUP(B184,'Revenues &amp; Expenses'!$K$8:$N$258,2)</f>
        <v>7.4140971418726012E-2</v>
      </c>
      <c r="F184" s="236">
        <f>VLOOKUP(B184,'Revenues &amp; Expenses'!$K$8:$N$246,4)</f>
        <v>0.34303499935244847</v>
      </c>
      <c r="G184" s="220">
        <f t="shared" si="8"/>
        <v>14.576317590691307</v>
      </c>
      <c r="H184" s="220">
        <f t="shared" si="9"/>
        <v>3.8178943922915556</v>
      </c>
      <c r="I184" s="220">
        <f t="shared" si="10"/>
        <v>0</v>
      </c>
      <c r="J184" s="237">
        <f t="shared" si="11"/>
        <v>31.075000381469728</v>
      </c>
      <c r="L184" s="555"/>
      <c r="M184" s="555"/>
    </row>
    <row r="185" spans="2:13">
      <c r="B185" s="234">
        <f>'Revenues &amp; Expenses'!K185</f>
        <v>41944</v>
      </c>
      <c r="C185" s="235">
        <f>PJM_01212000!C214</f>
        <v>30.747499084472658</v>
      </c>
      <c r="D185" s="159">
        <f>PJM_01212000!X185</f>
        <v>7.4243190126442857E-2</v>
      </c>
      <c r="E185" s="159">
        <f>VLOOKUP(B185,'Revenues &amp; Expenses'!$K$8:$N$258,2)</f>
        <v>7.4135797970300024E-2</v>
      </c>
      <c r="F185" s="236">
        <f>VLOOKUP(B185,'Revenues &amp; Expenses'!$K$8:$N$246,4)</f>
        <v>0.34094714159934225</v>
      </c>
      <c r="G185" s="220">
        <f t="shared" si="8"/>
        <v>14.661190965092402</v>
      </c>
      <c r="H185" s="220">
        <f t="shared" si="9"/>
        <v>3.8289934663162333</v>
      </c>
      <c r="I185" s="220">
        <f t="shared" si="10"/>
        <v>0</v>
      </c>
      <c r="J185" s="237">
        <f t="shared" si="11"/>
        <v>30.747499084472658</v>
      </c>
      <c r="L185" s="555"/>
      <c r="M185" s="555"/>
    </row>
    <row r="186" spans="2:13">
      <c r="B186" s="234">
        <f>'Revenues &amp; Expenses'!K186</f>
        <v>41974</v>
      </c>
      <c r="C186" s="235">
        <f>PJM_01212000!C215</f>
        <v>32.499999618530275</v>
      </c>
      <c r="D186" s="159">
        <f>PJM_01212000!X186</f>
        <v>7.4243190126442857E-2</v>
      </c>
      <c r="E186" s="159">
        <f>VLOOKUP(B186,'Revenues &amp; Expenses'!$K$8:$N$258,2)</f>
        <v>7.4130791407315016E-2</v>
      </c>
      <c r="F186" s="236">
        <f>VLOOKUP(B186,'Revenues &amp; Expenses'!$K$8:$N$246,4)</f>
        <v>0.33893900754314626</v>
      </c>
      <c r="G186" s="220">
        <f t="shared" si="8"/>
        <v>14.743326488706366</v>
      </c>
      <c r="H186" s="220">
        <f t="shared" si="9"/>
        <v>3.8397039584721067</v>
      </c>
      <c r="I186" s="220">
        <f t="shared" si="10"/>
        <v>0</v>
      </c>
      <c r="J186" s="237">
        <f t="shared" si="11"/>
        <v>32.499999618530275</v>
      </c>
      <c r="L186" s="555"/>
      <c r="M186" s="555"/>
    </row>
    <row r="187" spans="2:13">
      <c r="B187" s="234">
        <f>'Revenues &amp; Expenses'!K187</f>
        <v>42005</v>
      </c>
      <c r="C187" s="235">
        <f>PJM_01212000!C216</f>
        <v>41.074998474121088</v>
      </c>
      <c r="D187" s="159">
        <f>PJM_01212000!X187</f>
        <v>0.11403754003421628</v>
      </c>
      <c r="E187" s="159">
        <f>VLOOKUP(B187,'Revenues &amp; Expenses'!$K$8:$N$258,2)</f>
        <v>7.4125617958907028E-2</v>
      </c>
      <c r="F187" s="236">
        <f>VLOOKUP(B187,'Revenues &amp; Expenses'!$K$8:$N$246,4)</f>
        <v>0.3368766411945725</v>
      </c>
      <c r="G187" s="220">
        <f t="shared" si="8"/>
        <v>14.828199863107461</v>
      </c>
      <c r="H187" s="220">
        <f t="shared" si="9"/>
        <v>3.8507401708122897</v>
      </c>
      <c r="I187" s="220">
        <f t="shared" si="10"/>
        <v>0</v>
      </c>
      <c r="J187" s="237">
        <f t="shared" si="11"/>
        <v>41.074998474121088</v>
      </c>
      <c r="L187" s="555"/>
      <c r="M187" s="555"/>
    </row>
    <row r="188" spans="2:13">
      <c r="B188" s="234">
        <f>'Revenues &amp; Expenses'!K188</f>
        <v>42036</v>
      </c>
      <c r="C188" s="235">
        <f>PJM_01212000!C217</f>
        <v>41.074998474121088</v>
      </c>
      <c r="D188" s="159">
        <f>PJM_01212000!X188</f>
        <v>0.11403754003421628</v>
      </c>
      <c r="E188" s="159">
        <f>VLOOKUP(B188,'Revenues &amp; Expenses'!$K$8:$N$258,2)</f>
        <v>7.4120444510507005E-2</v>
      </c>
      <c r="F188" s="236">
        <f>VLOOKUP(B188,'Revenues &amp; Expenses'!$K$8:$N$246,4)</f>
        <v>0.33482710746448036</v>
      </c>
      <c r="G188" s="220">
        <f t="shared" si="8"/>
        <v>14.913073237508556</v>
      </c>
      <c r="H188" s="220">
        <f t="shared" si="9"/>
        <v>3.8617448436566284</v>
      </c>
      <c r="I188" s="220">
        <f t="shared" si="10"/>
        <v>0</v>
      </c>
      <c r="J188" s="237">
        <f t="shared" si="11"/>
        <v>41.074998474121088</v>
      </c>
      <c r="L188" s="555"/>
      <c r="M188" s="555"/>
    </row>
    <row r="189" spans="2:13">
      <c r="B189" s="234">
        <f>'Revenues &amp; Expenses'!K189</f>
        <v>42064</v>
      </c>
      <c r="C189" s="235">
        <f>PJM_01212000!C218</f>
        <v>30.800000762939455</v>
      </c>
      <c r="D189" s="159">
        <f>PJM_01212000!X189</f>
        <v>9.503128336184688E-2</v>
      </c>
      <c r="E189" s="159">
        <f>VLOOKUP(B189,'Revenues &amp; Expenses'!$K$8:$N$258,2)</f>
        <v>7.4115771718412007E-2</v>
      </c>
      <c r="F189" s="236">
        <f>VLOOKUP(B189,'Revenues &amp; Expenses'!$K$8:$N$246,4)</f>
        <v>0.33298687778825248</v>
      </c>
      <c r="G189" s="220">
        <f t="shared" si="8"/>
        <v>14.989733059548255</v>
      </c>
      <c r="H189" s="220">
        <f t="shared" si="9"/>
        <v>3.8716576630105424</v>
      </c>
      <c r="I189" s="220">
        <f t="shared" si="10"/>
        <v>0</v>
      </c>
      <c r="J189" s="237">
        <f t="shared" si="11"/>
        <v>30.800000762939455</v>
      </c>
      <c r="L189" s="555"/>
      <c r="M189" s="555"/>
    </row>
    <row r="190" spans="2:13">
      <c r="B190" s="234">
        <f>'Revenues &amp; Expenses'!K190</f>
        <v>42095</v>
      </c>
      <c r="C190" s="235">
        <f>PJM_01212000!C219</f>
        <v>30.575000762939453</v>
      </c>
      <c r="D190" s="159">
        <f>PJM_01212000!X190</f>
        <v>9.0279719193754535E-2</v>
      </c>
      <c r="E190" s="159">
        <f>VLOOKUP(B190,'Revenues &amp; Expenses'!$K$8:$N$258,2)</f>
        <v>7.4110598270029013E-2</v>
      </c>
      <c r="F190" s="236">
        <f>VLOOKUP(B190,'Revenues &amp; Expenses'!$K$8:$N$246,4)</f>
        <v>0.33096154261337851</v>
      </c>
      <c r="G190" s="220">
        <f t="shared" si="8"/>
        <v>15.07460643394935</v>
      </c>
      <c r="H190" s="220">
        <f t="shared" si="9"/>
        <v>3.8826030487225127</v>
      </c>
      <c r="I190" s="220">
        <f t="shared" si="10"/>
        <v>0</v>
      </c>
      <c r="J190" s="237">
        <f t="shared" si="11"/>
        <v>30.575000762939453</v>
      </c>
      <c r="L190" s="555"/>
      <c r="M190" s="555"/>
    </row>
    <row r="191" spans="2:13">
      <c r="B191" s="234">
        <f>'Revenues &amp; Expenses'!K191</f>
        <v>42125</v>
      </c>
      <c r="C191" s="235">
        <f>PJM_01212000!C220</f>
        <v>38.575000000000003</v>
      </c>
      <c r="D191" s="159">
        <f>PJM_01212000!X191</f>
        <v>9.9782847529939211E-2</v>
      </c>
      <c r="E191" s="159">
        <f>VLOOKUP(B191,'Revenues &amp; Expenses'!$K$8:$N$258,2)</f>
        <v>7.4105591707086013E-2</v>
      </c>
      <c r="F191" s="236">
        <f>VLOOKUP(B191,'Revenues &amp; Expenses'!$K$8:$N$246,4)</f>
        <v>0.32901353602259137</v>
      </c>
      <c r="G191" s="220">
        <f t="shared" si="8"/>
        <v>15.156741957563312</v>
      </c>
      <c r="H191" s="220">
        <f t="shared" si="9"/>
        <v>3.893166058308239</v>
      </c>
      <c r="I191" s="220">
        <f t="shared" si="10"/>
        <v>0</v>
      </c>
      <c r="J191" s="237">
        <f t="shared" si="11"/>
        <v>38.575000000000003</v>
      </c>
      <c r="L191" s="555"/>
      <c r="M191" s="555"/>
    </row>
    <row r="192" spans="2:13">
      <c r="B192" s="234">
        <f>'Revenues &amp; Expenses'!K192</f>
        <v>42156</v>
      </c>
      <c r="C192" s="235">
        <f>PJM_01212000!C221</f>
        <v>66.099998474121094</v>
      </c>
      <c r="D192" s="159">
        <f>PJM_01212000!X192</f>
        <v>0.12829223253849331</v>
      </c>
      <c r="E192" s="159">
        <f>VLOOKUP(B192,'Revenues &amp; Expenses'!$K$8:$N$258,2)</f>
        <v>7.4100418258720005E-2</v>
      </c>
      <c r="F192" s="236">
        <f>VLOOKUP(B192,'Revenues &amp; Expenses'!$K$8:$N$246,4)</f>
        <v>0.32701291302975755</v>
      </c>
      <c r="G192" s="220">
        <f t="shared" si="8"/>
        <v>15.241615331964407</v>
      </c>
      <c r="H192" s="220">
        <f t="shared" si="9"/>
        <v>3.9040511436153609</v>
      </c>
      <c r="I192" s="220">
        <f t="shared" si="10"/>
        <v>0</v>
      </c>
      <c r="J192" s="237">
        <f t="shared" si="11"/>
        <v>66.099998474121094</v>
      </c>
      <c r="L192" s="555"/>
      <c r="M192" s="555"/>
    </row>
    <row r="193" spans="2:13">
      <c r="B193" s="234">
        <f>'Revenues &amp; Expenses'!K193</f>
        <v>42186</v>
      </c>
      <c r="C193" s="235">
        <f>PJM_01212000!C222</f>
        <v>118.19999694824219</v>
      </c>
      <c r="D193" s="159">
        <f>PJM_01212000!X193</f>
        <v>0.1568016175470473</v>
      </c>
      <c r="E193" s="159">
        <f>VLOOKUP(B193,'Revenues &amp; Expenses'!$K$8:$N$258,2)</f>
        <v>7.4095411695795005E-2</v>
      </c>
      <c r="F193" s="236">
        <f>VLOOKUP(B193,'Revenues &amp; Expenses'!$K$8:$N$246,4)</f>
        <v>0.32508867201252911</v>
      </c>
      <c r="G193" s="220">
        <f t="shared" si="8"/>
        <v>15.323750855578371</v>
      </c>
      <c r="H193" s="220">
        <f t="shared" si="9"/>
        <v>3.9145562782489627</v>
      </c>
      <c r="I193" s="220">
        <f t="shared" si="10"/>
        <v>0</v>
      </c>
      <c r="J193" s="237">
        <f t="shared" si="11"/>
        <v>118.19999694824219</v>
      </c>
      <c r="L193" s="555"/>
      <c r="M193" s="555"/>
    </row>
    <row r="194" spans="2:13">
      <c r="B194" s="234">
        <f>'Revenues &amp; Expenses'!K194</f>
        <v>42217</v>
      </c>
      <c r="C194" s="235">
        <f>PJM_01212000!C223</f>
        <v>105.19999694824219</v>
      </c>
      <c r="D194" s="159">
        <f>PJM_01212000!X194</f>
        <v>0.1568016175470473</v>
      </c>
      <c r="E194" s="159">
        <f>VLOOKUP(B194,'Revenues &amp; Expenses'!$K$8:$N$258,2)</f>
        <v>7.4090238247446025E-2</v>
      </c>
      <c r="F194" s="236">
        <f>VLOOKUP(B194,'Revenues &amp; Expenses'!$K$8:$N$246,4)</f>
        <v>0.32311245334580241</v>
      </c>
      <c r="G194" s="220">
        <f t="shared" si="8"/>
        <v>15.408624229979466</v>
      </c>
      <c r="H194" s="220">
        <f t="shared" si="9"/>
        <v>3.9253820489195017</v>
      </c>
      <c r="I194" s="220">
        <f t="shared" si="10"/>
        <v>0</v>
      </c>
      <c r="J194" s="237">
        <f t="shared" si="11"/>
        <v>105.19999694824219</v>
      </c>
      <c r="L194" s="555"/>
      <c r="M194" s="555"/>
    </row>
    <row r="195" spans="2:13">
      <c r="B195" s="234">
        <f>'Revenues &amp; Expenses'!K195</f>
        <v>42248</v>
      </c>
      <c r="C195" s="235">
        <f>PJM_01212000!C224</f>
        <v>38.924998474121097</v>
      </c>
      <c r="D195" s="159">
        <f>PJM_01212000!X195</f>
        <v>0.10079075508074668</v>
      </c>
      <c r="E195" s="159">
        <f>VLOOKUP(B195,'Revenues &amp; Expenses'!$K$8:$N$258,2)</f>
        <v>7.4085064799107023E-2</v>
      </c>
      <c r="F195" s="236">
        <f>VLOOKUP(B195,'Revenues &amp; Expenses'!$K$8:$N$246,4)</f>
        <v>0.3211485201528842</v>
      </c>
      <c r="G195" s="220">
        <f t="shared" si="8"/>
        <v>15.493497604380561</v>
      </c>
      <c r="H195" s="220">
        <f t="shared" si="9"/>
        <v>3.9361780453100139</v>
      </c>
      <c r="I195" s="220">
        <f t="shared" si="10"/>
        <v>0</v>
      </c>
      <c r="J195" s="237">
        <f t="shared" si="11"/>
        <v>38.924998474121097</v>
      </c>
      <c r="L195" s="555"/>
      <c r="M195" s="555"/>
    </row>
    <row r="196" spans="2:13">
      <c r="B196" s="234">
        <f>'Revenues &amp; Expenses'!K196</f>
        <v>42278</v>
      </c>
      <c r="C196" s="235">
        <f>PJM_01212000!C225</f>
        <v>31.325000381469728</v>
      </c>
      <c r="D196" s="159">
        <f>PJM_01212000!X196</f>
        <v>7.1273462521385139E-2</v>
      </c>
      <c r="E196" s="159">
        <f>VLOOKUP(B196,'Revenues &amp; Expenses'!$K$8:$N$258,2)</f>
        <v>7.4080058236206017E-2</v>
      </c>
      <c r="F196" s="236">
        <f>VLOOKUP(B196,'Revenues &amp; Expenses'!$K$8:$N$246,4)</f>
        <v>0.31925956358972918</v>
      </c>
      <c r="G196" s="220">
        <f t="shared" si="8"/>
        <v>15.575633127994525</v>
      </c>
      <c r="H196" s="220">
        <f t="shared" si="9"/>
        <v>3.9465976648240351</v>
      </c>
      <c r="I196" s="220">
        <f t="shared" si="10"/>
        <v>0</v>
      </c>
      <c r="J196" s="237">
        <f t="shared" si="11"/>
        <v>31.325000381469728</v>
      </c>
      <c r="L196" s="555"/>
      <c r="M196" s="555"/>
    </row>
    <row r="197" spans="2:13">
      <c r="B197" s="234">
        <f>'Revenues &amp; Expenses'!K197</f>
        <v>42309</v>
      </c>
      <c r="C197" s="235">
        <f>PJM_01212000!C226</f>
        <v>30.997499084472658</v>
      </c>
      <c r="D197" s="159">
        <f>PJM_01212000!X197</f>
        <v>7.1273462521385139E-2</v>
      </c>
      <c r="E197" s="159">
        <f>VLOOKUP(B197,'Revenues &amp; Expenses'!$K$8:$N$258,2)</f>
        <v>7.4074884787884016E-2</v>
      </c>
      <c r="F197" s="236">
        <f>VLOOKUP(B197,'Revenues &amp; Expenses'!$K$8:$N$246,4)</f>
        <v>0.31731957779626352</v>
      </c>
      <c r="G197" s="220">
        <f t="shared" si="8"/>
        <v>15.66050650239562</v>
      </c>
      <c r="H197" s="220">
        <f t="shared" si="9"/>
        <v>3.9573357833769451</v>
      </c>
      <c r="I197" s="220">
        <f t="shared" si="10"/>
        <v>0</v>
      </c>
      <c r="J197" s="237">
        <f t="shared" si="11"/>
        <v>30.997499084472658</v>
      </c>
      <c r="L197" s="555"/>
      <c r="M197" s="555"/>
    </row>
    <row r="198" spans="2:13">
      <c r="B198" s="234">
        <f>'Revenues &amp; Expenses'!K198</f>
        <v>42339</v>
      </c>
      <c r="C198" s="235">
        <f>PJM_01212000!C227</f>
        <v>32.749999618530275</v>
      </c>
      <c r="D198" s="159">
        <f>PJM_01212000!X198</f>
        <v>7.1273462521385139E-2</v>
      </c>
      <c r="E198" s="159">
        <f>VLOOKUP(B198,'Revenues &amp; Expenses'!$K$8:$N$258,2)</f>
        <v>7.4069878224999997E-2</v>
      </c>
      <c r="F198" s="236">
        <f>VLOOKUP(B198,'Revenues &amp; Expenses'!$K$8:$N$246,4)</f>
        <v>0.31545365140992127</v>
      </c>
      <c r="G198" s="220">
        <f t="shared" si="8"/>
        <v>15.742642026009582</v>
      </c>
      <c r="H198" s="220">
        <f t="shared" si="9"/>
        <v>3.967699840714968</v>
      </c>
      <c r="I198" s="220">
        <f t="shared" si="10"/>
        <v>0</v>
      </c>
      <c r="J198" s="237">
        <f t="shared" si="11"/>
        <v>32.749999618530275</v>
      </c>
      <c r="L198" s="555"/>
      <c r="M198" s="555"/>
    </row>
    <row r="199" spans="2:13">
      <c r="B199" s="234">
        <f>'Revenues &amp; Expenses'!K199</f>
        <v>42370</v>
      </c>
      <c r="C199" s="235">
        <f>PJM_01212000!C228</f>
        <v>41.324998474121088</v>
      </c>
      <c r="D199" s="159">
        <f>PJM_01212000!X199</f>
        <v>0.10947603843284762</v>
      </c>
      <c r="E199" s="159">
        <f>VLOOKUP(B199,'Revenues &amp; Expenses'!$K$8:$N$258,2)</f>
        <v>7.4064704776695009E-2</v>
      </c>
      <c r="F199" s="236">
        <f>VLOOKUP(B199,'Revenues &amp; Expenses'!$K$8:$N$246,4)</f>
        <v>0.31353731487340242</v>
      </c>
      <c r="G199" s="220">
        <f t="shared" si="8"/>
        <v>15.827515400410677</v>
      </c>
      <c r="H199" s="220">
        <f t="shared" si="9"/>
        <v>3.9783810024192854</v>
      </c>
      <c r="I199" s="220">
        <f t="shared" si="10"/>
        <v>0</v>
      </c>
      <c r="J199" s="237">
        <f t="shared" si="11"/>
        <v>41.324998474121088</v>
      </c>
      <c r="L199" s="555"/>
      <c r="M199" s="555"/>
    </row>
    <row r="200" spans="2:13">
      <c r="B200" s="234">
        <f>'Revenues &amp; Expenses'!K200</f>
        <v>42401</v>
      </c>
      <c r="C200" s="235">
        <f>PJM_01212000!C229</f>
        <v>41.324998474121088</v>
      </c>
      <c r="D200" s="159">
        <f>PJM_01212000!X200</f>
        <v>0.10947603843284762</v>
      </c>
      <c r="E200" s="159">
        <f>VLOOKUP(B200,'Revenues &amp; Expenses'!$K$8:$N$258,2)</f>
        <v>7.4059531328399014E-2</v>
      </c>
      <c r="F200" s="236">
        <f>VLOOKUP(B200,'Revenues &amp; Expenses'!$K$8:$N$246,4)</f>
        <v>0.31163288376917858</v>
      </c>
      <c r="G200" s="220">
        <f t="shared" si="8"/>
        <v>15.912388774811772</v>
      </c>
      <c r="H200" s="220">
        <f t="shared" si="9"/>
        <v>3.9890335640116859</v>
      </c>
      <c r="I200" s="220">
        <f t="shared" si="10"/>
        <v>0</v>
      </c>
      <c r="J200" s="237">
        <f t="shared" si="11"/>
        <v>41.324998474121088</v>
      </c>
      <c r="L200" s="555"/>
      <c r="M200" s="555"/>
    </row>
    <row r="201" spans="2:13">
      <c r="B201" s="234">
        <f>'Revenues &amp; Expenses'!K201</f>
        <v>42430</v>
      </c>
      <c r="C201" s="235">
        <f>PJM_01212000!C230</f>
        <v>31.050000762939455</v>
      </c>
      <c r="D201" s="159">
        <f>PJM_01212000!X201</f>
        <v>9.1230032027372995E-2</v>
      </c>
      <c r="E201" s="159">
        <f>VLOOKUP(B201,'Revenues &amp; Expenses'!$K$8:$N$258,2)</f>
        <v>7.4054691650970006E-2</v>
      </c>
      <c r="F201" s="236">
        <f>VLOOKUP(B201,'Revenues &amp; Expenses'!$K$8:$N$246,4)</f>
        <v>0.30986203034504556</v>
      </c>
      <c r="G201" s="220">
        <f t="shared" ref="G201:G245" si="12">(B201-$B$1)/365.25</f>
        <v>15.991786447638603</v>
      </c>
      <c r="H201" s="220">
        <f t="shared" ref="H201:H258" si="13">SQRT(G201)</f>
        <v>3.9989731741584116</v>
      </c>
      <c r="I201" s="220">
        <f t="shared" ref="I201:I245" si="14">IF($I$2=0,0,-(D201^2)/2)</f>
        <v>0</v>
      </c>
      <c r="J201" s="237">
        <f t="shared" si="11"/>
        <v>31.050000762939455</v>
      </c>
      <c r="L201" s="555"/>
      <c r="M201" s="555"/>
    </row>
    <row r="202" spans="2:13">
      <c r="B202" s="234">
        <f>'Revenues &amp; Expenses'!K202</f>
        <v>42461</v>
      </c>
      <c r="C202" s="235">
        <f>PJM_01212000!C231</f>
        <v>30.825000762939453</v>
      </c>
      <c r="D202" s="159">
        <f>PJM_01212000!X202</f>
        <v>8.666853042600435E-2</v>
      </c>
      <c r="E202" s="159">
        <f>VLOOKUP(B202,'Revenues &amp; Expenses'!$K$8:$N$258,2)</f>
        <v>7.4049518202690998E-2</v>
      </c>
      <c r="F202" s="236">
        <f>VLOOKUP(B202,'Revenues &amp; Expenses'!$K$8:$N$246,4)</f>
        <v>0.30798042788332364</v>
      </c>
      <c r="G202" s="220">
        <f t="shared" si="12"/>
        <v>16.076659822039698</v>
      </c>
      <c r="H202" s="220">
        <f t="shared" si="13"/>
        <v>4.0095710271847906</v>
      </c>
      <c r="I202" s="220">
        <f t="shared" si="14"/>
        <v>0</v>
      </c>
      <c r="J202" s="237">
        <f t="shared" si="11"/>
        <v>30.825000762939453</v>
      </c>
      <c r="L202" s="555"/>
      <c r="M202" s="555"/>
    </row>
    <row r="203" spans="2:13">
      <c r="B203" s="234">
        <f>'Revenues &amp; Expenses'!K203</f>
        <v>42491</v>
      </c>
      <c r="C203" s="235">
        <f>PJM_01212000!C232</f>
        <v>38.825000000000003</v>
      </c>
      <c r="D203" s="159">
        <f>PJM_01212000!X203</f>
        <v>9.579153362874164E-2</v>
      </c>
      <c r="E203" s="159">
        <f>VLOOKUP(B203,'Revenues &amp; Expenses'!$K$8:$N$258,2)</f>
        <v>7.4044511639849001E-2</v>
      </c>
      <c r="F203" s="236">
        <f>VLOOKUP(B203,'Revenues &amp; Expenses'!$K$8:$N$246,4)</f>
        <v>0.30617064880957845</v>
      </c>
      <c r="G203" s="220">
        <f t="shared" si="12"/>
        <v>16.158795345653662</v>
      </c>
      <c r="H203" s="220">
        <f t="shared" si="13"/>
        <v>4.0198004111713885</v>
      </c>
      <c r="I203" s="220">
        <f t="shared" si="14"/>
        <v>0</v>
      </c>
      <c r="J203" s="237">
        <f t="shared" si="11"/>
        <v>38.825000000000003</v>
      </c>
      <c r="L203" s="555"/>
      <c r="M203" s="555"/>
    </row>
    <row r="204" spans="2:13">
      <c r="B204" s="234">
        <f>'Revenues &amp; Expenses'!K204</f>
        <v>42522</v>
      </c>
      <c r="C204" s="235">
        <f>PJM_01212000!C233</f>
        <v>66.849998474121094</v>
      </c>
      <c r="D204" s="159">
        <f>PJM_01212000!X204</f>
        <v>0.12316054323695358</v>
      </c>
      <c r="E204" s="159">
        <f>VLOOKUP(B204,'Revenues &amp; Expenses'!$K$8:$N$258,2)</f>
        <v>7.4039338191588006E-2</v>
      </c>
      <c r="F204" s="236">
        <f>VLOOKUP(B204,'Revenues &amp; Expenses'!$K$8:$N$246,4)</f>
        <v>0.30431196905341251</v>
      </c>
      <c r="G204" s="220">
        <f t="shared" si="12"/>
        <v>16.243668720054757</v>
      </c>
      <c r="H204" s="220">
        <f t="shared" si="13"/>
        <v>4.0303434990152835</v>
      </c>
      <c r="I204" s="220">
        <f t="shared" si="14"/>
        <v>0</v>
      </c>
      <c r="J204" s="237">
        <f t="shared" si="11"/>
        <v>66.849998474121094</v>
      </c>
      <c r="L204" s="555"/>
      <c r="M204" s="555"/>
    </row>
    <row r="205" spans="2:13">
      <c r="B205" s="234">
        <f>'Revenues &amp; Expenses'!K205</f>
        <v>42552</v>
      </c>
      <c r="C205" s="235">
        <f>PJM_01212000!C234</f>
        <v>120.44999694824219</v>
      </c>
      <c r="D205" s="159">
        <f>PJM_01212000!X205</f>
        <v>0.15052955284516539</v>
      </c>
      <c r="E205" s="159">
        <f>VLOOKUP(B205,'Revenues &amp; Expenses'!$K$8:$N$258,2)</f>
        <v>7.4034331628763009E-2</v>
      </c>
      <c r="F205" s="236">
        <f>VLOOKUP(B205,'Revenues &amp; Expenses'!$K$8:$N$246,4)</f>
        <v>0.30252423483066748</v>
      </c>
      <c r="G205" s="220">
        <f t="shared" si="12"/>
        <v>16.325804243668721</v>
      </c>
      <c r="H205" s="220">
        <f t="shared" si="13"/>
        <v>4.0405202936835645</v>
      </c>
      <c r="I205" s="220">
        <f t="shared" si="14"/>
        <v>0</v>
      </c>
      <c r="J205" s="237">
        <f t="shared" ref="J205:J258" si="15">C205*EXP(I205*G205+D205*$I$2*H205)</f>
        <v>120.44999694824219</v>
      </c>
      <c r="L205" s="555"/>
      <c r="M205" s="555"/>
    </row>
    <row r="206" spans="2:13">
      <c r="B206" s="234">
        <f>'Revenues &amp; Expenses'!K206</f>
        <v>42583</v>
      </c>
      <c r="C206" s="235">
        <f>PJM_01212000!C235</f>
        <v>107.44999694824219</v>
      </c>
      <c r="D206" s="159">
        <f>PJM_01212000!X206</f>
        <v>0.15052955284516539</v>
      </c>
      <c r="E206" s="159">
        <f>VLOOKUP(B206,'Revenues &amp; Expenses'!$K$8:$N$258,2)</f>
        <v>7.4029158180519014E-2</v>
      </c>
      <c r="F206" s="236">
        <f>VLOOKUP(B206,'Revenues &amp; Expenses'!$K$8:$N$246,4)</f>
        <v>0.30068819264278024</v>
      </c>
      <c r="G206" s="220">
        <f t="shared" si="12"/>
        <v>16.410677618069816</v>
      </c>
      <c r="H206" s="220">
        <f t="shared" si="13"/>
        <v>4.0510094566749428</v>
      </c>
      <c r="I206" s="220">
        <f t="shared" si="14"/>
        <v>0</v>
      </c>
      <c r="J206" s="237">
        <f t="shared" si="15"/>
        <v>107.44999694824219</v>
      </c>
      <c r="L206" s="555"/>
      <c r="M206" s="555"/>
    </row>
    <row r="207" spans="2:13">
      <c r="B207" s="234">
        <f>'Revenues &amp; Expenses'!K207</f>
        <v>42614</v>
      </c>
      <c r="C207" s="235">
        <f>PJM_01212000!C236</f>
        <v>39.424998474121097</v>
      </c>
      <c r="D207" s="159">
        <f>PJM_01212000!X207</f>
        <v>9.6759124877516811E-2</v>
      </c>
      <c r="E207" s="159">
        <f>VLOOKUP(B207,'Revenues &amp; Expenses'!$K$8:$N$258,2)</f>
        <v>7.4023984732284026E-2</v>
      </c>
      <c r="F207" s="236">
        <f>VLOOKUP(B207,'Revenues &amp; Expenses'!$K$8:$N$246,4)</f>
        <v>0.29886354668035636</v>
      </c>
      <c r="G207" s="220">
        <f t="shared" si="12"/>
        <v>16.495550992470911</v>
      </c>
      <c r="H207" s="220">
        <f t="shared" si="13"/>
        <v>4.0614715304272302</v>
      </c>
      <c r="I207" s="220">
        <f t="shared" si="14"/>
        <v>0</v>
      </c>
      <c r="J207" s="237">
        <f t="shared" si="15"/>
        <v>39.424998474121097</v>
      </c>
      <c r="L207" s="555"/>
      <c r="M207" s="555"/>
    </row>
    <row r="208" spans="2:13">
      <c r="B208" s="234">
        <f>'Revenues &amp; Expenses'!K208</f>
        <v>42644</v>
      </c>
      <c r="C208" s="235">
        <f>PJM_01212000!C237</f>
        <v>31.575000381469728</v>
      </c>
      <c r="D208" s="159">
        <f>PJM_01212000!X208</f>
        <v>6.8422524020529729E-2</v>
      </c>
      <c r="E208" s="159">
        <f>VLOOKUP(B208,'Revenues &amp; Expenses'!$K$8:$N$258,2)</f>
        <v>7.4018978169484009E-2</v>
      </c>
      <c r="F208" s="236">
        <f>VLOOKUP(B208,'Revenues &amp; Expenses'!$K$8:$N$246,4)</f>
        <v>0.29710854294764383</v>
      </c>
      <c r="G208" s="220">
        <f t="shared" si="12"/>
        <v>16.577686516084874</v>
      </c>
      <c r="H208" s="220">
        <f t="shared" si="13"/>
        <v>4.0715705220571676</v>
      </c>
      <c r="I208" s="220">
        <f t="shared" si="14"/>
        <v>0</v>
      </c>
      <c r="J208" s="237">
        <f t="shared" si="15"/>
        <v>31.575000381469728</v>
      </c>
      <c r="L208" s="555"/>
      <c r="M208" s="555"/>
    </row>
    <row r="209" spans="2:13">
      <c r="B209" s="234">
        <f>'Revenues &amp; Expenses'!K209</f>
        <v>42675</v>
      </c>
      <c r="C209" s="235">
        <f>PJM_01212000!C238</f>
        <v>31.247499084472658</v>
      </c>
      <c r="D209" s="159">
        <f>PJM_01212000!X209</f>
        <v>6.8422524020529729E-2</v>
      </c>
      <c r="E209" s="159">
        <f>VLOOKUP(B209,'Revenues &amp; Expenses'!$K$8:$N$258,2)</f>
        <v>7.4013804721266022E-2</v>
      </c>
      <c r="F209" s="236">
        <f>VLOOKUP(B209,'Revenues &amp; Expenses'!$K$8:$N$246,4)</f>
        <v>0.29530611133658613</v>
      </c>
      <c r="G209" s="220">
        <f t="shared" si="12"/>
        <v>16.662559890485969</v>
      </c>
      <c r="H209" s="220">
        <f t="shared" si="13"/>
        <v>4.0819798983441808</v>
      </c>
      <c r="I209" s="220">
        <f t="shared" si="14"/>
        <v>0</v>
      </c>
      <c r="J209" s="237">
        <f t="shared" si="15"/>
        <v>31.247499084472658</v>
      </c>
      <c r="L209" s="555"/>
      <c r="M209" s="555"/>
    </row>
    <row r="210" spans="2:13">
      <c r="B210" s="234">
        <f>'Revenues &amp; Expenses'!K210</f>
        <v>42705</v>
      </c>
      <c r="C210" s="235">
        <f>PJM_01212000!C239</f>
        <v>32.999999618530275</v>
      </c>
      <c r="D210" s="159">
        <f>PJM_01212000!X210</f>
        <v>6.8422524020529729E-2</v>
      </c>
      <c r="E210" s="159">
        <f>VLOOKUP(B210,'Revenues &amp; Expenses'!$K$8:$N$258,2)</f>
        <v>7.4008798158483005E-2</v>
      </c>
      <c r="F210" s="236">
        <f>VLOOKUP(B210,'Revenues &amp; Expenses'!$K$8:$N$246,4)</f>
        <v>0.29357247131203396</v>
      </c>
      <c r="G210" s="220">
        <f t="shared" si="12"/>
        <v>16.744695414099933</v>
      </c>
      <c r="H210" s="220">
        <f t="shared" si="13"/>
        <v>4.0920282763074756</v>
      </c>
      <c r="I210" s="220">
        <f t="shared" si="14"/>
        <v>0</v>
      </c>
      <c r="J210" s="237">
        <f t="shared" si="15"/>
        <v>32.999999618530275</v>
      </c>
      <c r="L210" s="555"/>
      <c r="M210" s="555"/>
    </row>
    <row r="211" spans="2:13">
      <c r="B211" s="234">
        <f>'Revenues &amp; Expenses'!K211</f>
        <v>42736</v>
      </c>
      <c r="C211" s="235">
        <f>PJM_01212000!C240</f>
        <v>41.574998474121088</v>
      </c>
      <c r="D211" s="159">
        <f>PJM_01212000!X211</f>
        <v>0.10509699689553371</v>
      </c>
      <c r="E211" s="159">
        <f>VLOOKUP(B211,'Revenues &amp; Expenses'!$K$8:$N$258,2)</f>
        <v>7.4003624710283017E-2</v>
      </c>
      <c r="F211" s="236">
        <f>VLOOKUP(B211,'Revenues &amp; Expenses'!$K$8:$N$246,4)</f>
        <v>0.29179197789887656</v>
      </c>
      <c r="G211" s="220">
        <f t="shared" si="12"/>
        <v>16.829568788501028</v>
      </c>
      <c r="H211" s="220">
        <f t="shared" si="13"/>
        <v>4.1023857435035325</v>
      </c>
      <c r="I211" s="220">
        <f t="shared" si="14"/>
        <v>0</v>
      </c>
      <c r="J211" s="237">
        <f t="shared" si="15"/>
        <v>41.574998474121088</v>
      </c>
      <c r="L211" s="555"/>
      <c r="M211" s="555"/>
    </row>
    <row r="212" spans="2:13">
      <c r="B212" s="234">
        <f>'Revenues &amp; Expenses'!K212</f>
        <v>42767</v>
      </c>
      <c r="C212" s="235">
        <f>PJM_01212000!C241</f>
        <v>41.574998474121088</v>
      </c>
      <c r="D212" s="159">
        <f>PJM_01212000!X212</f>
        <v>0.10509699689553371</v>
      </c>
      <c r="E212" s="159">
        <f>VLOOKUP(B212,'Revenues &amp; Expenses'!$K$8:$N$258,2)</f>
        <v>7.3998451262091008E-2</v>
      </c>
      <c r="F212" s="236">
        <f>VLOOKUP(B212,'Revenues &amp; Expenses'!$K$8:$N$246,4)</f>
        <v>0.29002252869908596</v>
      </c>
      <c r="G212" s="220">
        <f t="shared" si="12"/>
        <v>16.914442162902123</v>
      </c>
      <c r="H212" s="220">
        <f t="shared" si="13"/>
        <v>4.1127171265359506</v>
      </c>
      <c r="I212" s="220">
        <f t="shared" si="14"/>
        <v>0</v>
      </c>
      <c r="J212" s="237">
        <f t="shared" si="15"/>
        <v>41.574998474121088</v>
      </c>
      <c r="L212" s="555"/>
      <c r="M212" s="555"/>
    </row>
    <row r="213" spans="2:13">
      <c r="B213" s="234">
        <f>'Revenues &amp; Expenses'!K213</f>
        <v>42795</v>
      </c>
      <c r="C213" s="235">
        <f>PJM_01212000!C242</f>
        <v>31.300000762939455</v>
      </c>
      <c r="D213" s="159">
        <f>PJM_01212000!X213</f>
        <v>8.7580830746278066E-2</v>
      </c>
      <c r="E213" s="159">
        <f>VLOOKUP(B213,'Revenues &amp; Expenses'!$K$8:$N$258,2)</f>
        <v>7.3993778470185012E-2</v>
      </c>
      <c r="F213" s="236">
        <f>VLOOKUP(B213,'Revenues &amp; Expenses'!$K$8:$N$246,4)</f>
        <v>0.28843375105362712</v>
      </c>
      <c r="G213" s="220">
        <f t="shared" si="12"/>
        <v>16.991101984941821</v>
      </c>
      <c r="H213" s="220">
        <f t="shared" si="13"/>
        <v>4.1220264415626717</v>
      </c>
      <c r="I213" s="220">
        <f t="shared" si="14"/>
        <v>0</v>
      </c>
      <c r="J213" s="237">
        <f t="shared" si="15"/>
        <v>31.300000762939455</v>
      </c>
      <c r="L213" s="555"/>
      <c r="M213" s="555"/>
    </row>
    <row r="214" spans="2:13">
      <c r="B214" s="234">
        <f>'Revenues &amp; Expenses'!K214</f>
        <v>42826</v>
      </c>
      <c r="C214" s="235">
        <f>PJM_01212000!C243</f>
        <v>31.075000762939453</v>
      </c>
      <c r="D214" s="159">
        <f>PJM_01212000!X214</f>
        <v>8.3201789208964178E-2</v>
      </c>
      <c r="E214" s="159">
        <f>VLOOKUP(B214,'Revenues &amp; Expenses'!$K$8:$N$258,2)</f>
        <v>7.3988605022010004E-2</v>
      </c>
      <c r="F214" s="236">
        <f>VLOOKUP(B214,'Revenues &amp; Expenses'!$K$8:$N$246,4)</f>
        <v>0.28668512857831097</v>
      </c>
      <c r="G214" s="220">
        <f t="shared" si="12"/>
        <v>17.075975359342916</v>
      </c>
      <c r="H214" s="220">
        <f t="shared" si="13"/>
        <v>4.1323087202365354</v>
      </c>
      <c r="I214" s="220">
        <f t="shared" si="14"/>
        <v>0</v>
      </c>
      <c r="J214" s="237">
        <f t="shared" si="15"/>
        <v>31.075000762939453</v>
      </c>
      <c r="L214" s="555"/>
      <c r="M214" s="555"/>
    </row>
    <row r="215" spans="2:13">
      <c r="B215" s="234">
        <f>'Revenues &amp; Expenses'!K215</f>
        <v>42856</v>
      </c>
      <c r="C215" s="235">
        <f>PJM_01212000!C244</f>
        <v>39.075000000000003</v>
      </c>
      <c r="D215" s="159">
        <f>PJM_01212000!X215</f>
        <v>9.1959872283591967E-2</v>
      </c>
      <c r="E215" s="159">
        <f>VLOOKUP(B215,'Revenues &amp; Expenses'!$K$8:$N$258,2)</f>
        <v>7.3983598459267996E-2</v>
      </c>
      <c r="F215" s="236">
        <f>VLOOKUP(B215,'Revenues &amp; Expenses'!$K$8:$N$246,4)</f>
        <v>0.28500323734337329</v>
      </c>
      <c r="G215" s="220">
        <f t="shared" si="12"/>
        <v>17.15811088295688</v>
      </c>
      <c r="H215" s="220">
        <f t="shared" si="13"/>
        <v>4.1422350105899204</v>
      </c>
      <c r="I215" s="220">
        <f t="shared" si="14"/>
        <v>0</v>
      </c>
      <c r="J215" s="237">
        <f t="shared" si="15"/>
        <v>39.075000000000003</v>
      </c>
      <c r="L215" s="555"/>
      <c r="M215" s="555"/>
    </row>
    <row r="216" spans="2:13">
      <c r="B216" s="234">
        <f>'Revenues &amp; Expenses'!K216</f>
        <v>42887</v>
      </c>
      <c r="C216" s="235">
        <f>PJM_01212000!C245</f>
        <v>67.599998474121094</v>
      </c>
      <c r="D216" s="159">
        <f>PJM_01212000!X216</f>
        <v>0.11823412150747543</v>
      </c>
      <c r="E216" s="159">
        <f>VLOOKUP(B216,'Revenues &amp; Expenses'!$K$8:$N$258,2)</f>
        <v>7.3978425011111015E-2</v>
      </c>
      <c r="F216" s="236">
        <f>VLOOKUP(B216,'Revenues &amp; Expenses'!$K$8:$N$246,4)</f>
        <v>0.28327588443666513</v>
      </c>
      <c r="G216" s="220">
        <f t="shared" si="12"/>
        <v>17.242984257357975</v>
      </c>
      <c r="H216" s="220">
        <f t="shared" si="13"/>
        <v>4.1524672494022123</v>
      </c>
      <c r="I216" s="220">
        <f t="shared" si="14"/>
        <v>0</v>
      </c>
      <c r="J216" s="237">
        <f t="shared" si="15"/>
        <v>67.599998474121094</v>
      </c>
      <c r="L216" s="555"/>
      <c r="M216" s="555"/>
    </row>
    <row r="217" spans="2:13">
      <c r="B217" s="234">
        <f>'Revenues &amp; Expenses'!K217</f>
        <v>42917</v>
      </c>
      <c r="C217" s="235">
        <f>PJM_01212000!C246</f>
        <v>122.69999694824219</v>
      </c>
      <c r="D217" s="159">
        <f>PJM_01212000!X217</f>
        <v>0.14450837073135878</v>
      </c>
      <c r="E217" s="159">
        <f>VLOOKUP(B217,'Revenues &amp; Expenses'!$K$8:$N$258,2)</f>
        <v>7.3973418448387021E-2</v>
      </c>
      <c r="F217" s="236">
        <f>VLOOKUP(B217,'Revenues &amp; Expenses'!$K$8:$N$246,4)</f>
        <v>0.28161444841669531</v>
      </c>
      <c r="G217" s="220">
        <f t="shared" si="12"/>
        <v>17.325119780971939</v>
      </c>
      <c r="H217" s="220">
        <f t="shared" si="13"/>
        <v>4.1623454663172712</v>
      </c>
      <c r="I217" s="220">
        <f t="shared" si="14"/>
        <v>0</v>
      </c>
      <c r="J217" s="237">
        <f t="shared" si="15"/>
        <v>122.69999694824219</v>
      </c>
      <c r="L217" s="555"/>
      <c r="M217" s="555"/>
    </row>
    <row r="218" spans="2:13">
      <c r="B218" s="234">
        <f>'Revenues &amp; Expenses'!K218</f>
        <v>42948</v>
      </c>
      <c r="C218" s="235">
        <f>PJM_01212000!C247</f>
        <v>109.69999694824219</v>
      </c>
      <c r="D218" s="159">
        <f>PJM_01212000!X218</f>
        <v>0.14450837073135878</v>
      </c>
      <c r="E218" s="159">
        <f>VLOOKUP(B218,'Revenues &amp; Expenses'!$K$8:$N$258,2)</f>
        <v>7.3968245000246E-2</v>
      </c>
      <c r="F218" s="236">
        <f>VLOOKUP(B218,'Revenues &amp; Expenses'!$K$8:$N$246,4)</f>
        <v>0.27990810089895013</v>
      </c>
      <c r="G218" s="220">
        <f t="shared" si="12"/>
        <v>17.409993155373034</v>
      </c>
      <c r="H218" s="220">
        <f t="shared" si="13"/>
        <v>4.1725283888037277</v>
      </c>
      <c r="I218" s="220">
        <f t="shared" si="14"/>
        <v>0</v>
      </c>
      <c r="J218" s="237">
        <f t="shared" si="15"/>
        <v>109.69999694824219</v>
      </c>
      <c r="L218" s="555"/>
      <c r="M218" s="555"/>
    </row>
    <row r="219" spans="2:13">
      <c r="B219" s="234">
        <f>'Revenues &amp; Expenses'!K219</f>
        <v>42979</v>
      </c>
      <c r="C219" s="235">
        <f>PJM_01212000!C248</f>
        <v>39.924998474121097</v>
      </c>
      <c r="D219" s="159">
        <f>PJM_01212000!X219</f>
        <v>9.2888759882416141E-2</v>
      </c>
      <c r="E219" s="159">
        <f>VLOOKUP(B219,'Revenues &amp; Expenses'!$K$8:$N$258,2)</f>
        <v>7.3963071552115012E-2</v>
      </c>
      <c r="F219" s="236">
        <f>VLOOKUP(B219,'Revenues &amp; Expenses'!$K$8:$N$246,4)</f>
        <v>0.27821232808322865</v>
      </c>
      <c r="G219" s="220">
        <f t="shared" si="12"/>
        <v>17.494866529774129</v>
      </c>
      <c r="H219" s="220">
        <f t="shared" si="13"/>
        <v>4.1826865206197477</v>
      </c>
      <c r="I219" s="220">
        <f t="shared" si="14"/>
        <v>0</v>
      </c>
      <c r="J219" s="237">
        <f t="shared" si="15"/>
        <v>39.924998474121097</v>
      </c>
      <c r="L219" s="555"/>
      <c r="M219" s="555"/>
    </row>
    <row r="220" spans="2:13">
      <c r="B220" s="234">
        <f>'Revenues &amp; Expenses'!K220</f>
        <v>43009</v>
      </c>
      <c r="C220" s="235">
        <f>PJM_01212000!C249</f>
        <v>31.825000381469728</v>
      </c>
      <c r="D220" s="159">
        <f>PJM_01212000!X220</f>
        <v>6.5685623059708542E-2</v>
      </c>
      <c r="E220" s="159">
        <f>VLOOKUP(B220,'Revenues &amp; Expenses'!$K$8:$N$258,2)</f>
        <v>7.3958064989417011E-2</v>
      </c>
      <c r="F220" s="236">
        <f>VLOOKUP(B220,'Revenues &amp; Expenses'!$K$8:$N$246,4)</f>
        <v>0.27658126309854381</v>
      </c>
      <c r="G220" s="220">
        <f t="shared" si="12"/>
        <v>17.577002053388089</v>
      </c>
      <c r="H220" s="220">
        <f t="shared" si="13"/>
        <v>4.1924935364754097</v>
      </c>
      <c r="I220" s="220">
        <f t="shared" si="14"/>
        <v>0</v>
      </c>
      <c r="J220" s="237">
        <f t="shared" si="15"/>
        <v>31.825000381469728</v>
      </c>
      <c r="L220" s="555"/>
      <c r="M220" s="555"/>
    </row>
    <row r="221" spans="2:13">
      <c r="B221" s="234">
        <f>'Revenues &amp; Expenses'!K221</f>
        <v>43040</v>
      </c>
      <c r="C221" s="235">
        <f>PJM_01212000!C250</f>
        <v>31.497499084472658</v>
      </c>
      <c r="D221" s="159">
        <f>PJM_01212000!X221</f>
        <v>6.5685623059708542E-2</v>
      </c>
      <c r="E221" s="159">
        <f>VLOOKUP(B221,'Revenues &amp; Expenses'!$K$8:$N$258,2)</f>
        <v>7.3952891541303009E-2</v>
      </c>
      <c r="F221" s="236">
        <f>VLOOKUP(B221,'Revenues &amp; Expenses'!$K$8:$N$246,4)</f>
        <v>0.27490610355232498</v>
      </c>
      <c r="G221" s="220">
        <f t="shared" si="12"/>
        <v>17.661875427789184</v>
      </c>
      <c r="H221" s="220">
        <f t="shared" si="13"/>
        <v>4.2026034107192629</v>
      </c>
      <c r="I221" s="220">
        <f t="shared" si="14"/>
        <v>0</v>
      </c>
      <c r="J221" s="237">
        <f t="shared" si="15"/>
        <v>31.497499084472658</v>
      </c>
      <c r="L221" s="555"/>
      <c r="M221" s="555"/>
    </row>
    <row r="222" spans="2:13">
      <c r="B222" s="234">
        <f>'Revenues &amp; Expenses'!K222</f>
        <v>43070</v>
      </c>
      <c r="C222" s="235">
        <f>PJM_01212000!C251</f>
        <v>33.249999618530275</v>
      </c>
      <c r="D222" s="159">
        <f>PJM_01212000!X222</f>
        <v>6.5685623059708542E-2</v>
      </c>
      <c r="E222" s="159">
        <f>VLOOKUP(B222,'Revenues &amp; Expenses'!$K$8:$N$258,2)</f>
        <v>7.3947884978619996E-2</v>
      </c>
      <c r="F222" s="236">
        <f>VLOOKUP(B222,'Revenues &amp; Expenses'!$K$8:$N$246,4)</f>
        <v>0.2732948626893707</v>
      </c>
      <c r="G222" s="220">
        <f t="shared" si="12"/>
        <v>17.744010951403148</v>
      </c>
      <c r="H222" s="220">
        <f t="shared" si="13"/>
        <v>4.2123640573202064</v>
      </c>
      <c r="I222" s="220">
        <f t="shared" si="14"/>
        <v>0</v>
      </c>
      <c r="J222" s="237">
        <f t="shared" si="15"/>
        <v>33.249999618530275</v>
      </c>
      <c r="L222" s="555"/>
      <c r="M222" s="555"/>
    </row>
    <row r="223" spans="2:13">
      <c r="B223" s="234">
        <f>'Revenues &amp; Expenses'!K223</f>
        <v>43101</v>
      </c>
      <c r="C223" s="235">
        <f>PJM_01212000!C252</f>
        <v>41.824998474121088</v>
      </c>
      <c r="D223" s="159">
        <f>PJM_01212000!X223</f>
        <v>0.10089311701971236</v>
      </c>
      <c r="E223" s="159">
        <f>VLOOKUP(B223,'Revenues &amp; Expenses'!$K$8:$N$258,2)</f>
        <v>7.3942711530524022E-2</v>
      </c>
      <c r="F223" s="236">
        <f>VLOOKUP(B223,'Revenues &amp; Expenses'!$K$8:$N$246,4)</f>
        <v>0.27164006054469364</v>
      </c>
      <c r="G223" s="220">
        <f t="shared" si="12"/>
        <v>17.828884325804243</v>
      </c>
      <c r="H223" s="220">
        <f t="shared" si="13"/>
        <v>4.2224263552848669</v>
      </c>
      <c r="I223" s="220">
        <f t="shared" si="14"/>
        <v>0</v>
      </c>
      <c r="J223" s="237">
        <f t="shared" si="15"/>
        <v>41.824998474121088</v>
      </c>
      <c r="L223" s="555"/>
      <c r="M223" s="555"/>
    </row>
    <row r="224" spans="2:13">
      <c r="B224" s="234">
        <f>'Revenues &amp; Expenses'!K224</f>
        <v>43132</v>
      </c>
      <c r="C224" s="235">
        <f>PJM_01212000!C253</f>
        <v>41.824998474121088</v>
      </c>
      <c r="D224" s="159">
        <f>PJM_01212000!X224</f>
        <v>0.10089311701971236</v>
      </c>
      <c r="E224" s="159">
        <f>VLOOKUP(B224,'Revenues &amp; Expenses'!$K$8:$N$258,2)</f>
        <v>7.3937538082437013E-2</v>
      </c>
      <c r="F224" s="236">
        <f>VLOOKUP(B224,'Revenues &amp; Expenses'!$K$8:$N$246,4)</f>
        <v>0.26999550694784635</v>
      </c>
      <c r="G224" s="220">
        <f t="shared" si="12"/>
        <v>17.913757700205338</v>
      </c>
      <c r="H224" s="220">
        <f t="shared" si="13"/>
        <v>4.2324647311236197</v>
      </c>
      <c r="I224" s="220">
        <f t="shared" si="14"/>
        <v>0</v>
      </c>
      <c r="J224" s="237">
        <f t="shared" si="15"/>
        <v>41.824998474121088</v>
      </c>
      <c r="L224" s="555"/>
      <c r="M224" s="555"/>
    </row>
    <row r="225" spans="2:13">
      <c r="B225" s="234">
        <f>'Revenues &amp; Expenses'!K225</f>
        <v>43160</v>
      </c>
      <c r="C225" s="235">
        <f>PJM_01212000!C254</f>
        <v>31.550000762939455</v>
      </c>
      <c r="D225" s="159">
        <f>PJM_01212000!X225</f>
        <v>8.4077597516426933E-2</v>
      </c>
      <c r="E225" s="159">
        <f>VLOOKUP(B225,'Revenues &amp; Expenses'!$K$8:$N$258,2)</f>
        <v>7.3932865290623012E-2</v>
      </c>
      <c r="F225" s="236">
        <f>VLOOKUP(B225,'Revenues &amp; Expenses'!$K$8:$N$246,4)</f>
        <v>0.26851885861647473</v>
      </c>
      <c r="G225" s="220">
        <f t="shared" si="12"/>
        <v>17.990417522245039</v>
      </c>
      <c r="H225" s="220">
        <f t="shared" si="13"/>
        <v>4.24151123094647</v>
      </c>
      <c r="I225" s="220">
        <f t="shared" si="14"/>
        <v>0</v>
      </c>
      <c r="J225" s="237">
        <f t="shared" si="15"/>
        <v>31.550000762939455</v>
      </c>
      <c r="L225" s="555"/>
      <c r="M225" s="555"/>
    </row>
    <row r="226" spans="2:13">
      <c r="B226" s="234">
        <f>'Revenues &amp; Expenses'!K226</f>
        <v>43191</v>
      </c>
      <c r="C226" s="235">
        <f>PJM_01212000!C255</f>
        <v>31.325000762939453</v>
      </c>
      <c r="D226" s="159">
        <f>PJM_01212000!X226</f>
        <v>7.9873717640605607E-2</v>
      </c>
      <c r="E226" s="159">
        <f>VLOOKUP(B226,'Revenues &amp; Expenses'!$K$8:$N$258,2)</f>
        <v>7.3927691842552018E-2</v>
      </c>
      <c r="F226" s="236">
        <f>VLOOKUP(B226,'Revenues &amp; Expenses'!$K$8:$N$246,4)</f>
        <v>0.26689363157793511</v>
      </c>
      <c r="G226" s="220">
        <f t="shared" si="12"/>
        <v>18.075290896646134</v>
      </c>
      <c r="H226" s="220">
        <f t="shared" si="13"/>
        <v>4.2515045450576832</v>
      </c>
      <c r="I226" s="220">
        <f t="shared" si="14"/>
        <v>0</v>
      </c>
      <c r="J226" s="237">
        <f t="shared" si="15"/>
        <v>31.325000762939453</v>
      </c>
      <c r="L226" s="555"/>
      <c r="M226" s="555"/>
    </row>
    <row r="227" spans="2:13">
      <c r="B227" s="234">
        <f>'Revenues &amp; Expenses'!K227</f>
        <v>43221</v>
      </c>
      <c r="C227" s="235">
        <f>PJM_01212000!C256</f>
        <v>39.325000000000003</v>
      </c>
      <c r="D227" s="159">
        <f>PJM_01212000!X227</f>
        <v>8.8281477392248286E-2</v>
      </c>
      <c r="E227" s="159">
        <f>VLOOKUP(B227,'Revenues &amp; Expenses'!$K$8:$N$258,2)</f>
        <v>7.3922685279911027E-2</v>
      </c>
      <c r="F227" s="236">
        <f>VLOOKUP(B227,'Revenues &amp; Expenses'!$K$8:$N$246,4)</f>
        <v>0.26533041176271788</v>
      </c>
      <c r="G227" s="220">
        <f t="shared" si="12"/>
        <v>18.157426420260094</v>
      </c>
      <c r="H227" s="220">
        <f t="shared" si="13"/>
        <v>4.261153179628737</v>
      </c>
      <c r="I227" s="220">
        <f t="shared" si="14"/>
        <v>0</v>
      </c>
      <c r="J227" s="237">
        <f t="shared" si="15"/>
        <v>39.325000000000003</v>
      </c>
      <c r="L227" s="555"/>
      <c r="M227" s="555"/>
    </row>
    <row r="228" spans="2:13">
      <c r="B228" s="234">
        <f>'Revenues &amp; Expenses'!K228</f>
        <v>43252</v>
      </c>
      <c r="C228" s="235">
        <f>PJM_01212000!C257</f>
        <v>68.349998474121094</v>
      </c>
      <c r="D228" s="159">
        <f>PJM_01212000!X228</f>
        <v>0.11350475664717641</v>
      </c>
      <c r="E228" s="159">
        <f>VLOOKUP(B228,'Revenues &amp; Expenses'!$K$8:$N$258,2)</f>
        <v>7.3917511831858004E-2</v>
      </c>
      <c r="F228" s="236">
        <f>VLOOKUP(B228,'Revenues &amp; Expenses'!$K$8:$N$246,4)</f>
        <v>0.26372492259240987</v>
      </c>
      <c r="G228" s="220">
        <f t="shared" si="12"/>
        <v>18.242299794661189</v>
      </c>
      <c r="H228" s="220">
        <f t="shared" si="13"/>
        <v>4.2711005367072774</v>
      </c>
      <c r="I228" s="220">
        <f t="shared" si="14"/>
        <v>0</v>
      </c>
      <c r="J228" s="237">
        <f t="shared" si="15"/>
        <v>68.349998474121094</v>
      </c>
      <c r="L228" s="555"/>
      <c r="M228" s="555"/>
    </row>
    <row r="229" spans="2:13">
      <c r="B229" s="234">
        <f>'Revenues &amp; Expenses'!K229</f>
        <v>43282</v>
      </c>
      <c r="C229" s="235">
        <f>PJM_01212000!C258</f>
        <v>124.94999694824219</v>
      </c>
      <c r="D229" s="159">
        <f>PJM_01212000!X229</f>
        <v>0.13872803590210442</v>
      </c>
      <c r="E229" s="159">
        <f>VLOOKUP(B229,'Revenues &amp; Expenses'!$K$8:$N$258,2)</f>
        <v>7.3912505269234999E-2</v>
      </c>
      <c r="F229" s="236">
        <f>VLOOKUP(B229,'Revenues &amp; Expenses'!$K$8:$N$246,4)</f>
        <v>0.26218068511448367</v>
      </c>
      <c r="G229" s="220">
        <f t="shared" si="12"/>
        <v>18.324435318275153</v>
      </c>
      <c r="H229" s="220">
        <f t="shared" si="13"/>
        <v>4.2807050024820859</v>
      </c>
      <c r="I229" s="220">
        <f t="shared" si="14"/>
        <v>0</v>
      </c>
      <c r="J229" s="237">
        <f t="shared" si="15"/>
        <v>124.94999694824219</v>
      </c>
      <c r="L229" s="555"/>
      <c r="M229" s="555"/>
    </row>
    <row r="230" spans="2:13">
      <c r="B230" s="234">
        <f>'Revenues &amp; Expenses'!K230</f>
        <v>43313</v>
      </c>
      <c r="C230" s="235">
        <f>PJM_01212000!C259</f>
        <v>111.94999694824219</v>
      </c>
      <c r="D230" s="159">
        <f>PJM_01212000!X230</f>
        <v>0.13872803590210442</v>
      </c>
      <c r="E230" s="159">
        <f>VLOOKUP(B230,'Revenues &amp; Expenses'!$K$8:$N$258,2)</f>
        <v>7.3907331821199018E-2</v>
      </c>
      <c r="F230" s="236">
        <f>VLOOKUP(B230,'Revenues &amp; Expenses'!$K$8:$N$246,4)</f>
        <v>0.26059468902303268</v>
      </c>
      <c r="G230" s="220">
        <f t="shared" si="12"/>
        <v>18.409308692676248</v>
      </c>
      <c r="H230" s="220">
        <f t="shared" si="13"/>
        <v>4.2906070307913593</v>
      </c>
      <c r="I230" s="220">
        <f t="shared" si="14"/>
        <v>0</v>
      </c>
      <c r="J230" s="237">
        <f t="shared" si="15"/>
        <v>111.94999694824219</v>
      </c>
      <c r="L230" s="555"/>
      <c r="M230" s="555"/>
    </row>
    <row r="231" spans="2:13">
      <c r="B231" s="234">
        <f>'Revenues &amp; Expenses'!K231</f>
        <v>43344</v>
      </c>
      <c r="C231" s="367">
        <f>C219</f>
        <v>39.924998474121097</v>
      </c>
      <c r="D231" s="368">
        <f>D219</f>
        <v>9.2888759882416141E-2</v>
      </c>
      <c r="E231" s="159">
        <f>VLOOKUP(B231,'Revenues &amp; Expenses'!$K$8:$N$258,2)</f>
        <v>7.3902158373172017E-2</v>
      </c>
      <c r="F231" s="236">
        <f>VLOOKUP(B231,'Revenues &amp; Expenses'!$K$8:$N$246,4)</f>
        <v>0.25901850643326846</v>
      </c>
      <c r="G231" s="220">
        <f t="shared" si="12"/>
        <v>18.494182067077343</v>
      </c>
      <c r="H231" s="220">
        <f t="shared" si="13"/>
        <v>4.300486259375484</v>
      </c>
      <c r="I231" s="220">
        <f t="shared" si="14"/>
        <v>0</v>
      </c>
      <c r="J231" s="237">
        <f t="shared" si="15"/>
        <v>39.924998474121097</v>
      </c>
      <c r="L231" s="555"/>
      <c r="M231" s="555"/>
    </row>
    <row r="232" spans="2:13">
      <c r="B232" s="234">
        <f>'Revenues &amp; Expenses'!K232</f>
        <v>43374</v>
      </c>
      <c r="C232" s="369">
        <f t="shared" ref="C232:D245" si="16">C220</f>
        <v>31.825000381469728</v>
      </c>
      <c r="D232" s="370">
        <f t="shared" si="16"/>
        <v>6.5685623059708542E-2</v>
      </c>
      <c r="E232" s="159">
        <f>VLOOKUP(B232,'Revenues &amp; Expenses'!$K$8:$N$258,2)</f>
        <v>7.3897151810572992E-2</v>
      </c>
      <c r="F232" s="236">
        <f>VLOOKUP(B232,'Revenues &amp; Expenses'!$K$8:$N$246,4)</f>
        <v>0.25750245378680087</v>
      </c>
      <c r="G232" s="220">
        <f t="shared" si="12"/>
        <v>18.576317590691307</v>
      </c>
      <c r="H232" s="220">
        <f t="shared" si="13"/>
        <v>4.3100252424656755</v>
      </c>
      <c r="I232" s="220">
        <f t="shared" si="14"/>
        <v>0</v>
      </c>
      <c r="J232" s="237">
        <f t="shared" si="15"/>
        <v>31.825000381469728</v>
      </c>
      <c r="L232" s="555"/>
      <c r="M232" s="555"/>
    </row>
    <row r="233" spans="2:13">
      <c r="B233" s="234">
        <f>'Revenues &amp; Expenses'!K233</f>
        <v>43405</v>
      </c>
      <c r="C233" s="369">
        <f t="shared" si="16"/>
        <v>31.497499084472658</v>
      </c>
      <c r="D233" s="370">
        <f t="shared" si="16"/>
        <v>6.5685623059708542E-2</v>
      </c>
      <c r="E233" s="159">
        <f>VLOOKUP(B233,'Revenues &amp; Expenses'!$K$8:$N$258,2)</f>
        <v>7.3891978362564018E-2</v>
      </c>
      <c r="F233" s="236">
        <f>VLOOKUP(B233,'Revenues &amp; Expenses'!$K$8:$N$246,4)</f>
        <v>0.25594540092886636</v>
      </c>
      <c r="G233" s="220">
        <f t="shared" si="12"/>
        <v>18.661190965092402</v>
      </c>
      <c r="H233" s="220">
        <f t="shared" si="13"/>
        <v>4.3198600631377406</v>
      </c>
      <c r="I233" s="220">
        <f t="shared" si="14"/>
        <v>0</v>
      </c>
      <c r="J233" s="237">
        <f t="shared" si="15"/>
        <v>31.497499084472658</v>
      </c>
      <c r="L233" s="555"/>
      <c r="M233" s="555"/>
    </row>
    <row r="234" spans="2:13">
      <c r="B234" s="234">
        <f>'Revenues &amp; Expenses'!K234</f>
        <v>43435</v>
      </c>
      <c r="C234" s="369">
        <f t="shared" si="16"/>
        <v>33.249999618530275</v>
      </c>
      <c r="D234" s="370">
        <f t="shared" si="16"/>
        <v>6.5685623059708542E-2</v>
      </c>
      <c r="E234" s="159">
        <f>VLOOKUP(B234,'Revenues &amp; Expenses'!$K$8:$N$258,2)</f>
        <v>7.3886971799982021E-2</v>
      </c>
      <c r="F234" s="236">
        <f>VLOOKUP(B234,'Revenues &amp; Expenses'!$K$8:$N$246,4)</f>
        <v>0.25444774583402968</v>
      </c>
      <c r="G234" s="220">
        <f t="shared" si="12"/>
        <v>18.743326488706366</v>
      </c>
      <c r="H234" s="220">
        <f t="shared" si="13"/>
        <v>4.329356359634347</v>
      </c>
      <c r="I234" s="220">
        <f t="shared" si="14"/>
        <v>0</v>
      </c>
      <c r="J234" s="237">
        <f t="shared" si="15"/>
        <v>33.249999618530275</v>
      </c>
      <c r="L234" s="555"/>
      <c r="M234" s="555"/>
    </row>
    <row r="235" spans="2:13">
      <c r="B235" s="234">
        <f>'Revenues &amp; Expenses'!K235</f>
        <v>43466</v>
      </c>
      <c r="C235" s="369">
        <f t="shared" si="16"/>
        <v>41.824998474121088</v>
      </c>
      <c r="D235" s="370">
        <f t="shared" si="16"/>
        <v>0.10089311701971236</v>
      </c>
      <c r="E235" s="159">
        <f>VLOOKUP(B235,'Revenues &amp; Expenses'!$K$8:$N$258,2)</f>
        <v>7.3881798351999997E-2</v>
      </c>
      <c r="F235" s="236">
        <f>VLOOKUP(B235,'Revenues &amp; Expenses'!$K$8:$N$246,4)</f>
        <v>0.25290958560919641</v>
      </c>
      <c r="G235" s="220">
        <f t="shared" si="12"/>
        <v>18.828199863107461</v>
      </c>
      <c r="H235" s="220">
        <f t="shared" si="13"/>
        <v>4.3391473659127389</v>
      </c>
      <c r="I235" s="220">
        <f t="shared" si="14"/>
        <v>0</v>
      </c>
      <c r="J235" s="237">
        <f t="shared" si="15"/>
        <v>41.824998474121088</v>
      </c>
      <c r="L235" s="555"/>
      <c r="M235" s="555"/>
    </row>
    <row r="236" spans="2:13">
      <c r="B236" s="234">
        <f>'Revenues &amp; Expenses'!K236</f>
        <v>43497</v>
      </c>
      <c r="C236" s="369">
        <f t="shared" si="16"/>
        <v>41.824998474121088</v>
      </c>
      <c r="D236" s="370">
        <f t="shared" si="16"/>
        <v>0.10089311701971236</v>
      </c>
      <c r="E236" s="159">
        <f>VLOOKUP(B236,'Revenues &amp; Expenses'!$K$8:$N$258,2)</f>
        <v>7.3876624904006025E-2</v>
      </c>
      <c r="F236" s="236">
        <f>VLOOKUP(B236,'Revenues &amp; Expenses'!$K$8:$N$246,4)</f>
        <v>0.25138093665711003</v>
      </c>
      <c r="G236" s="220">
        <f t="shared" si="12"/>
        <v>18.913073237508556</v>
      </c>
      <c r="H236" s="220">
        <f t="shared" si="13"/>
        <v>4.3489163290995325</v>
      </c>
      <c r="I236" s="220">
        <f t="shared" si="14"/>
        <v>0</v>
      </c>
      <c r="J236" s="237">
        <f t="shared" si="15"/>
        <v>41.824998474121088</v>
      </c>
      <c r="L236" s="555"/>
      <c r="M236" s="555"/>
    </row>
    <row r="237" spans="2:13">
      <c r="B237" s="234">
        <f>'Revenues &amp; Expenses'!K237</f>
        <v>43525</v>
      </c>
      <c r="C237" s="369">
        <f t="shared" si="16"/>
        <v>31.550000762939455</v>
      </c>
      <c r="D237" s="370">
        <f t="shared" si="16"/>
        <v>8.4077597516426933E-2</v>
      </c>
      <c r="E237" s="159">
        <f>VLOOKUP(B237,'Revenues &amp; Expenses'!$K$8:$N$258,2)</f>
        <v>7.3871952112287018E-2</v>
      </c>
      <c r="F237" s="236">
        <f>VLOOKUP(B237,'Revenues &amp; Expenses'!$K$8:$N$246,4)</f>
        <v>0.25000834664270966</v>
      </c>
      <c r="G237" s="220">
        <f t="shared" si="12"/>
        <v>18.989733059548254</v>
      </c>
      <c r="H237" s="220">
        <f t="shared" si="13"/>
        <v>4.35772108556161</v>
      </c>
      <c r="I237" s="220">
        <f t="shared" si="14"/>
        <v>0</v>
      </c>
      <c r="J237" s="237">
        <f t="shared" si="15"/>
        <v>31.550000762939455</v>
      </c>
      <c r="L237" s="555"/>
      <c r="M237" s="555"/>
    </row>
    <row r="238" spans="2:13">
      <c r="B238" s="234">
        <f>'Revenues &amp; Expenses'!K238</f>
        <v>43556</v>
      </c>
      <c r="C238" s="369">
        <f t="shared" si="16"/>
        <v>31.325000762939453</v>
      </c>
      <c r="D238" s="370">
        <f t="shared" si="16"/>
        <v>7.9873717640605607E-2</v>
      </c>
      <c r="E238" s="159">
        <f>VLOOKUP(B238,'Revenues &amp; Expenses'!$K$8:$N$258,2)</f>
        <v>7.386677866432001E-2</v>
      </c>
      <c r="F238" s="236">
        <f>VLOOKUP(B238,'Revenues &amp; Expenses'!$K$8:$N$246,4)</f>
        <v>0.24849763415436113</v>
      </c>
      <c r="G238" s="220">
        <f t="shared" si="12"/>
        <v>19.074606433949349</v>
      </c>
      <c r="H238" s="220">
        <f t="shared" si="13"/>
        <v>4.3674485038692037</v>
      </c>
      <c r="I238" s="220">
        <f t="shared" si="14"/>
        <v>0</v>
      </c>
      <c r="J238" s="237">
        <f t="shared" si="15"/>
        <v>31.325000762939453</v>
      </c>
      <c r="L238" s="555"/>
      <c r="M238" s="555"/>
    </row>
    <row r="239" spans="2:13">
      <c r="B239" s="234">
        <f>'Revenues &amp; Expenses'!K239</f>
        <v>43586</v>
      </c>
      <c r="C239" s="369">
        <f t="shared" si="16"/>
        <v>39.325000000000003</v>
      </c>
      <c r="D239" s="370">
        <f t="shared" si="16"/>
        <v>8.8281477392248286E-2</v>
      </c>
      <c r="E239" s="159">
        <f>VLOOKUP(B239,'Revenues &amp; Expenses'!$K$8:$N$258,2)</f>
        <v>7.3861772101780007E-2</v>
      </c>
      <c r="F239" s="236">
        <f>VLOOKUP(B239,'Revenues &amp; Expenses'!$K$8:$N$246,4)</f>
        <v>0.24704454589740477</v>
      </c>
      <c r="G239" s="220">
        <f t="shared" si="12"/>
        <v>19.156741957563312</v>
      </c>
      <c r="H239" s="220">
        <f t="shared" si="13"/>
        <v>4.3768415504291802</v>
      </c>
      <c r="I239" s="220">
        <f t="shared" si="14"/>
        <v>0</v>
      </c>
      <c r="J239" s="237">
        <f t="shared" si="15"/>
        <v>39.325000000000003</v>
      </c>
      <c r="L239" s="555"/>
      <c r="M239" s="555"/>
    </row>
    <row r="240" spans="2:13">
      <c r="B240" s="234">
        <f>'Revenues &amp; Expenses'!K240</f>
        <v>43617</v>
      </c>
      <c r="C240" s="369">
        <f t="shared" si="16"/>
        <v>68.349998474121094</v>
      </c>
      <c r="D240" s="370">
        <f t="shared" si="16"/>
        <v>0.11350475664717641</v>
      </c>
      <c r="E240" s="159">
        <f>VLOOKUP(B240,'Revenues &amp; Expenses'!$K$8:$N$258,2)</f>
        <v>7.3856598653831013E-2</v>
      </c>
      <c r="F240" s="236">
        <f>VLOOKUP(B240,'Revenues &amp; Expenses'!$K$8:$N$246,4)</f>
        <v>0.24555215193662452</v>
      </c>
      <c r="G240" s="220">
        <f t="shared" si="12"/>
        <v>19.241615331964407</v>
      </c>
      <c r="H240" s="220">
        <f t="shared" si="13"/>
        <v>4.3865265680221759</v>
      </c>
      <c r="I240" s="220">
        <f t="shared" si="14"/>
        <v>0</v>
      </c>
      <c r="J240" s="237">
        <f t="shared" si="15"/>
        <v>68.349998474121094</v>
      </c>
      <c r="L240" s="555"/>
      <c r="M240" s="555"/>
    </row>
    <row r="241" spans="2:13">
      <c r="B241" s="234">
        <f>'Revenues &amp; Expenses'!K241</f>
        <v>43647</v>
      </c>
      <c r="C241" s="369">
        <f t="shared" si="16"/>
        <v>124.94999694824219</v>
      </c>
      <c r="D241" s="370">
        <f t="shared" si="16"/>
        <v>0.13872803590210442</v>
      </c>
      <c r="E241" s="159">
        <f>VLOOKUP(B241,'Revenues &amp; Expenses'!$K$8:$N$258,2)</f>
        <v>7.3851592091307025E-2</v>
      </c>
      <c r="F241" s="236">
        <f>VLOOKUP(B241,'Revenues &amp; Expenses'!$K$8:$N$246,4)</f>
        <v>0.24411668117143231</v>
      </c>
      <c r="G241" s="220">
        <f t="shared" si="12"/>
        <v>19.323750855578371</v>
      </c>
      <c r="H241" s="220">
        <f t="shared" si="13"/>
        <v>4.3958788490560536</v>
      </c>
      <c r="I241" s="220">
        <f t="shared" si="14"/>
        <v>0</v>
      </c>
      <c r="J241" s="237">
        <f t="shared" si="15"/>
        <v>124.94999694824219</v>
      </c>
      <c r="L241" s="555"/>
      <c r="M241" s="555"/>
    </row>
    <row r="242" spans="2:13">
      <c r="B242" s="234">
        <f>'Revenues &amp; Expenses'!K242</f>
        <v>43678</v>
      </c>
      <c r="C242" s="369">
        <f t="shared" si="16"/>
        <v>111.94999694824219</v>
      </c>
      <c r="D242" s="370">
        <f t="shared" si="16"/>
        <v>0.13872803590210442</v>
      </c>
      <c r="E242" s="159">
        <f>VLOOKUP(B242,'Revenues &amp; Expenses'!$K$8:$N$258,2)</f>
        <v>7.3846418643376002E-2</v>
      </c>
      <c r="F242" s="236">
        <f>VLOOKUP(B242,'Revenues &amp; Expenses'!$K$8:$N$246,4)</f>
        <v>0.24264237889092974</v>
      </c>
      <c r="G242" s="220">
        <f t="shared" si="12"/>
        <v>19.408624229979466</v>
      </c>
      <c r="H242" s="220">
        <f t="shared" si="13"/>
        <v>4.4055220156049009</v>
      </c>
      <c r="I242" s="220">
        <f t="shared" si="14"/>
        <v>0</v>
      </c>
      <c r="J242" s="237">
        <f t="shared" si="15"/>
        <v>111.94999694824219</v>
      </c>
      <c r="L242" s="555"/>
      <c r="M242" s="555"/>
    </row>
    <row r="243" spans="2:13">
      <c r="B243" s="234">
        <f>'Revenues &amp; Expenses'!K243</f>
        <v>43709</v>
      </c>
      <c r="C243" s="369">
        <f t="shared" si="16"/>
        <v>39.924998474121097</v>
      </c>
      <c r="D243" s="370">
        <f t="shared" si="16"/>
        <v>9.2888759882416141E-2</v>
      </c>
      <c r="E243" s="159">
        <f>VLOOKUP(B243,'Revenues &amp; Expenses'!$K$8:$N$258,2)</f>
        <v>7.3841245195453001E-2</v>
      </c>
      <c r="F243" s="236">
        <f>VLOOKUP(B243,'Revenues &amp; Expenses'!$K$8:$N$246,4)</f>
        <v>0.24117718472774979</v>
      </c>
      <c r="G243" s="220">
        <f t="shared" si="12"/>
        <v>19.493497604380561</v>
      </c>
      <c r="H243" s="220">
        <f t="shared" si="13"/>
        <v>4.4151441204541175</v>
      </c>
      <c r="I243" s="220">
        <f t="shared" si="14"/>
        <v>0</v>
      </c>
      <c r="J243" s="237">
        <f t="shared" si="15"/>
        <v>39.924998474121097</v>
      </c>
      <c r="L243" s="555"/>
      <c r="M243" s="555"/>
    </row>
    <row r="244" spans="2:13">
      <c r="B244" s="234">
        <f>'Revenues &amp; Expenses'!K244</f>
        <v>43739</v>
      </c>
      <c r="C244" s="369">
        <f t="shared" si="16"/>
        <v>31.825000381469728</v>
      </c>
      <c r="D244" s="370">
        <f t="shared" si="16"/>
        <v>6.5685623059708542E-2</v>
      </c>
      <c r="E244" s="159">
        <f>VLOOKUP(B244,'Revenues &amp; Expenses'!$K$8:$N$258,2)</f>
        <v>7.3836238632955006E-2</v>
      </c>
      <c r="F244" s="236">
        <f>VLOOKUP(B244,'Revenues &amp; Expenses'!$K$8:$N$246,4)</f>
        <v>0.23976787289641061</v>
      </c>
      <c r="G244" s="220">
        <f t="shared" si="12"/>
        <v>19.575633127994525</v>
      </c>
      <c r="H244" s="220">
        <f t="shared" si="13"/>
        <v>4.4244359107116153</v>
      </c>
      <c r="I244" s="220">
        <f t="shared" si="14"/>
        <v>0</v>
      </c>
      <c r="J244" s="237">
        <f t="shared" si="15"/>
        <v>31.825000381469728</v>
      </c>
      <c r="L244" s="555"/>
      <c r="M244" s="555"/>
    </row>
    <row r="245" spans="2:13">
      <c r="B245" s="234">
        <f>'Revenues &amp; Expenses'!K245</f>
        <v>43770</v>
      </c>
      <c r="C245" s="369">
        <f t="shared" si="16"/>
        <v>31.497499084472658</v>
      </c>
      <c r="D245" s="370">
        <f t="shared" si="16"/>
        <v>6.5685623059708542E-2</v>
      </c>
      <c r="E245" s="159">
        <f>VLOOKUP(B245,'Revenues &amp; Expenses'!$K$8:$N$258,2)</f>
        <v>7.3831065185049005E-2</v>
      </c>
      <c r="F245" s="236">
        <f>VLOOKUP(B245,'Revenues &amp; Expenses'!$K$8:$N$246,4)</f>
        <v>0.23832043369061071</v>
      </c>
      <c r="G245" s="220">
        <f t="shared" si="12"/>
        <v>19.66050650239562</v>
      </c>
      <c r="H245" s="220">
        <f t="shared" si="13"/>
        <v>4.4340169713698234</v>
      </c>
      <c r="I245" s="220">
        <f t="shared" si="14"/>
        <v>0</v>
      </c>
      <c r="J245" s="237">
        <f t="shared" si="15"/>
        <v>31.497499084472658</v>
      </c>
      <c r="L245" s="555"/>
      <c r="M245" s="555"/>
    </row>
    <row r="246" spans="2:13">
      <c r="B246" s="234">
        <f>'Revenues &amp; Expenses'!K246</f>
        <v>43800</v>
      </c>
      <c r="C246" s="369">
        <f t="shared" ref="C246:D258" si="17">C234</f>
        <v>33.249999618530275</v>
      </c>
      <c r="D246" s="370">
        <f t="shared" si="17"/>
        <v>6.5685623059708542E-2</v>
      </c>
      <c r="E246" s="159">
        <f>VLOOKUP(B246,'Revenues &amp; Expenses'!$K$8:$N$258,2)</f>
        <v>7.3826058622568011E-2</v>
      </c>
      <c r="F246" s="236">
        <f>VLOOKUP(B246,'Revenues &amp; Expenses'!$K$8:$N$258,4)</f>
        <v>0.2369281974153673</v>
      </c>
      <c r="G246" s="220">
        <f>(B246-$B$1)/365.25</f>
        <v>19.742642026009584</v>
      </c>
      <c r="H246" s="220">
        <f t="shared" si="13"/>
        <v>4.4432692947884203</v>
      </c>
      <c r="I246" s="220">
        <f>IF($I$2=0,0,-(D246^2)/2)</f>
        <v>0</v>
      </c>
      <c r="J246" s="237">
        <f t="shared" si="15"/>
        <v>33.249999618530275</v>
      </c>
      <c r="L246" s="555"/>
      <c r="M246" s="555"/>
    </row>
    <row r="247" spans="2:13">
      <c r="B247" s="234">
        <f>'Revenues &amp; Expenses'!K247</f>
        <v>43831</v>
      </c>
      <c r="C247" s="369">
        <f t="shared" si="17"/>
        <v>41.824998474121088</v>
      </c>
      <c r="D247" s="370">
        <f t="shared" si="17"/>
        <v>0.10089311701971236</v>
      </c>
      <c r="E247" s="159">
        <f>VLOOKUP(B247,'Revenues &amp; Expenses'!$K$8:$N$258,2)</f>
        <v>7.3820885174680009E-2</v>
      </c>
      <c r="F247" s="236">
        <f>VLOOKUP(B247,'Revenues &amp; Expenses'!$K$8:$N$258,4)</f>
        <v>0.23549829343649725</v>
      </c>
      <c r="G247" s="220">
        <f t="shared" ref="G247:G258" si="18">(B247-$B$1)/365.25</f>
        <v>19.827515400410679</v>
      </c>
      <c r="H247" s="220">
        <f t="shared" si="13"/>
        <v>4.4528098320510701</v>
      </c>
      <c r="I247" s="220">
        <f t="shared" ref="I247:I258" si="19">IF($I$2=0,0,-(D247^2)/2)</f>
        <v>0</v>
      </c>
      <c r="J247" s="237">
        <f t="shared" si="15"/>
        <v>41.824998474121088</v>
      </c>
    </row>
    <row r="248" spans="2:13">
      <c r="B248" s="234">
        <f>'Revenues &amp; Expenses'!K248</f>
        <v>43862</v>
      </c>
      <c r="C248" s="369">
        <f t="shared" si="17"/>
        <v>41.824998474121088</v>
      </c>
      <c r="D248" s="370">
        <f t="shared" si="17"/>
        <v>0.10089311701971236</v>
      </c>
      <c r="E248" s="159">
        <f>VLOOKUP(B248,'Revenues &amp; Expenses'!$K$8:$N$258,2)</f>
        <v>7.3815711726800001E-2</v>
      </c>
      <c r="F248" s="236">
        <f>VLOOKUP(B248,'Revenues &amp; Expenses'!$K$8:$N$258,4)</f>
        <v>0.23407721748519347</v>
      </c>
      <c r="G248" s="220">
        <f t="shared" si="18"/>
        <v>19.912388774811774</v>
      </c>
      <c r="H248" s="220">
        <f t="shared" si="13"/>
        <v>4.4623299715296465</v>
      </c>
      <c r="I248" s="220">
        <f t="shared" si="19"/>
        <v>0</v>
      </c>
      <c r="J248" s="237">
        <f t="shared" si="15"/>
        <v>41.824998474121088</v>
      </c>
    </row>
    <row r="249" spans="2:13">
      <c r="B249" s="234">
        <f>'Revenues &amp; Expenses'!K249</f>
        <v>43891</v>
      </c>
      <c r="C249" s="369">
        <f t="shared" si="17"/>
        <v>31.550000762939455</v>
      </c>
      <c r="D249" s="370">
        <f t="shared" si="17"/>
        <v>8.4077597516426933E-2</v>
      </c>
      <c r="E249" s="159">
        <f>VLOOKUP(B249,'Revenues &amp; Expenses'!$K$8:$N$258,2)</f>
        <v>7.3810872049760001E-2</v>
      </c>
      <c r="F249" s="236">
        <f>VLOOKUP(B249,'Revenues &amp; Expenses'!$K$8:$N$258,4)</f>
        <v>0.23275576660755912</v>
      </c>
      <c r="G249" s="220">
        <f t="shared" si="18"/>
        <v>19.991786447638603</v>
      </c>
      <c r="H249" s="220">
        <f t="shared" si="13"/>
        <v>4.4712175576277433</v>
      </c>
      <c r="I249" s="220">
        <f t="shared" si="19"/>
        <v>0</v>
      </c>
      <c r="J249" s="237">
        <f t="shared" si="15"/>
        <v>31.550000762939455</v>
      </c>
    </row>
    <row r="250" spans="2:13">
      <c r="B250" s="234">
        <f>'Revenues &amp; Expenses'!K250</f>
        <v>43922</v>
      </c>
      <c r="C250" s="369">
        <f t="shared" si="17"/>
        <v>31.325000762939453</v>
      </c>
      <c r="D250" s="370">
        <f t="shared" si="17"/>
        <v>7.9873717640605607E-2</v>
      </c>
      <c r="E250" s="159">
        <f>VLOOKUP(B250,'Revenues &amp; Expenses'!$K$8:$N$258,2)</f>
        <v>7.3799890656808004E-2</v>
      </c>
      <c r="F250" s="236">
        <f>VLOOKUP(B250,'Revenues &amp; Expenses'!$K$8:$N$258,4)</f>
        <v>0.23137779342582865</v>
      </c>
      <c r="G250" s="220">
        <f t="shared" si="18"/>
        <v>20.076659822039698</v>
      </c>
      <c r="H250" s="220">
        <f t="shared" si="13"/>
        <v>4.4806985863857989</v>
      </c>
      <c r="I250" s="220">
        <f t="shared" si="19"/>
        <v>0</v>
      </c>
      <c r="J250" s="237">
        <f t="shared" si="15"/>
        <v>31.325000762939453</v>
      </c>
    </row>
    <row r="251" spans="2:13">
      <c r="B251" s="234">
        <f>'Revenues &amp; Expenses'!K251</f>
        <v>43952</v>
      </c>
      <c r="C251" s="369">
        <f t="shared" si="17"/>
        <v>39.325000000000003</v>
      </c>
      <c r="D251" s="370">
        <f t="shared" si="17"/>
        <v>8.8281477392248286E-2</v>
      </c>
      <c r="E251" s="159">
        <f>VLOOKUP(B251,'Revenues &amp; Expenses'!$K$8:$N$258,2)</f>
        <v>7.3788182619301007E-2</v>
      </c>
      <c r="F251" s="236">
        <f>VLOOKUP(B251,'Revenues &amp; Expenses'!$K$8:$N$258,4)</f>
        <v>0.23005729622688018</v>
      </c>
      <c r="G251" s="220">
        <f t="shared" si="18"/>
        <v>20.158795345653662</v>
      </c>
      <c r="H251" s="220">
        <f t="shared" si="13"/>
        <v>4.4898547132010478</v>
      </c>
      <c r="I251" s="220">
        <f t="shared" si="19"/>
        <v>0</v>
      </c>
      <c r="J251" s="237">
        <f t="shared" si="15"/>
        <v>39.325000000000003</v>
      </c>
    </row>
    <row r="252" spans="2:13">
      <c r="B252" s="234">
        <f>'Revenues &amp; Expenses'!K252</f>
        <v>43983</v>
      </c>
      <c r="C252" s="369">
        <f t="shared" si="17"/>
        <v>68.349998474121094</v>
      </c>
      <c r="D252" s="370">
        <f t="shared" si="17"/>
        <v>0.11350475664717641</v>
      </c>
      <c r="E252" s="159">
        <f>VLOOKUP(B252,'Revenues &amp; Expenses'!$K$8:$N$258,2)</f>
        <v>7.3776084313925003E-2</v>
      </c>
      <c r="F252" s="236">
        <f>VLOOKUP(B252,'Revenues &amp; Expenses'!$K$8:$N$258,4)</f>
        <v>0.22870114512896697</v>
      </c>
      <c r="G252" s="220">
        <f t="shared" si="18"/>
        <v>20.243668720054757</v>
      </c>
      <c r="H252" s="220">
        <f t="shared" si="13"/>
        <v>4.4992964694555031</v>
      </c>
      <c r="I252" s="220">
        <f t="shared" si="19"/>
        <v>0</v>
      </c>
      <c r="J252" s="237">
        <f t="shared" si="15"/>
        <v>68.349998474121094</v>
      </c>
    </row>
    <row r="253" spans="2:13">
      <c r="B253" s="234">
        <f>'Revenues &amp; Expenses'!K253</f>
        <v>44013</v>
      </c>
      <c r="C253" s="369">
        <f t="shared" si="17"/>
        <v>124.94999694824219</v>
      </c>
      <c r="D253" s="370">
        <f t="shared" si="17"/>
        <v>0.13872803590210442</v>
      </c>
      <c r="E253" s="159">
        <f>VLOOKUP(B253,'Revenues &amp; Expenses'!$K$8:$N$258,2)</f>
        <v>7.3764376276510016E-2</v>
      </c>
      <c r="F253" s="236">
        <f>VLOOKUP(B253,'Revenues &amp; Expenses'!$K$8:$N$258,4)</f>
        <v>0.22739678207770891</v>
      </c>
      <c r="G253" s="220">
        <f t="shared" si="18"/>
        <v>20.325804243668721</v>
      </c>
      <c r="H253" s="220">
        <f t="shared" si="13"/>
        <v>4.5084148260412684</v>
      </c>
      <c r="I253" s="220">
        <f t="shared" si="19"/>
        <v>0</v>
      </c>
      <c r="J253" s="237">
        <f t="shared" si="15"/>
        <v>124.94999694824219</v>
      </c>
    </row>
    <row r="254" spans="2:13">
      <c r="B254" s="234">
        <f>'Revenues &amp; Expenses'!K254</f>
        <v>44044</v>
      </c>
      <c r="C254" s="369">
        <f t="shared" si="17"/>
        <v>111.94999694824219</v>
      </c>
      <c r="D254" s="370">
        <f t="shared" si="17"/>
        <v>0.13872803590210442</v>
      </c>
      <c r="E254" s="159">
        <f>VLOOKUP(B254,'Revenues &amp; Expenses'!$K$8:$N$258,2)</f>
        <v>7.3752277971228006E-2</v>
      </c>
      <c r="F254" s="236">
        <f>VLOOKUP(B254,'Revenues &amp; Expenses'!$K$8:$N$258,4)</f>
        <v>0.22605719591446294</v>
      </c>
      <c r="G254" s="220">
        <f t="shared" si="18"/>
        <v>20.410677618069816</v>
      </c>
      <c r="H254" s="220">
        <f t="shared" si="13"/>
        <v>4.5178177938103943</v>
      </c>
      <c r="I254" s="220">
        <f t="shared" si="19"/>
        <v>0</v>
      </c>
      <c r="J254" s="237">
        <f t="shared" si="15"/>
        <v>111.94999694824219</v>
      </c>
    </row>
    <row r="255" spans="2:13">
      <c r="B255" s="234">
        <f>'Revenues &amp; Expenses'!K255</f>
        <v>44075</v>
      </c>
      <c r="C255" s="369">
        <f t="shared" si="17"/>
        <v>39.924998474121097</v>
      </c>
      <c r="D255" s="370">
        <f t="shared" si="17"/>
        <v>9.2888759882416141E-2</v>
      </c>
      <c r="E255" s="159">
        <f>VLOOKUP(B255,'Revenues &amp; Expenses'!$K$8:$N$258,2)</f>
        <v>7.3740179665999994E-2</v>
      </c>
      <c r="F255" s="236">
        <f>VLOOKUP(B255,'Revenues &amp; Expenses'!$K$8:$N$258,4)</f>
        <v>0.22472594661253503</v>
      </c>
      <c r="G255" s="220">
        <f t="shared" si="18"/>
        <v>20.495550992470911</v>
      </c>
      <c r="H255" s="220">
        <f t="shared" si="13"/>
        <v>4.5272012317182133</v>
      </c>
      <c r="I255" s="220">
        <f t="shared" si="19"/>
        <v>0</v>
      </c>
      <c r="J255" s="237">
        <f t="shared" si="15"/>
        <v>39.924998474121097</v>
      </c>
    </row>
    <row r="256" spans="2:13">
      <c r="B256" s="234">
        <f>'Revenues &amp; Expenses'!K256</f>
        <v>44105</v>
      </c>
      <c r="C256" s="369">
        <f t="shared" si="17"/>
        <v>31.825000381469728</v>
      </c>
      <c r="D256" s="370">
        <f t="shared" si="17"/>
        <v>6.5685623059708542E-2</v>
      </c>
      <c r="E256" s="159">
        <f>VLOOKUP(B256,'Revenues &amp; Expenses'!$K$8:$N$258,2)</f>
        <v>7.3728471628718012E-2</v>
      </c>
      <c r="F256" s="236">
        <f>VLOOKUP(B256,'Revenues &amp; Expenses'!$K$8:$N$258,4)</f>
        <v>0.22344552744093005</v>
      </c>
      <c r="G256" s="220">
        <f t="shared" si="18"/>
        <v>20.577686516084874</v>
      </c>
      <c r="H256" s="220">
        <f t="shared" si="13"/>
        <v>4.5362634972061393</v>
      </c>
      <c r="I256" s="220">
        <f t="shared" si="19"/>
        <v>0</v>
      </c>
      <c r="J256" s="237">
        <f t="shared" si="15"/>
        <v>31.825000381469728</v>
      </c>
    </row>
    <row r="257" spans="2:10">
      <c r="B257" s="234">
        <f>'Revenues &amp; Expenses'!K257</f>
        <v>44136</v>
      </c>
      <c r="C257" s="369">
        <f t="shared" si="17"/>
        <v>31.497499084472658</v>
      </c>
      <c r="D257" s="370">
        <f t="shared" si="17"/>
        <v>6.5685623059708542E-2</v>
      </c>
      <c r="E257" s="159">
        <f>VLOOKUP(B257,'Revenues &amp; Expenses'!$K$8:$N$258,2)</f>
        <v>7.3716373323580012E-2</v>
      </c>
      <c r="F257" s="236">
        <f>VLOOKUP(B257,'Revenues &amp; Expenses'!$K$8:$N$258,4)</f>
        <v>0.22213052457318713</v>
      </c>
      <c r="G257" s="220">
        <f t="shared" si="18"/>
        <v>20.662559890485969</v>
      </c>
      <c r="H257" s="220">
        <f t="shared" si="13"/>
        <v>4.5456088580613674</v>
      </c>
      <c r="I257" s="220">
        <f t="shared" si="19"/>
        <v>0</v>
      </c>
      <c r="J257" s="237">
        <f t="shared" si="15"/>
        <v>31.497499084472658</v>
      </c>
    </row>
    <row r="258" spans="2:10">
      <c r="B258" s="234">
        <f>'Revenues &amp; Expenses'!K258</f>
        <v>44166</v>
      </c>
      <c r="C258" s="371">
        <f t="shared" si="17"/>
        <v>33.249999618530275</v>
      </c>
      <c r="D258" s="372">
        <f t="shared" si="17"/>
        <v>6.5685623059708542E-2</v>
      </c>
      <c r="E258" s="159">
        <f>VLOOKUP(B258,'Revenues &amp; Expenses'!$K$8:$N$258,2)</f>
        <v>7.3704665286396021E-2</v>
      </c>
      <c r="F258" s="236">
        <f>VLOOKUP(B258,'Revenues &amp; Expenses'!$K$8:$N$258,4)</f>
        <v>0.22086572693958989</v>
      </c>
      <c r="G258" s="220">
        <f t="shared" si="18"/>
        <v>20.744695414099933</v>
      </c>
      <c r="H258" s="220">
        <f t="shared" si="13"/>
        <v>4.5546344984092775</v>
      </c>
      <c r="I258" s="220">
        <f t="shared" si="19"/>
        <v>0</v>
      </c>
      <c r="J258" s="237">
        <f t="shared" si="15"/>
        <v>33.249999618530275</v>
      </c>
    </row>
    <row r="259" spans="2:10">
      <c r="B259" s="234">
        <f>'Revenues &amp; Expenses'!K259</f>
        <v>44197</v>
      </c>
    </row>
    <row r="260" spans="2:10">
      <c r="B260" s="234"/>
    </row>
    <row r="261" spans="2:10">
      <c r="B261" s="234"/>
    </row>
    <row r="262" spans="2:10">
      <c r="B262" s="234"/>
    </row>
    <row r="263" spans="2:10">
      <c r="B263" s="234"/>
    </row>
    <row r="264" spans="2:10">
      <c r="B264" s="234"/>
    </row>
    <row r="265" spans="2:10">
      <c r="B265" s="234"/>
    </row>
    <row r="266" spans="2:10">
      <c r="B266" s="234"/>
    </row>
    <row r="267" spans="2:10">
      <c r="B267" s="234"/>
    </row>
    <row r="268" spans="2:10">
      <c r="B268" s="234"/>
    </row>
    <row r="269" spans="2:10">
      <c r="B269" s="234"/>
    </row>
    <row r="270" spans="2:10">
      <c r="B270" s="234"/>
    </row>
    <row r="271" spans="2:10">
      <c r="B271" s="234"/>
    </row>
    <row r="272" spans="2:10">
      <c r="B272" s="234"/>
    </row>
    <row r="273" spans="2:2">
      <c r="B273" s="234"/>
    </row>
    <row r="274" spans="2:2">
      <c r="B274" s="234"/>
    </row>
    <row r="275" spans="2:2">
      <c r="B275" s="234"/>
    </row>
    <row r="276" spans="2:2">
      <c r="B276" s="234"/>
    </row>
    <row r="277" spans="2:2">
      <c r="B277" s="234"/>
    </row>
    <row r="278" spans="2:2">
      <c r="B278" s="234"/>
    </row>
    <row r="279" spans="2:2">
      <c r="B279" s="234"/>
    </row>
    <row r="280" spans="2:2">
      <c r="B280" s="234"/>
    </row>
    <row r="281" spans="2:2">
      <c r="B281" s="234"/>
    </row>
    <row r="282" spans="2:2">
      <c r="B282" s="234"/>
    </row>
    <row r="283" spans="2:2">
      <c r="B283" s="234"/>
    </row>
    <row r="284" spans="2:2">
      <c r="B284" s="234"/>
    </row>
    <row r="285" spans="2:2">
      <c r="B285" s="234"/>
    </row>
    <row r="286" spans="2:2">
      <c r="B286" s="234"/>
    </row>
    <row r="287" spans="2:2">
      <c r="B287" s="234"/>
    </row>
    <row r="288" spans="2:2">
      <c r="B288" s="234"/>
    </row>
    <row r="289" spans="2:2">
      <c r="B289" s="234"/>
    </row>
    <row r="290" spans="2:2">
      <c r="B290" s="234"/>
    </row>
    <row r="291" spans="2:2">
      <c r="B291" s="234"/>
    </row>
    <row r="292" spans="2:2">
      <c r="B292" s="234"/>
    </row>
    <row r="293" spans="2:2">
      <c r="B293" s="234"/>
    </row>
    <row r="294" spans="2:2">
      <c r="B294" s="234"/>
    </row>
    <row r="295" spans="2:2">
      <c r="B295" s="234"/>
    </row>
    <row r="296" spans="2:2">
      <c r="B296" s="234"/>
    </row>
    <row r="297" spans="2:2">
      <c r="B297" s="234"/>
    </row>
    <row r="298" spans="2:2">
      <c r="B298" s="234"/>
    </row>
    <row r="299" spans="2:2">
      <c r="B299" s="234"/>
    </row>
    <row r="300" spans="2:2">
      <c r="B300" s="234"/>
    </row>
    <row r="301" spans="2:2">
      <c r="B301" s="234"/>
    </row>
    <row r="302" spans="2:2">
      <c r="B302" s="234"/>
    </row>
    <row r="303" spans="2:2">
      <c r="B303" s="234"/>
    </row>
    <row r="304" spans="2:2">
      <c r="B304" s="234"/>
    </row>
    <row r="305" spans="2:2">
      <c r="B305" s="234"/>
    </row>
    <row r="306" spans="2:2">
      <c r="B306" s="234"/>
    </row>
    <row r="307" spans="2:2">
      <c r="B307" s="234"/>
    </row>
    <row r="308" spans="2:2">
      <c r="B308" s="234"/>
    </row>
    <row r="309" spans="2:2">
      <c r="B309" s="234"/>
    </row>
    <row r="310" spans="2:2">
      <c r="B310" s="234"/>
    </row>
    <row r="311" spans="2:2">
      <c r="B311" s="234"/>
    </row>
    <row r="312" spans="2:2">
      <c r="B312" s="234"/>
    </row>
    <row r="313" spans="2:2">
      <c r="B313" s="234"/>
    </row>
    <row r="314" spans="2:2">
      <c r="B314" s="234"/>
    </row>
    <row r="315" spans="2:2">
      <c r="B315" s="234"/>
    </row>
    <row r="316" spans="2:2">
      <c r="B316" s="234"/>
    </row>
    <row r="317" spans="2:2">
      <c r="B317" s="234"/>
    </row>
    <row r="318" spans="2:2">
      <c r="B318" s="234"/>
    </row>
    <row r="319" spans="2:2">
      <c r="B319" s="234"/>
    </row>
    <row r="320" spans="2:2">
      <c r="B320" s="234"/>
    </row>
    <row r="321" spans="2:2">
      <c r="B321" s="234"/>
    </row>
    <row r="322" spans="2:2">
      <c r="B322" s="234"/>
    </row>
    <row r="323" spans="2:2">
      <c r="B323" s="234"/>
    </row>
    <row r="324" spans="2:2">
      <c r="B324" s="234"/>
    </row>
    <row r="325" spans="2:2">
      <c r="B325" s="234"/>
    </row>
    <row r="326" spans="2:2">
      <c r="B326" s="234"/>
    </row>
    <row r="327" spans="2:2">
      <c r="B327" s="234"/>
    </row>
    <row r="328" spans="2:2">
      <c r="B328" s="234"/>
    </row>
    <row r="329" spans="2:2">
      <c r="B329" s="234"/>
    </row>
    <row r="330" spans="2:2">
      <c r="B330" s="234"/>
    </row>
    <row r="331" spans="2:2">
      <c r="B331" s="234"/>
    </row>
    <row r="332" spans="2:2">
      <c r="B332" s="234"/>
    </row>
    <row r="333" spans="2:2">
      <c r="B333" s="234"/>
    </row>
    <row r="334" spans="2:2">
      <c r="B334" s="234"/>
    </row>
    <row r="335" spans="2:2">
      <c r="B335" s="234"/>
    </row>
    <row r="336" spans="2:2">
      <c r="B336" s="234"/>
    </row>
    <row r="337" spans="2:2">
      <c r="B337" s="234"/>
    </row>
    <row r="338" spans="2:2">
      <c r="B338" s="234"/>
    </row>
    <row r="339" spans="2:2">
      <c r="B339" s="234"/>
    </row>
    <row r="340" spans="2:2">
      <c r="B340" s="234"/>
    </row>
    <row r="341" spans="2:2">
      <c r="B341" s="234"/>
    </row>
    <row r="342" spans="2:2">
      <c r="B342" s="234"/>
    </row>
    <row r="343" spans="2:2">
      <c r="B343" s="234"/>
    </row>
    <row r="344" spans="2:2">
      <c r="B344" s="234"/>
    </row>
    <row r="345" spans="2:2">
      <c r="B345" s="234"/>
    </row>
    <row r="346" spans="2:2">
      <c r="B346" s="234"/>
    </row>
    <row r="347" spans="2:2">
      <c r="B347" s="234"/>
    </row>
    <row r="348" spans="2:2">
      <c r="B348" s="234"/>
    </row>
    <row r="349" spans="2:2">
      <c r="B349" s="234"/>
    </row>
    <row r="350" spans="2:2">
      <c r="B350" s="234"/>
    </row>
    <row r="351" spans="2:2">
      <c r="B351" s="234"/>
    </row>
    <row r="352" spans="2:2">
      <c r="B352" s="234"/>
    </row>
    <row r="353" spans="2:2">
      <c r="B353" s="234"/>
    </row>
    <row r="354" spans="2:2">
      <c r="B354" s="234"/>
    </row>
    <row r="355" spans="2:2">
      <c r="B355" s="234"/>
    </row>
    <row r="356" spans="2:2">
      <c r="B356" s="234"/>
    </row>
    <row r="357" spans="2:2">
      <c r="B357" s="234"/>
    </row>
    <row r="358" spans="2:2">
      <c r="B358" s="234"/>
    </row>
    <row r="359" spans="2:2">
      <c r="B359" s="234"/>
    </row>
  </sheetData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59"/>
  <sheetViews>
    <sheetView workbookViewId="0">
      <selection activeCell="F3" sqref="F3"/>
    </sheetView>
  </sheetViews>
  <sheetFormatPr defaultColWidth="0" defaultRowHeight="15.6"/>
  <cols>
    <col min="1" max="1" width="0.88671875" style="160" customWidth="1"/>
    <col min="2" max="2" width="11.33203125" style="216" customWidth="1"/>
    <col min="3" max="3" width="9.109375" style="160" customWidth="1"/>
    <col min="4" max="4" width="9.109375" style="212" customWidth="1"/>
    <col min="5" max="6" width="9.6640625" style="160" customWidth="1"/>
    <col min="7" max="8" width="12.88671875" style="220" customWidth="1"/>
    <col min="9" max="9" width="16.88671875" style="220" customWidth="1"/>
    <col min="10" max="10" width="12.109375" style="373" customWidth="1"/>
    <col min="11" max="11" width="9.109375" style="160" customWidth="1"/>
    <col min="12" max="16384" width="0" style="160" hidden="1"/>
  </cols>
  <sheetData>
    <row r="1" spans="2:11">
      <c r="B1" s="211">
        <f>'Revenues &amp; Expenses'!K1</f>
        <v>36589</v>
      </c>
      <c r="E1" s="162"/>
      <c r="F1" s="162"/>
      <c r="G1" s="213"/>
      <c r="H1" s="213"/>
      <c r="I1" s="214" t="s">
        <v>177</v>
      </c>
      <c r="K1" s="160">
        <v>1</v>
      </c>
    </row>
    <row r="2" spans="2:11">
      <c r="C2" s="217"/>
      <c r="D2" s="218"/>
      <c r="F2" s="219"/>
      <c r="I2" s="221">
        <v>0</v>
      </c>
    </row>
    <row r="3" spans="2:11">
      <c r="C3" s="217"/>
      <c r="D3" s="222"/>
    </row>
    <row r="4" spans="2:11">
      <c r="C4" s="217"/>
      <c r="D4" s="222"/>
      <c r="G4" s="215"/>
      <c r="H4" s="215"/>
      <c r="I4" s="212"/>
    </row>
    <row r="5" spans="2:11" s="216" customFormat="1">
      <c r="C5" s="223"/>
      <c r="D5" s="224"/>
      <c r="G5" s="225"/>
      <c r="H5" s="225"/>
      <c r="I5" s="226"/>
      <c r="J5" s="375"/>
    </row>
    <row r="6" spans="2:11" s="227" customFormat="1">
      <c r="C6" s="227" t="s">
        <v>117</v>
      </c>
      <c r="D6" s="228"/>
      <c r="G6" s="125"/>
      <c r="H6" s="125"/>
      <c r="I6" s="125" t="s">
        <v>172</v>
      </c>
      <c r="J6" s="376" t="s">
        <v>176</v>
      </c>
    </row>
    <row r="7" spans="2:11" s="227" customFormat="1" ht="16.2" thickBot="1">
      <c r="C7" s="230" t="s">
        <v>170</v>
      </c>
      <c r="D7" s="231" t="s">
        <v>5</v>
      </c>
      <c r="E7" s="230" t="s">
        <v>171</v>
      </c>
      <c r="F7" s="230" t="s">
        <v>9</v>
      </c>
      <c r="G7" s="232" t="s">
        <v>173</v>
      </c>
      <c r="H7" s="232" t="s">
        <v>174</v>
      </c>
      <c r="I7" s="232" t="s">
        <v>175</v>
      </c>
      <c r="J7" s="377" t="s">
        <v>170</v>
      </c>
    </row>
    <row r="8" spans="2:11">
      <c r="B8" s="234">
        <f>'Revenues &amp; Expenses'!K8</f>
        <v>36557</v>
      </c>
      <c r="C8" s="235"/>
      <c r="E8" s="159"/>
      <c r="F8" s="236"/>
      <c r="J8" s="378"/>
    </row>
    <row r="9" spans="2:11">
      <c r="B9" s="234">
        <f>'Revenues &amp; Expenses'!K9</f>
        <v>36586</v>
      </c>
      <c r="C9" s="373"/>
      <c r="D9" s="366"/>
      <c r="E9" s="159"/>
      <c r="F9" s="220"/>
      <c r="J9" s="378"/>
    </row>
    <row r="10" spans="2:11">
      <c r="B10" s="234">
        <f>'Revenues &amp; Expenses'!K10</f>
        <v>36617</v>
      </c>
      <c r="C10" s="373"/>
      <c r="D10" s="366"/>
      <c r="E10" s="159"/>
      <c r="F10" s="220"/>
      <c r="J10" s="378"/>
    </row>
    <row r="11" spans="2:11">
      <c r="B11" s="234">
        <f>'Revenues &amp; Expenses'!K11</f>
        <v>36647</v>
      </c>
      <c r="C11" s="373"/>
      <c r="D11" s="366"/>
      <c r="E11" s="159"/>
      <c r="F11" s="220"/>
      <c r="J11" s="378"/>
    </row>
    <row r="12" spans="2:11">
      <c r="B12" s="234">
        <f>'Revenues &amp; Expenses'!K12</f>
        <v>36678</v>
      </c>
      <c r="C12" s="373">
        <f>'Fuel Curve'!F12</f>
        <v>5.4570689655172417</v>
      </c>
      <c r="D12" s="366">
        <f>'Fuel Curve'!D12</f>
        <v>0.28699999999999998</v>
      </c>
      <c r="E12" s="159">
        <f>VLOOKUP(B12,'PJM Curve Simulation'!$B$9:$F$258,4)</f>
        <v>6.217794615986301E-2</v>
      </c>
      <c r="F12" s="220">
        <f>VLOOKUP(B12,'PJM Curve Simulation'!$B$9:$F$258,5)</f>
        <v>0.97795042754617267</v>
      </c>
      <c r="G12" s="220">
        <f>(B12-$B$1)/365.25</f>
        <v>0.24366872005475701</v>
      </c>
      <c r="H12" s="220">
        <f t="shared" ref="H12:H75" si="0">SQRT(G12)</f>
        <v>0.49362811918969629</v>
      </c>
      <c r="I12" s="220">
        <f>IF($I$2=0,0,-(D12^2)/2)</f>
        <v>0</v>
      </c>
      <c r="J12" s="378">
        <f>IF(K1=1,C12,EXP(I12*G12+D12*$I$2*H12)*C12)</f>
        <v>5.4570689655172417</v>
      </c>
    </row>
    <row r="13" spans="2:11">
      <c r="B13" s="234">
        <f>'Revenues &amp; Expenses'!K13</f>
        <v>36708</v>
      </c>
      <c r="C13" s="373">
        <f>'Fuel Curve'!F13</f>
        <v>5.3846551724137939</v>
      </c>
      <c r="D13" s="366">
        <f>'Fuel Curve'!D13</f>
        <v>0.28800000000000003</v>
      </c>
      <c r="E13" s="159">
        <f>VLOOKUP(B13,'PJM Curve Simulation'!$B$9:$F$258,4)</f>
        <v>6.3156630597147004E-2</v>
      </c>
      <c r="F13" s="220">
        <f>VLOOKUP(B13,'PJM Curve Simulation'!$B$9:$F$258,5)</f>
        <v>0.97263244191561848</v>
      </c>
      <c r="G13" s="220">
        <f t="shared" ref="G13:G76" si="1">(B13-$B$1)/365.25</f>
        <v>0.32580424366872007</v>
      </c>
      <c r="H13" s="220">
        <f t="shared" si="0"/>
        <v>0.57079264507237659</v>
      </c>
      <c r="I13" s="220">
        <f t="shared" ref="I13:I76" si="2">IF($I$2=0,0,-(D13^2)/2)</f>
        <v>0</v>
      </c>
      <c r="J13" s="378">
        <f t="shared" ref="J13:J76" si="3">IF(K2=1,C13,EXP(I13*G13+D13*$I$2*H13)*C13)</f>
        <v>5.3846551724137939</v>
      </c>
    </row>
    <row r="14" spans="2:11">
      <c r="B14" s="234">
        <f>'Revenues &amp; Expenses'!K14</f>
        <v>36739</v>
      </c>
      <c r="C14" s="373">
        <f>'Fuel Curve'!F14</f>
        <v>5.3918965517241384</v>
      </c>
      <c r="D14" s="366">
        <f>'Fuel Curve'!D14</f>
        <v>0.27900000000000003</v>
      </c>
      <c r="E14" s="159">
        <f>VLOOKUP(B14,'PJM Curve Simulation'!$B$9:$F$258,4)</f>
        <v>6.3794910183085002E-2</v>
      </c>
      <c r="F14" s="220">
        <f>VLOOKUP(B14,'PJM Curve Simulation'!$B$9:$F$258,5)</f>
        <v>0.96719510875054593</v>
      </c>
      <c r="G14" s="220">
        <f t="shared" si="1"/>
        <v>0.41067761806981518</v>
      </c>
      <c r="H14" s="220">
        <f t="shared" si="0"/>
        <v>0.64084133611200145</v>
      </c>
      <c r="I14" s="220">
        <f t="shared" si="2"/>
        <v>0</v>
      </c>
      <c r="J14" s="378">
        <f t="shared" si="3"/>
        <v>5.3918965517241384</v>
      </c>
    </row>
    <row r="15" spans="2:11">
      <c r="B15" s="234">
        <f>'Revenues &amp; Expenses'!K15</f>
        <v>36770</v>
      </c>
      <c r="C15" s="373">
        <f>'Fuel Curve'!F15</f>
        <v>5.4027586206896556</v>
      </c>
      <c r="D15" s="366">
        <f>'Fuel Curve'!D15</f>
        <v>0.28100000000000003</v>
      </c>
      <c r="E15" s="159">
        <f>VLOOKUP(B15,'PJM Curve Simulation'!$B$9:$F$258,4)</f>
        <v>6.4433189904138016E-2</v>
      </c>
      <c r="F15" s="220">
        <f>VLOOKUP(B15,'PJM Curve Simulation'!$B$9:$F$258,5)</f>
        <v>0.96168729035349487</v>
      </c>
      <c r="G15" s="220">
        <f t="shared" si="1"/>
        <v>0.49555099247091033</v>
      </c>
      <c r="H15" s="220">
        <f t="shared" si="0"/>
        <v>0.70395382836583131</v>
      </c>
      <c r="I15" s="220">
        <f t="shared" si="2"/>
        <v>0</v>
      </c>
      <c r="J15" s="378">
        <f t="shared" si="3"/>
        <v>5.4027586206896556</v>
      </c>
    </row>
    <row r="16" spans="2:11">
      <c r="B16" s="234">
        <f>'Revenues &amp; Expenses'!K16</f>
        <v>36800</v>
      </c>
      <c r="C16" s="373">
        <f>'Fuel Curve'!F16</f>
        <v>5.4172413793103456</v>
      </c>
      <c r="D16" s="366">
        <f>'Fuel Curve'!D16</f>
        <v>0.28000000000000003</v>
      </c>
      <c r="E16" s="159">
        <f>VLOOKUP(B16,'PJM Curve Simulation'!$B$9:$F$258,4)</f>
        <v>6.5011694486706018E-2</v>
      </c>
      <c r="F16" s="220">
        <f>VLOOKUP(B16,'PJM Curve Simulation'!$B$9:$F$258,5)</f>
        <v>0.9563168773240901</v>
      </c>
      <c r="G16" s="220">
        <f t="shared" si="1"/>
        <v>0.57768651608487342</v>
      </c>
      <c r="H16" s="220">
        <f t="shared" si="0"/>
        <v>0.76005691634565986</v>
      </c>
      <c r="I16" s="220">
        <f t="shared" si="2"/>
        <v>0</v>
      </c>
      <c r="J16" s="378">
        <f t="shared" si="3"/>
        <v>5.4172413793103456</v>
      </c>
    </row>
    <row r="17" spans="2:10">
      <c r="B17" s="234">
        <f>'Revenues &amp; Expenses'!K17</f>
        <v>36831</v>
      </c>
      <c r="C17" s="373">
        <f>'Fuel Curve'!F17</f>
        <v>5.4281034482758628</v>
      </c>
      <c r="D17" s="366">
        <f>'Fuel Curve'!D17</f>
        <v>0.27300000000000002</v>
      </c>
      <c r="E17" s="159">
        <f>VLOOKUP(B17,'PJM Curve Simulation'!$B$9:$F$258,4)</f>
        <v>6.5536848233941014E-2</v>
      </c>
      <c r="F17" s="220">
        <f>VLOOKUP(B17,'PJM Curve Simulation'!$B$9:$F$258,5)</f>
        <v>0.95075948988363446</v>
      </c>
      <c r="G17" s="220">
        <f t="shared" si="1"/>
        <v>0.66255989048596853</v>
      </c>
      <c r="H17" s="220">
        <f t="shared" si="0"/>
        <v>0.81397781940662761</v>
      </c>
      <c r="I17" s="220">
        <f t="shared" si="2"/>
        <v>0</v>
      </c>
      <c r="J17" s="378">
        <f t="shared" si="3"/>
        <v>5.4281034482758628</v>
      </c>
    </row>
    <row r="18" spans="2:10">
      <c r="B18" s="234">
        <f>'Revenues &amp; Expenses'!K18</f>
        <v>36861</v>
      </c>
      <c r="C18" s="373">
        <f>'Fuel Curve'!F18</f>
        <v>5.410000000000001</v>
      </c>
      <c r="D18" s="366">
        <f>'Fuel Curve'!D18</f>
        <v>0.27500000000000002</v>
      </c>
      <c r="E18" s="159">
        <f>VLOOKUP(B18,'PJM Curve Simulation'!$B$9:$F$258,4)</f>
        <v>6.6045061624730006E-2</v>
      </c>
      <c r="F18" s="220">
        <f>VLOOKUP(B18,'PJM Curve Simulation'!$B$9:$F$258,5)</f>
        <v>0.94533452136269336</v>
      </c>
      <c r="G18" s="220">
        <f t="shared" si="1"/>
        <v>0.74469541409993156</v>
      </c>
      <c r="H18" s="220">
        <f t="shared" si="0"/>
        <v>0.86295736516929478</v>
      </c>
      <c r="I18" s="220">
        <f t="shared" si="2"/>
        <v>0</v>
      </c>
      <c r="J18" s="378">
        <f t="shared" si="3"/>
        <v>5.410000000000001</v>
      </c>
    </row>
    <row r="19" spans="2:10">
      <c r="B19" s="234">
        <f>'Revenues &amp; Expenses'!K19</f>
        <v>36892</v>
      </c>
      <c r="C19" s="373">
        <f>'Fuel Curve'!F19</f>
        <v>5.3375862068965532</v>
      </c>
      <c r="D19" s="366">
        <f>'Fuel Curve'!D19</f>
        <v>0.27500000000000002</v>
      </c>
      <c r="E19" s="159">
        <f>VLOOKUP(B19,'PJM Curve Simulation'!$B$9:$F$258,4)</f>
        <v>6.6545865575547994E-2</v>
      </c>
      <c r="F19" s="220">
        <f>VLOOKUP(B19,'PJM Curve Simulation'!$B$9:$F$258,5)</f>
        <v>0.93970259564566427</v>
      </c>
      <c r="G19" s="220">
        <f t="shared" si="1"/>
        <v>0.82956878850102667</v>
      </c>
      <c r="H19" s="220">
        <f t="shared" si="0"/>
        <v>0.91080666911316954</v>
      </c>
      <c r="I19" s="220">
        <f t="shared" si="2"/>
        <v>0</v>
      </c>
      <c r="J19" s="378">
        <f t="shared" si="3"/>
        <v>5.3375862068965532</v>
      </c>
    </row>
    <row r="20" spans="2:10">
      <c r="B20" s="234">
        <f>'Revenues &amp; Expenses'!K20</f>
        <v>36923</v>
      </c>
      <c r="C20" s="373">
        <f>'Fuel Curve'!F20</f>
        <v>5.1818965517241384</v>
      </c>
      <c r="D20" s="366">
        <f>'Fuel Curve'!D20</f>
        <v>0.27100000000000002</v>
      </c>
      <c r="E20" s="159">
        <f>VLOOKUP(B20,'PJM Curve Simulation'!$B$9:$F$258,4)</f>
        <v>6.7008115474421009E-2</v>
      </c>
      <c r="F20" s="220">
        <f>VLOOKUP(B20,'PJM Curve Simulation'!$B$9:$F$258,5)</f>
        <v>0.93406353889189453</v>
      </c>
      <c r="G20" s="220">
        <f t="shared" si="1"/>
        <v>0.91444216290212188</v>
      </c>
      <c r="H20" s="220">
        <f t="shared" si="0"/>
        <v>0.95626469290783811</v>
      </c>
      <c r="I20" s="220">
        <f t="shared" si="2"/>
        <v>0</v>
      </c>
      <c r="J20" s="378">
        <f t="shared" si="3"/>
        <v>5.1818965517241384</v>
      </c>
    </row>
    <row r="21" spans="2:10">
      <c r="B21" s="234">
        <f>'Revenues &amp; Expenses'!K21</f>
        <v>36951</v>
      </c>
      <c r="C21" s="373">
        <f>'Fuel Curve'!F21</f>
        <v>5.0262068965517255</v>
      </c>
      <c r="D21" s="366">
        <f>'Fuel Curve'!D21</f>
        <v>0.27</v>
      </c>
      <c r="E21" s="159">
        <f>VLOOKUP(B21,'PJM Curve Simulation'!$B$9:$F$258,4)</f>
        <v>6.7425631572931022E-2</v>
      </c>
      <c r="F21" s="220">
        <f>VLOOKUP(B21,'PJM Curve Simulation'!$B$9:$F$258,5)</f>
        <v>0.92893874943489496</v>
      </c>
      <c r="G21" s="220">
        <f t="shared" si="1"/>
        <v>0.99110198494182067</v>
      </c>
      <c r="H21" s="220">
        <f t="shared" si="0"/>
        <v>0.99554105135942073</v>
      </c>
      <c r="I21" s="220">
        <f t="shared" si="2"/>
        <v>0</v>
      </c>
      <c r="J21" s="378">
        <f t="shared" si="3"/>
        <v>5.0262068965517255</v>
      </c>
    </row>
    <row r="22" spans="2:10">
      <c r="B22" s="234">
        <f>'Revenues &amp; Expenses'!K22</f>
        <v>36982</v>
      </c>
      <c r="C22" s="373">
        <f>'Fuel Curve'!F22</f>
        <v>4.8777586206896553</v>
      </c>
      <c r="D22" s="366">
        <f>'Fuel Curve'!D22</f>
        <v>0.26600000000000001</v>
      </c>
      <c r="E22" s="159">
        <f>VLOOKUP(B22,'PJM Curve Simulation'!$B$9:$F$258,4)</f>
        <v>6.7843658533167012E-2</v>
      </c>
      <c r="F22" s="220">
        <f>VLOOKUP(B22,'PJM Curve Simulation'!$B$9:$F$258,5)</f>
        <v>0.92327832077127103</v>
      </c>
      <c r="G22" s="220">
        <f t="shared" si="1"/>
        <v>1.0759753593429158</v>
      </c>
      <c r="H22" s="220">
        <f t="shared" si="0"/>
        <v>1.0372923210662055</v>
      </c>
      <c r="I22" s="220">
        <f t="shared" si="2"/>
        <v>0</v>
      </c>
      <c r="J22" s="378">
        <f t="shared" si="3"/>
        <v>4.8777586206896553</v>
      </c>
    </row>
    <row r="23" spans="2:10">
      <c r="B23" s="234">
        <f>'Revenues &amp; Expenses'!K23</f>
        <v>37012</v>
      </c>
      <c r="C23" s="373">
        <f>'Fuel Curve'!F23</f>
        <v>4.7655172413793103</v>
      </c>
      <c r="D23" s="366">
        <f>'Fuel Curve'!D23</f>
        <v>0.26100000000000001</v>
      </c>
      <c r="E23" s="159">
        <f>VLOOKUP(B23,'PJM Curve Simulation'!$B$9:$F$258,4)</f>
        <v>6.8169636069557019E-2</v>
      </c>
      <c r="F23" s="220">
        <f>VLOOKUP(B23,'PJM Curve Simulation'!$B$9:$F$258,5)</f>
        <v>0.91786259522657809</v>
      </c>
      <c r="G23" s="220">
        <f t="shared" si="1"/>
        <v>1.1581108829568789</v>
      </c>
      <c r="H23" s="220">
        <f t="shared" si="0"/>
        <v>1.0761556035057751</v>
      </c>
      <c r="I23" s="220">
        <f t="shared" si="2"/>
        <v>0</v>
      </c>
      <c r="J23" s="378">
        <f t="shared" si="3"/>
        <v>4.7655172413793103</v>
      </c>
    </row>
    <row r="24" spans="2:10">
      <c r="B24" s="234">
        <f>'Revenues &amp; Expenses'!K24</f>
        <v>37043</v>
      </c>
      <c r="C24" s="373">
        <f>'Fuel Curve'!F24</f>
        <v>4.7220689655172423</v>
      </c>
      <c r="D24" s="366">
        <f>'Fuel Curve'!D24</f>
        <v>0.25800000000000001</v>
      </c>
      <c r="E24" s="159">
        <f>VLOOKUP(B24,'PJM Curve Simulation'!$B$9:$F$258,4)</f>
        <v>6.8506479560772007E-2</v>
      </c>
      <c r="F24" s="220">
        <f>VLOOKUP(B24,'PJM Curve Simulation'!$B$9:$F$258,5)</f>
        <v>0.91225014842576224</v>
      </c>
      <c r="G24" s="220">
        <f t="shared" si="1"/>
        <v>1.2429842573579739</v>
      </c>
      <c r="H24" s="220">
        <f t="shared" si="0"/>
        <v>1.1148920384315129</v>
      </c>
      <c r="I24" s="220">
        <f t="shared" si="2"/>
        <v>0</v>
      </c>
      <c r="J24" s="378">
        <f t="shared" si="3"/>
        <v>4.7220689655172423</v>
      </c>
    </row>
    <row r="25" spans="2:10">
      <c r="B25" s="234">
        <f>'Revenues &amp; Expenses'!K25</f>
        <v>37073</v>
      </c>
      <c r="C25" s="373">
        <f>'Fuel Curve'!F25</f>
        <v>4.746724137931035</v>
      </c>
      <c r="D25" s="366">
        <f>'Fuel Curve'!D25</f>
        <v>0.254</v>
      </c>
      <c r="E25" s="159">
        <f>VLOOKUP(B25,'PJM Curve Simulation'!$B$9:$F$258,4)</f>
        <v>6.8813575700040999E-2</v>
      </c>
      <c r="F25" s="220">
        <f>VLOOKUP(B25,'PJM Curve Simulation'!$B$9:$F$258,5)</f>
        <v>0.906827682607942</v>
      </c>
      <c r="G25" s="220">
        <f t="shared" si="1"/>
        <v>1.3251197809719371</v>
      </c>
      <c r="H25" s="220">
        <f t="shared" si="0"/>
        <v>1.1511384716757307</v>
      </c>
      <c r="I25" s="220">
        <f t="shared" si="2"/>
        <v>0</v>
      </c>
      <c r="J25" s="378">
        <f t="shared" si="3"/>
        <v>4.746724137931035</v>
      </c>
    </row>
    <row r="26" spans="2:10">
      <c r="B26" s="234">
        <f>'Revenues &amp; Expenses'!K26</f>
        <v>37104</v>
      </c>
      <c r="C26" s="373">
        <f>'Fuel Curve'!F26</f>
        <v>4.8075862068965529</v>
      </c>
      <c r="D26" s="366">
        <f>'Fuel Curve'!D26</f>
        <v>0.25</v>
      </c>
      <c r="E26" s="159">
        <f>VLOOKUP(B26,'PJM Curve Simulation'!$B$9:$F$258,4)</f>
        <v>6.9095201423199012E-2</v>
      </c>
      <c r="F26" s="220">
        <f>VLOOKUP(B26,'PJM Curve Simulation'!$B$9:$F$258,5)</f>
        <v>0.90125981831432833</v>
      </c>
      <c r="G26" s="220">
        <f t="shared" si="1"/>
        <v>1.4099931553730323</v>
      </c>
      <c r="H26" s="220">
        <f t="shared" si="0"/>
        <v>1.187431326592419</v>
      </c>
      <c r="I26" s="220">
        <f t="shared" si="2"/>
        <v>0</v>
      </c>
      <c r="J26" s="378">
        <f t="shared" si="3"/>
        <v>4.8075862068965529</v>
      </c>
    </row>
    <row r="27" spans="2:10">
      <c r="B27" s="234">
        <f>'Revenues &amp; Expenses'!K27</f>
        <v>37135</v>
      </c>
      <c r="C27" s="373">
        <f>'Fuel Curve'!F27</f>
        <v>4.8770689655172426</v>
      </c>
      <c r="D27" s="366">
        <f>'Fuel Curve'!D27</f>
        <v>0.24800000000000003</v>
      </c>
      <c r="E27" s="159">
        <f>VLOOKUP(B27,'PJM Curve Simulation'!$B$9:$F$258,4)</f>
        <v>6.9376827172596037E-2</v>
      </c>
      <c r="F27" s="220">
        <f>VLOOKUP(B27,'PJM Curve Simulation'!$B$9:$F$258,5)</f>
        <v>0.89568480176588539</v>
      </c>
      <c r="G27" s="220">
        <f t="shared" si="1"/>
        <v>1.4948665297741273</v>
      </c>
      <c r="H27" s="220">
        <f t="shared" si="0"/>
        <v>1.2226473448113022</v>
      </c>
      <c r="I27" s="220">
        <f t="shared" si="2"/>
        <v>0</v>
      </c>
      <c r="J27" s="378">
        <f t="shared" si="3"/>
        <v>4.8770689655172426</v>
      </c>
    </row>
    <row r="28" spans="2:10">
      <c r="B28" s="234">
        <f>'Revenues &amp; Expenses'!K28</f>
        <v>37165</v>
      </c>
      <c r="C28" s="373">
        <f>'Fuel Curve'!F28</f>
        <v>4.9436206896551731</v>
      </c>
      <c r="D28" s="366">
        <f>'Fuel Curve'!D28</f>
        <v>0.24600000000000002</v>
      </c>
      <c r="E28" s="159">
        <f>VLOOKUP(B28,'PJM Curve Simulation'!$B$9:$F$258,4)</f>
        <v>6.9627293262601017E-2</v>
      </c>
      <c r="F28" s="220">
        <f>VLOOKUP(B28,'PJM Curve Simulation'!$B$9:$F$258,5)</f>
        <v>0.89031558573007474</v>
      </c>
      <c r="G28" s="220">
        <f t="shared" si="1"/>
        <v>1.5770020533880904</v>
      </c>
      <c r="H28" s="220">
        <f t="shared" si="0"/>
        <v>1.2557874236462516</v>
      </c>
      <c r="I28" s="220">
        <f t="shared" si="2"/>
        <v>0</v>
      </c>
      <c r="J28" s="378">
        <f t="shared" si="3"/>
        <v>4.9436206896551731</v>
      </c>
    </row>
    <row r="29" spans="2:10">
      <c r="B29" s="234">
        <f>'Revenues &amp; Expenses'!K29</f>
        <v>37196</v>
      </c>
      <c r="C29" s="373">
        <f>'Fuel Curve'!F29</f>
        <v>5.0060344827586212</v>
      </c>
      <c r="D29" s="366">
        <f>'Fuel Curve'!D29</f>
        <v>0.24199999999999999</v>
      </c>
      <c r="E29" s="159">
        <f>VLOOKUP(B29,'PJM Curve Simulation'!$B$9:$F$258,4)</f>
        <v>6.9849822771288012E-2</v>
      </c>
      <c r="F29" s="220">
        <f>VLOOKUP(B29,'PJM Curve Simulation'!$B$9:$F$258,5)</f>
        <v>0.88481958609445999</v>
      </c>
      <c r="G29" s="220">
        <f t="shared" si="1"/>
        <v>1.6618754277891854</v>
      </c>
      <c r="H29" s="220">
        <f t="shared" si="0"/>
        <v>1.2891374743560848</v>
      </c>
      <c r="I29" s="220">
        <f t="shared" si="2"/>
        <v>0</v>
      </c>
      <c r="J29" s="378">
        <f t="shared" si="3"/>
        <v>5.0060344827586212</v>
      </c>
    </row>
    <row r="30" spans="2:10">
      <c r="B30" s="234">
        <f>'Revenues &amp; Expenses'!K30</f>
        <v>37226</v>
      </c>
      <c r="C30" s="373">
        <f>'Fuel Curve'!F30</f>
        <v>5.0284482758620692</v>
      </c>
      <c r="D30" s="366">
        <f>'Fuel Curve'!D30</f>
        <v>0.24</v>
      </c>
      <c r="E30" s="159">
        <f>VLOOKUP(B30,'PJM Curve Simulation'!$B$9:$F$258,4)</f>
        <v>7.0065173924320018E-2</v>
      </c>
      <c r="F30" s="220">
        <f>VLOOKUP(B30,'PJM Curve Simulation'!$B$9:$F$258,5)</f>
        <v>0.87950265178452391</v>
      </c>
      <c r="G30" s="220">
        <f t="shared" si="1"/>
        <v>1.7440109514031485</v>
      </c>
      <c r="H30" s="220">
        <f t="shared" si="0"/>
        <v>1.3206100678864858</v>
      </c>
      <c r="I30" s="220">
        <f t="shared" si="2"/>
        <v>0</v>
      </c>
      <c r="J30" s="378">
        <f t="shared" si="3"/>
        <v>5.0284482758620692</v>
      </c>
    </row>
    <row r="31" spans="2:10">
      <c r="B31" s="234">
        <f>'Revenues &amp; Expenses'!K31</f>
        <v>37257</v>
      </c>
      <c r="C31" s="373">
        <f>'Fuel Curve'!F31</f>
        <v>4.9798275862068975</v>
      </c>
      <c r="D31" s="366">
        <f>'Fuel Curve'!D31</f>
        <v>0.23699999999999999</v>
      </c>
      <c r="E31" s="159">
        <f>VLOOKUP(B31,'PJM Curve Simulation'!$B$9:$F$258,4)</f>
        <v>7.027646029862801E-2</v>
      </c>
      <c r="F31" s="220">
        <f>VLOOKUP(B31,'PJM Curve Simulation'!$B$9:$F$258,5)</f>
        <v>0.87402920842405774</v>
      </c>
      <c r="G31" s="220">
        <f t="shared" si="1"/>
        <v>1.8288843258042438</v>
      </c>
      <c r="H31" s="220">
        <f t="shared" si="0"/>
        <v>1.3523624979288074</v>
      </c>
      <c r="I31" s="220">
        <f t="shared" si="2"/>
        <v>0</v>
      </c>
      <c r="J31" s="378">
        <f t="shared" si="3"/>
        <v>4.9798275862068975</v>
      </c>
    </row>
    <row r="32" spans="2:10">
      <c r="B32" s="234">
        <f>'Revenues &amp; Expenses'!K32</f>
        <v>37288</v>
      </c>
      <c r="C32" s="373">
        <f>'Fuel Curve'!F32</f>
        <v>4.8625862068965526</v>
      </c>
      <c r="D32" s="366">
        <f>'Fuel Curve'!D32</f>
        <v>0.23400000000000001</v>
      </c>
      <c r="E32" s="159">
        <f>VLOOKUP(B32,'PJM Curve Simulation'!$B$9:$F$258,4)</f>
        <v>7.0472179225230025E-2</v>
      </c>
      <c r="F32" s="220">
        <f>VLOOKUP(B32,'PJM Curve Simulation'!$B$9:$F$258,5)</f>
        <v>0.86858633867014401</v>
      </c>
      <c r="G32" s="220">
        <f t="shared" si="1"/>
        <v>1.9137577002053388</v>
      </c>
      <c r="H32" s="220">
        <f t="shared" si="0"/>
        <v>1.3833863163286453</v>
      </c>
      <c r="I32" s="220">
        <f t="shared" si="2"/>
        <v>0</v>
      </c>
      <c r="J32" s="378">
        <f t="shared" si="3"/>
        <v>4.8625862068965526</v>
      </c>
    </row>
    <row r="33" spans="2:10">
      <c r="B33" s="234">
        <f>'Revenues &amp; Expenses'!K33</f>
        <v>37316</v>
      </c>
      <c r="C33" s="373">
        <f>'Fuel Curve'!F33</f>
        <v>4.7481034482758622</v>
      </c>
      <c r="D33" s="366">
        <f>'Fuel Curve'!D33</f>
        <v>0.23300000000000001</v>
      </c>
      <c r="E33" s="159">
        <f>VLOOKUP(B33,'PJM Curve Simulation'!$B$9:$F$258,4)</f>
        <v>7.0648957621433001E-2</v>
      </c>
      <c r="F33" s="220">
        <f>VLOOKUP(B33,'PJM Curve Simulation'!$B$9:$F$258,5)</f>
        <v>0.86367554042081496</v>
      </c>
      <c r="G33" s="220">
        <f t="shared" si="1"/>
        <v>1.9904175222450375</v>
      </c>
      <c r="H33" s="220">
        <f t="shared" si="0"/>
        <v>1.4108215770412067</v>
      </c>
      <c r="I33" s="220">
        <f t="shared" si="2"/>
        <v>0</v>
      </c>
      <c r="J33" s="378">
        <f t="shared" si="3"/>
        <v>4.7481034482758622</v>
      </c>
    </row>
    <row r="34" spans="2:10">
      <c r="B34" s="234">
        <f>'Revenues &amp; Expenses'!K34</f>
        <v>37347</v>
      </c>
      <c r="C34" s="373">
        <f>'Fuel Curve'!F34</f>
        <v>4.6351724137931045</v>
      </c>
      <c r="D34" s="366">
        <f>'Fuel Curve'!D34</f>
        <v>0.23100000000000001</v>
      </c>
      <c r="E34" s="159">
        <f>VLOOKUP(B34,'PJM Curve Simulation'!$B$9:$F$258,4)</f>
        <v>7.0820178359482025E-2</v>
      </c>
      <c r="F34" s="220">
        <f>VLOOKUP(B34,'PJM Curve Simulation'!$B$9:$F$258,5)</f>
        <v>0.85828937638611991</v>
      </c>
      <c r="G34" s="220">
        <f t="shared" si="1"/>
        <v>2.0752908966461328</v>
      </c>
      <c r="H34" s="220">
        <f t="shared" si="0"/>
        <v>1.4405869972501253</v>
      </c>
      <c r="I34" s="220">
        <f t="shared" si="2"/>
        <v>0</v>
      </c>
      <c r="J34" s="378">
        <f t="shared" si="3"/>
        <v>4.6351724137931045</v>
      </c>
    </row>
    <row r="35" spans="2:10">
      <c r="B35" s="234">
        <f>'Revenues &amp; Expenses'!K35</f>
        <v>37377</v>
      </c>
      <c r="C35" s="373">
        <f>'Fuel Curve'!F35</f>
        <v>4.5525862068965521</v>
      </c>
      <c r="D35" s="366">
        <f>'Fuel Curve'!D35</f>
        <v>0.23</v>
      </c>
      <c r="E35" s="159">
        <f>VLOOKUP(B35,'PJM Curve Simulation'!$B$9:$F$258,4)</f>
        <v>7.0949708337774017E-2</v>
      </c>
      <c r="F35" s="220">
        <f>VLOOKUP(B35,'PJM Curve Simulation'!$B$9:$F$258,5)</f>
        <v>0.8531540441198241</v>
      </c>
      <c r="G35" s="220">
        <f t="shared" si="1"/>
        <v>2.1574264202600957</v>
      </c>
      <c r="H35" s="220">
        <f t="shared" si="0"/>
        <v>1.4688180351085343</v>
      </c>
      <c r="I35" s="220">
        <f t="shared" si="2"/>
        <v>0</v>
      </c>
      <c r="J35" s="378">
        <f t="shared" si="3"/>
        <v>4.5525862068965521</v>
      </c>
    </row>
    <row r="36" spans="2:10">
      <c r="B36" s="234">
        <f>'Revenues &amp; Expenses'!K36</f>
        <v>37408</v>
      </c>
      <c r="C36" s="373">
        <f>'Fuel Curve'!F36</f>
        <v>4.5317241379310351</v>
      </c>
      <c r="D36" s="366">
        <f>'Fuel Curve'!D36</f>
        <v>0.22700000000000001</v>
      </c>
      <c r="E36" s="159">
        <f>VLOOKUP(B36,'PJM Curve Simulation'!$B$9:$F$258,4)</f>
        <v>7.1083555987836014E-2</v>
      </c>
      <c r="F36" s="220">
        <f>VLOOKUP(B36,'PJM Curve Simulation'!$B$9:$F$258,5)</f>
        <v>0.84786152325334441</v>
      </c>
      <c r="G36" s="220">
        <f t="shared" si="1"/>
        <v>2.2422997946611911</v>
      </c>
      <c r="H36" s="220">
        <f t="shared" si="0"/>
        <v>1.4974310650781861</v>
      </c>
      <c r="I36" s="220">
        <f t="shared" si="2"/>
        <v>0</v>
      </c>
      <c r="J36" s="378">
        <f t="shared" si="3"/>
        <v>4.5317241379310351</v>
      </c>
    </row>
    <row r="37" spans="2:10">
      <c r="B37" s="234">
        <f>'Revenues &amp; Expenses'!K37</f>
        <v>37438</v>
      </c>
      <c r="C37" s="373">
        <f>'Fuel Curve'!F37</f>
        <v>4.5729310344827594</v>
      </c>
      <c r="D37" s="366">
        <f>'Fuel Curve'!D37</f>
        <v>0.22500000000000001</v>
      </c>
      <c r="E37" s="159">
        <f>VLOOKUP(B37,'PJM Curve Simulation'!$B$9:$F$258,4)</f>
        <v>7.1203412357002005E-2</v>
      </c>
      <c r="F37" s="220">
        <f>VLOOKUP(B37,'PJM Curve Simulation'!$B$9:$F$258,5)</f>
        <v>0.84277264871995949</v>
      </c>
      <c r="G37" s="220">
        <f t="shared" si="1"/>
        <v>2.324435318275154</v>
      </c>
      <c r="H37" s="220">
        <f t="shared" si="0"/>
        <v>1.5246098905212291</v>
      </c>
      <c r="I37" s="220">
        <f t="shared" si="2"/>
        <v>0</v>
      </c>
      <c r="J37" s="378">
        <f t="shared" si="3"/>
        <v>4.5729310344827594</v>
      </c>
    </row>
    <row r="38" spans="2:10">
      <c r="B38" s="234">
        <f>'Revenues &amp; Expenses'!K38</f>
        <v>37469</v>
      </c>
      <c r="C38" s="373">
        <f>'Fuel Curve'!F38</f>
        <v>4.6467241379310344</v>
      </c>
      <c r="D38" s="366">
        <f>'Fuel Curve'!D38</f>
        <v>0.222</v>
      </c>
      <c r="E38" s="159">
        <f>VLOOKUP(B38,'PJM Curve Simulation'!$B$9:$F$258,4)</f>
        <v>7.1311312147306002E-2</v>
      </c>
      <c r="F38" s="220">
        <f>VLOOKUP(B38,'PJM Curve Simulation'!$B$9:$F$258,5)</f>
        <v>0.83756215153463875</v>
      </c>
      <c r="G38" s="220">
        <f t="shared" si="1"/>
        <v>2.409308692676249</v>
      </c>
      <c r="H38" s="220">
        <f t="shared" si="0"/>
        <v>1.5521947985598485</v>
      </c>
      <c r="I38" s="220">
        <f t="shared" si="2"/>
        <v>0</v>
      </c>
      <c r="J38" s="378">
        <f t="shared" si="3"/>
        <v>4.6467241379310344</v>
      </c>
    </row>
    <row r="39" spans="2:10">
      <c r="B39" s="234">
        <f>'Revenues &amp; Expenses'!K39</f>
        <v>37500</v>
      </c>
      <c r="C39" s="373">
        <f>'Fuel Curve'!F39</f>
        <v>4.7272413793103452</v>
      </c>
      <c r="D39" s="366">
        <f>'Fuel Curve'!D39</f>
        <v>0.22100000000000003</v>
      </c>
      <c r="E39" s="159">
        <f>VLOOKUP(B39,'PJM Curve Simulation'!$B$9:$F$258,4)</f>
        <v>7.1419211941457006E-2</v>
      </c>
      <c r="F39" s="220">
        <f>VLOOKUP(B39,'PJM Curve Simulation'!$B$9:$F$258,5)</f>
        <v>0.83236915937661771</v>
      </c>
      <c r="G39" s="220">
        <f t="shared" si="1"/>
        <v>2.4941820670773445</v>
      </c>
      <c r="H39" s="220">
        <f t="shared" si="0"/>
        <v>1.5792979665273252</v>
      </c>
      <c r="I39" s="220">
        <f t="shared" si="2"/>
        <v>0</v>
      </c>
      <c r="J39" s="378">
        <f t="shared" si="3"/>
        <v>4.7272413793103452</v>
      </c>
    </row>
    <row r="40" spans="2:10">
      <c r="B40" s="234">
        <f>'Revenues &amp; Expenses'!K40</f>
        <v>37530</v>
      </c>
      <c r="C40" s="373">
        <f>'Fuel Curve'!F40</f>
        <v>4.8039655172413802</v>
      </c>
      <c r="D40" s="366">
        <f>'Fuel Curve'!D40</f>
        <v>0.21900000000000003</v>
      </c>
      <c r="E40" s="159">
        <f>VLOOKUP(B40,'PJM Curve Simulation'!$B$9:$F$258,4)</f>
        <v>7.1515306365121017E-2</v>
      </c>
      <c r="F40" s="220">
        <f>VLOOKUP(B40,'PJM Curve Simulation'!$B$9:$F$258,5)</f>
        <v>0.82737835456571951</v>
      </c>
      <c r="G40" s="220">
        <f t="shared" si="1"/>
        <v>2.5763175906913074</v>
      </c>
      <c r="H40" s="220">
        <f t="shared" si="0"/>
        <v>1.6050911471599696</v>
      </c>
      <c r="I40" s="220">
        <f t="shared" si="2"/>
        <v>0</v>
      </c>
      <c r="J40" s="378">
        <f t="shared" si="3"/>
        <v>4.8039655172413802</v>
      </c>
    </row>
    <row r="41" spans="2:10">
      <c r="B41" s="234">
        <f>'Revenues &amp; Expenses'!K41</f>
        <v>37561</v>
      </c>
      <c r="C41" s="373">
        <f>'Fuel Curve'!F41</f>
        <v>4.8784482758620697</v>
      </c>
      <c r="D41" s="366">
        <f>'Fuel Curve'!D41</f>
        <v>0.218</v>
      </c>
      <c r="E41" s="159">
        <f>VLOOKUP(B41,'PJM Curve Simulation'!$B$9:$F$258,4)</f>
        <v>7.1602640768726022E-2</v>
      </c>
      <c r="F41" s="220">
        <f>VLOOKUP(B41,'PJM Curve Simulation'!$B$9:$F$258,5)</f>
        <v>0.82226588634790743</v>
      </c>
      <c r="G41" s="220">
        <f t="shared" si="1"/>
        <v>2.6611909650924024</v>
      </c>
      <c r="H41" s="220">
        <f t="shared" si="0"/>
        <v>1.6313157159459974</v>
      </c>
      <c r="I41" s="220">
        <f t="shared" si="2"/>
        <v>0</v>
      </c>
      <c r="J41" s="378">
        <f t="shared" si="3"/>
        <v>4.8784482758620697</v>
      </c>
    </row>
    <row r="42" spans="2:10">
      <c r="B42" s="234">
        <f>'Revenues &amp; Expenses'!K42</f>
        <v>37591</v>
      </c>
      <c r="C42" s="373">
        <f>'Fuel Curve'!F42</f>
        <v>4.9096551724137933</v>
      </c>
      <c r="D42" s="366">
        <f>'Fuel Curve'!D42</f>
        <v>0.21600000000000003</v>
      </c>
      <c r="E42" s="159">
        <f>VLOOKUP(B42,'PJM Curve Simulation'!$B$9:$F$258,4)</f>
        <v>7.1687157935905008E-2</v>
      </c>
      <c r="F42" s="220">
        <f>VLOOKUP(B42,'PJM Curve Simulation'!$B$9:$F$258,5)</f>
        <v>0.81733728641604919</v>
      </c>
      <c r="G42" s="220">
        <f t="shared" si="1"/>
        <v>2.7433264887063653</v>
      </c>
      <c r="H42" s="220">
        <f t="shared" si="0"/>
        <v>1.6562990336006254</v>
      </c>
      <c r="I42" s="220">
        <f t="shared" si="2"/>
        <v>0</v>
      </c>
      <c r="J42" s="378">
        <f t="shared" si="3"/>
        <v>4.9096551724137933</v>
      </c>
    </row>
    <row r="43" spans="2:10">
      <c r="B43" s="234">
        <f>'Revenues &amp; Expenses'!K43</f>
        <v>37622</v>
      </c>
      <c r="C43" s="373">
        <f>'Fuel Curve'!F43</f>
        <v>4.8415517241379309</v>
      </c>
      <c r="D43" s="366">
        <f>'Fuel Curve'!D43</f>
        <v>0.215</v>
      </c>
      <c r="E43" s="159">
        <f>VLOOKUP(B43,'PJM Curve Simulation'!$B$9:$F$258,4)</f>
        <v>7.1774577695173022E-2</v>
      </c>
      <c r="F43" s="220">
        <f>VLOOKUP(B43,'PJM Curve Simulation'!$B$9:$F$258,5)</f>
        <v>0.81226380619908445</v>
      </c>
      <c r="G43" s="220">
        <f t="shared" si="1"/>
        <v>2.8281998631074607</v>
      </c>
      <c r="H43" s="220">
        <f t="shared" si="0"/>
        <v>1.6817252638607356</v>
      </c>
      <c r="I43" s="220">
        <f t="shared" si="2"/>
        <v>0</v>
      </c>
      <c r="J43" s="378">
        <f t="shared" si="3"/>
        <v>4.8415517241379309</v>
      </c>
    </row>
    <row r="44" spans="2:10">
      <c r="B44" s="234">
        <f>'Revenues &amp; Expenses'!K44</f>
        <v>37653</v>
      </c>
      <c r="C44" s="373">
        <f>'Fuel Curve'!F44</f>
        <v>4.7315517241379323</v>
      </c>
      <c r="D44" s="366">
        <f>'Fuel Curve'!D44</f>
        <v>0.21300000000000002</v>
      </c>
      <c r="E44" s="159">
        <f>VLOOKUP(B44,'PJM Curve Simulation'!$B$9:$F$258,4)</f>
        <v>7.1862101097110012E-2</v>
      </c>
      <c r="F44" s="220">
        <f>VLOOKUP(B44,'PJM Curve Simulation'!$B$9:$F$258,5)</f>
        <v>0.80721001874908904</v>
      </c>
      <c r="G44" s="220">
        <f t="shared" si="1"/>
        <v>2.9130732375085557</v>
      </c>
      <c r="H44" s="220">
        <f t="shared" si="0"/>
        <v>1.706772755087377</v>
      </c>
      <c r="I44" s="220">
        <f t="shared" si="2"/>
        <v>0</v>
      </c>
      <c r="J44" s="378">
        <f t="shared" si="3"/>
        <v>4.7315517241379323</v>
      </c>
    </row>
    <row r="45" spans="2:10">
      <c r="B45" s="234">
        <f>'Revenues &amp; Expenses'!K45</f>
        <v>37681</v>
      </c>
      <c r="C45" s="373">
        <f>'Fuel Curve'!F45</f>
        <v>4.6222413793103456</v>
      </c>
      <c r="D45" s="366">
        <f>'Fuel Curve'!D45</f>
        <v>0.21400000000000002</v>
      </c>
      <c r="E45" s="159">
        <f>VLOOKUP(B45,'PJM Curve Simulation'!$B$9:$F$258,4)</f>
        <v>7.1941154494584006E-2</v>
      </c>
      <c r="F45" s="220">
        <f>VLOOKUP(B45,'PJM Curve Simulation'!$B$9:$F$258,5)</f>
        <v>0.80266245276593362</v>
      </c>
      <c r="G45" s="220">
        <f t="shared" si="1"/>
        <v>2.9897330595482545</v>
      </c>
      <c r="H45" s="220">
        <f t="shared" si="0"/>
        <v>1.7290844570315975</v>
      </c>
      <c r="I45" s="220">
        <f t="shared" si="2"/>
        <v>0</v>
      </c>
      <c r="J45" s="378">
        <f t="shared" si="3"/>
        <v>4.6222413793103456</v>
      </c>
    </row>
    <row r="46" spans="2:10">
      <c r="B46" s="234">
        <f>'Revenues &amp; Expenses'!K46</f>
        <v>37712</v>
      </c>
      <c r="C46" s="373">
        <f>'Fuel Curve'!F46</f>
        <v>4.5113793103448279</v>
      </c>
      <c r="D46" s="366">
        <f>'Fuel Curve'!D46</f>
        <v>0.21199999999999999</v>
      </c>
      <c r="E46" s="159">
        <f>VLOOKUP(B46,'PJM Curve Simulation'!$B$9:$F$258,4)</f>
        <v>7.2017864961397005E-2</v>
      </c>
      <c r="F46" s="220">
        <f>VLOOKUP(B46,'PJM Curve Simulation'!$B$9:$F$258,5)</f>
        <v>0.79767324817740448</v>
      </c>
      <c r="G46" s="220">
        <f t="shared" si="1"/>
        <v>3.07460643394935</v>
      </c>
      <c r="H46" s="220">
        <f t="shared" si="0"/>
        <v>1.7534555694255129</v>
      </c>
      <c r="I46" s="220">
        <f t="shared" si="2"/>
        <v>0</v>
      </c>
      <c r="J46" s="378">
        <f t="shared" si="3"/>
        <v>4.5113793103448279</v>
      </c>
    </row>
    <row r="47" spans="2:10">
      <c r="B47" s="234">
        <f>'Revenues &amp; Expenses'!K47</f>
        <v>37742</v>
      </c>
      <c r="C47" s="373">
        <f>'Fuel Curve'!F47</f>
        <v>4.4317241379310355</v>
      </c>
      <c r="D47" s="366">
        <f>'Fuel Curve'!D47</f>
        <v>0.21100000000000002</v>
      </c>
      <c r="E47" s="159">
        <f>VLOOKUP(B47,'PJM Curve Simulation'!$B$9:$F$258,4)</f>
        <v>7.2077719331942E-2</v>
      </c>
      <c r="F47" s="220">
        <f>VLOOKUP(B47,'PJM Curve Simulation'!$B$9:$F$258,5)</f>
        <v>0.79290110304987704</v>
      </c>
      <c r="G47" s="220">
        <f t="shared" si="1"/>
        <v>3.1567419575633129</v>
      </c>
      <c r="H47" s="220">
        <f t="shared" si="0"/>
        <v>1.7767222511026626</v>
      </c>
      <c r="I47" s="220">
        <f t="shared" si="2"/>
        <v>0</v>
      </c>
      <c r="J47" s="378">
        <f t="shared" si="3"/>
        <v>4.4317241379310355</v>
      </c>
    </row>
    <row r="48" spans="2:10">
      <c r="B48" s="234">
        <f>'Revenues &amp; Expenses'!K48</f>
        <v>37773</v>
      </c>
      <c r="C48" s="373">
        <f>'Fuel Curve'!F48</f>
        <v>4.4150000000000009</v>
      </c>
      <c r="D48" s="366">
        <f>'Fuel Curve'!D48</f>
        <v>0.21</v>
      </c>
      <c r="E48" s="159">
        <f>VLOOKUP(B48,'PJM Curve Simulation'!$B$9:$F$258,4)</f>
        <v>7.2139568849415026E-2</v>
      </c>
      <c r="F48" s="220">
        <f>VLOOKUP(B48,'PJM Curve Simulation'!$B$9:$F$258,5)</f>
        <v>0.78799202563955995</v>
      </c>
      <c r="G48" s="220">
        <f t="shared" si="1"/>
        <v>3.2416153319644079</v>
      </c>
      <c r="H48" s="220">
        <f t="shared" si="0"/>
        <v>1.8004486474110857</v>
      </c>
      <c r="I48" s="220">
        <f t="shared" si="2"/>
        <v>0</v>
      </c>
      <c r="J48" s="378">
        <f t="shared" si="3"/>
        <v>4.4150000000000009</v>
      </c>
    </row>
    <row r="49" spans="2:10">
      <c r="B49" s="234">
        <f>'Revenues &amp; Expenses'!K49</f>
        <v>37803</v>
      </c>
      <c r="C49" s="373">
        <f>'Fuel Curve'!F49</f>
        <v>4.4606896551724144</v>
      </c>
      <c r="D49" s="366">
        <f>'Fuel Curve'!D49</f>
        <v>0.20900000000000002</v>
      </c>
      <c r="E49" s="159">
        <f>VLOOKUP(B49,'PJM Curve Simulation'!$B$9:$F$258,4)</f>
        <v>7.2196593496435008E-2</v>
      </c>
      <c r="F49" s="220">
        <f>VLOOKUP(B49,'PJM Curve Simulation'!$B$9:$F$258,5)</f>
        <v>0.7832700613907857</v>
      </c>
      <c r="G49" s="220">
        <f t="shared" si="1"/>
        <v>3.3237508555783708</v>
      </c>
      <c r="H49" s="220">
        <f t="shared" si="0"/>
        <v>1.8231156999977733</v>
      </c>
      <c r="I49" s="220">
        <f t="shared" si="2"/>
        <v>0</v>
      </c>
      <c r="J49" s="378">
        <f t="shared" si="3"/>
        <v>4.4606896551724144</v>
      </c>
    </row>
    <row r="50" spans="2:10">
      <c r="B50" s="234">
        <f>'Revenues &amp; Expenses'!K50</f>
        <v>37834</v>
      </c>
      <c r="C50" s="373">
        <f>'Fuel Curve'!F50</f>
        <v>4.5389655172413796</v>
      </c>
      <c r="D50" s="366">
        <f>'Fuel Curve'!D50</f>
        <v>0.20900000000000002</v>
      </c>
      <c r="E50" s="159">
        <f>VLOOKUP(B50,'PJM Curve Simulation'!$B$9:$F$258,4)</f>
        <v>7.2251448163748011E-2</v>
      </c>
      <c r="F50" s="220">
        <f>VLOOKUP(B50,'PJM Curve Simulation'!$B$9:$F$258,5)</f>
        <v>0.77842382649130337</v>
      </c>
      <c r="G50" s="220">
        <f t="shared" si="1"/>
        <v>3.4086242299794662</v>
      </c>
      <c r="H50" s="220">
        <f t="shared" si="0"/>
        <v>1.8462459830638673</v>
      </c>
      <c r="I50" s="220">
        <f t="shared" si="2"/>
        <v>0</v>
      </c>
      <c r="J50" s="378">
        <f t="shared" si="3"/>
        <v>4.5389655172413796</v>
      </c>
    </row>
    <row r="51" spans="2:10">
      <c r="B51" s="234">
        <f>'Revenues &amp; Expenses'!K51</f>
        <v>37865</v>
      </c>
      <c r="C51" s="373">
        <f>'Fuel Curve'!F51</f>
        <v>4.6236206896551728</v>
      </c>
      <c r="D51" s="366">
        <f>'Fuel Curve'!D51</f>
        <v>0.20800000000000002</v>
      </c>
      <c r="E51" s="159">
        <f>VLOOKUP(B51,'PJM Curve Simulation'!$B$9:$F$258,4)</f>
        <v>7.2306302832055996E-2</v>
      </c>
      <c r="F51" s="220">
        <f>VLOOKUP(B51,'PJM Curve Simulation'!$B$9:$F$258,5)</f>
        <v>0.77360062776988048</v>
      </c>
      <c r="G51" s="220">
        <f t="shared" si="1"/>
        <v>3.4934976043805612</v>
      </c>
      <c r="H51" s="220">
        <f t="shared" si="0"/>
        <v>1.8690900471567873</v>
      </c>
      <c r="I51" s="220">
        <f t="shared" si="2"/>
        <v>0</v>
      </c>
      <c r="J51" s="378">
        <f t="shared" si="3"/>
        <v>4.6236206896551728</v>
      </c>
    </row>
    <row r="52" spans="2:10">
      <c r="B52" s="234">
        <f>'Revenues &amp; Expenses'!K52</f>
        <v>37895</v>
      </c>
      <c r="C52" s="373">
        <f>'Fuel Curve'!F52</f>
        <v>4.7039655172413806</v>
      </c>
      <c r="D52" s="366">
        <f>'Fuel Curve'!D52</f>
        <v>0.20699999999999999</v>
      </c>
      <c r="E52" s="159">
        <f>VLOOKUP(B52,'PJM Curve Simulation'!$B$9:$F$258,4)</f>
        <v>7.2356619918754014E-2</v>
      </c>
      <c r="F52" s="220">
        <f>VLOOKUP(B52,'PJM Curve Simulation'!$B$9:$F$258,5)</f>
        <v>0.76896248937747591</v>
      </c>
      <c r="G52" s="220">
        <f t="shared" si="1"/>
        <v>3.5756331279945242</v>
      </c>
      <c r="H52" s="220">
        <f t="shared" si="0"/>
        <v>1.8909344589367776</v>
      </c>
      <c r="I52" s="220">
        <f t="shared" si="2"/>
        <v>0</v>
      </c>
      <c r="J52" s="378">
        <f t="shared" si="3"/>
        <v>4.7039655172413806</v>
      </c>
    </row>
    <row r="53" spans="2:10">
      <c r="B53" s="234">
        <f>'Revenues &amp; Expenses'!K53</f>
        <v>37926</v>
      </c>
      <c r="C53" s="373">
        <f>'Fuel Curve'!F53</f>
        <v>4.783620689655173</v>
      </c>
      <c r="D53" s="366">
        <f>'Fuel Curve'!D53</f>
        <v>0.20699999999999999</v>
      </c>
      <c r="E53" s="159">
        <f>VLOOKUP(B53,'PJM Curve Simulation'!$B$9:$F$258,4)</f>
        <v>7.2405134672305027E-2</v>
      </c>
      <c r="F53" s="220">
        <f>VLOOKUP(B53,'PJM Curve Simulation'!$B$9:$F$258,5)</f>
        <v>0.76420226024836957</v>
      </c>
      <c r="G53" s="220">
        <f t="shared" si="1"/>
        <v>3.6605065023956196</v>
      </c>
      <c r="H53" s="220">
        <f t="shared" si="0"/>
        <v>1.9132450189130559</v>
      </c>
      <c r="I53" s="220">
        <f t="shared" si="2"/>
        <v>0</v>
      </c>
      <c r="J53" s="378">
        <f t="shared" si="3"/>
        <v>4.783620689655173</v>
      </c>
    </row>
    <row r="54" spans="2:10">
      <c r="B54" s="234">
        <f>'Revenues &amp; Expenses'!K54</f>
        <v>37956</v>
      </c>
      <c r="C54" s="373">
        <f>'Fuel Curve'!F54</f>
        <v>4.8205172413793109</v>
      </c>
      <c r="D54" s="366">
        <f>'Fuel Curve'!D54</f>
        <v>0.20499999999999999</v>
      </c>
      <c r="E54" s="159">
        <f>VLOOKUP(B54,'PJM Curve Simulation'!$B$9:$F$258,4)</f>
        <v>7.2452084434547009E-2</v>
      </c>
      <c r="F54" s="220">
        <f>VLOOKUP(B54,'PJM Curve Simulation'!$B$9:$F$258,5)</f>
        <v>0.75961790110436567</v>
      </c>
      <c r="G54" s="220">
        <f t="shared" si="1"/>
        <v>3.7426420260095825</v>
      </c>
      <c r="H54" s="220">
        <f t="shared" si="0"/>
        <v>1.9345909195511031</v>
      </c>
      <c r="I54" s="220">
        <f t="shared" si="2"/>
        <v>0</v>
      </c>
      <c r="J54" s="378">
        <f t="shared" si="3"/>
        <v>4.8205172413793109</v>
      </c>
    </row>
    <row r="55" spans="2:10">
      <c r="B55" s="234">
        <f>'Revenues &amp; Expenses'!K55</f>
        <v>37987</v>
      </c>
      <c r="C55" s="373">
        <f>'Fuel Curve'!F55</f>
        <v>4.7582758620689658</v>
      </c>
      <c r="D55" s="366">
        <f>'Fuel Curve'!D55</f>
        <v>0.20499999999999999</v>
      </c>
      <c r="E55" s="159">
        <f>VLOOKUP(B55,'PJM Curve Simulation'!$B$9:$F$258,4)</f>
        <v>7.2504748875384023E-2</v>
      </c>
      <c r="F55" s="220">
        <f>VLOOKUP(B55,'PJM Curve Simulation'!$B$9:$F$258,5)</f>
        <v>0.75489178509530708</v>
      </c>
      <c r="G55" s="220">
        <f t="shared" si="1"/>
        <v>3.8275154004106775</v>
      </c>
      <c r="H55" s="220">
        <f t="shared" si="0"/>
        <v>1.9564036905533269</v>
      </c>
      <c r="I55" s="220">
        <f t="shared" si="2"/>
        <v>0</v>
      </c>
      <c r="J55" s="378">
        <f t="shared" si="3"/>
        <v>4.7582758620689658</v>
      </c>
    </row>
    <row r="56" spans="2:10">
      <c r="B56" s="234">
        <f>'Revenues &amp; Expenses'!K56</f>
        <v>38018</v>
      </c>
      <c r="C56" s="373">
        <f>'Fuel Curve'!F56</f>
        <v>4.6539655172413807</v>
      </c>
      <c r="D56" s="366">
        <f>'Fuel Curve'!D56</f>
        <v>0.20400000000000001</v>
      </c>
      <c r="E56" s="159">
        <f>VLOOKUP(B56,'PJM Curve Simulation'!$B$9:$F$258,4)</f>
        <v>7.2561839648691021E-2</v>
      </c>
      <c r="F56" s="220">
        <f>VLOOKUP(B56,'PJM Curve Simulation'!$B$9:$F$258,5)</f>
        <v>0.75017568309458926</v>
      </c>
      <c r="G56" s="220">
        <f t="shared" si="1"/>
        <v>3.9123887748117729</v>
      </c>
      <c r="H56" s="220">
        <f t="shared" si="0"/>
        <v>1.9779759287746079</v>
      </c>
      <c r="I56" s="220">
        <f t="shared" si="2"/>
        <v>0</v>
      </c>
      <c r="J56" s="378">
        <f t="shared" si="3"/>
        <v>4.6539655172413807</v>
      </c>
    </row>
    <row r="57" spans="2:10">
      <c r="B57" s="234">
        <f>'Revenues &amp; Expenses'!K57</f>
        <v>38047</v>
      </c>
      <c r="C57" s="373">
        <f>'Fuel Curve'!F57</f>
        <v>4.5505172413793114</v>
      </c>
      <c r="D57" s="366">
        <f>'Fuel Curve'!D57</f>
        <v>0.20300000000000001</v>
      </c>
      <c r="E57" s="159">
        <f>VLOOKUP(B57,'PJM Curve Simulation'!$B$9:$F$258,4)</f>
        <v>7.2615247147275006E-2</v>
      </c>
      <c r="F57" s="220">
        <f>VLOOKUP(B57,'PJM Curve Simulation'!$B$9:$F$258,5)</f>
        <v>0.74578421285638075</v>
      </c>
      <c r="G57" s="220">
        <f t="shared" si="1"/>
        <v>3.9917864476386038</v>
      </c>
      <c r="H57" s="220">
        <f t="shared" si="0"/>
        <v>1.9979455567253588</v>
      </c>
      <c r="I57" s="220">
        <f t="shared" si="2"/>
        <v>0</v>
      </c>
      <c r="J57" s="378">
        <f t="shared" si="3"/>
        <v>4.5505172413793114</v>
      </c>
    </row>
    <row r="58" spans="2:10">
      <c r="B58" s="234">
        <f>'Revenues &amp; Expenses'!K58</f>
        <v>38078</v>
      </c>
      <c r="C58" s="373">
        <f>'Fuel Curve'!F58</f>
        <v>4.4448275862068964</v>
      </c>
      <c r="D58" s="366">
        <f>'Fuel Curve'!D58</f>
        <v>0.20199999999999999</v>
      </c>
      <c r="E58" s="159">
        <f>VLOOKUP(B58,'PJM Curve Simulation'!$B$9:$F$258,4)</f>
        <v>7.2673184464531013E-2</v>
      </c>
      <c r="F58" s="220">
        <f>VLOOKUP(B58,'PJM Curve Simulation'!$B$9:$F$258,5)</f>
        <v>0.74110906328764004</v>
      </c>
      <c r="G58" s="220">
        <f t="shared" si="1"/>
        <v>4.0766598220396988</v>
      </c>
      <c r="H58" s="220">
        <f t="shared" si="0"/>
        <v>2.0190740011301465</v>
      </c>
      <c r="I58" s="220">
        <f t="shared" si="2"/>
        <v>0</v>
      </c>
      <c r="J58" s="378">
        <f t="shared" si="3"/>
        <v>4.4448275862068964</v>
      </c>
    </row>
    <row r="59" spans="2:10">
      <c r="B59" s="234">
        <f>'Revenues &amp; Expenses'!K59</f>
        <v>38108</v>
      </c>
      <c r="C59" s="373">
        <f>'Fuel Curve'!F59</f>
        <v>4.3715517241379311</v>
      </c>
      <c r="D59" s="366">
        <f>'Fuel Curve'!D59</f>
        <v>0.20199999999999999</v>
      </c>
      <c r="E59" s="159">
        <f>VLOOKUP(B59,'PJM Curve Simulation'!$B$9:$F$258,4)</f>
        <v>7.2730126686808005E-2</v>
      </c>
      <c r="F59" s="220">
        <f>VLOOKUP(B59,'PJM Curve Simulation'!$B$9:$F$258,5)</f>
        <v>0.73660332252317651</v>
      </c>
      <c r="G59" s="220">
        <f t="shared" si="1"/>
        <v>4.1587953456536617</v>
      </c>
      <c r="H59" s="220">
        <f t="shared" si="0"/>
        <v>2.0393124688614206</v>
      </c>
      <c r="I59" s="220">
        <f t="shared" si="2"/>
        <v>0</v>
      </c>
      <c r="J59" s="378">
        <f t="shared" si="3"/>
        <v>4.3715517241379311</v>
      </c>
    </row>
    <row r="60" spans="2:10">
      <c r="B60" s="234">
        <f>'Revenues &amp; Expenses'!K60</f>
        <v>38139</v>
      </c>
      <c r="C60" s="373">
        <f>'Fuel Curve'!F60</f>
        <v>4.3606896551724148</v>
      </c>
      <c r="D60" s="366">
        <f>'Fuel Curve'!D60</f>
        <v>0.2</v>
      </c>
      <c r="E60" s="159">
        <f>VLOOKUP(B60,'PJM Curve Simulation'!$B$9:$F$258,4)</f>
        <v>7.2788966984285011E-2</v>
      </c>
      <c r="F60" s="220">
        <f>VLOOKUP(B60,'PJM Curve Simulation'!$B$9:$F$258,5)</f>
        <v>0.73196923140271486</v>
      </c>
      <c r="G60" s="220">
        <f t="shared" si="1"/>
        <v>4.2436687200547567</v>
      </c>
      <c r="H60" s="220">
        <f t="shared" si="0"/>
        <v>2.0600166795574149</v>
      </c>
      <c r="I60" s="220">
        <f t="shared" si="2"/>
        <v>0</v>
      </c>
      <c r="J60" s="378">
        <f t="shared" si="3"/>
        <v>4.3606896551724148</v>
      </c>
    </row>
    <row r="61" spans="2:10">
      <c r="B61" s="234">
        <f>'Revenues &amp; Expenses'!K61</f>
        <v>38169</v>
      </c>
      <c r="C61" s="373">
        <f>'Fuel Curve'!F61</f>
        <v>4.4113793103448282</v>
      </c>
      <c r="D61" s="366">
        <f>'Fuel Curve'!D61</f>
        <v>0.19900000000000004</v>
      </c>
      <c r="E61" s="159">
        <f>VLOOKUP(B61,'PJM Curve Simulation'!$B$9:$F$258,4)</f>
        <v>7.2845909208738999E-2</v>
      </c>
      <c r="F61" s="220">
        <f>VLOOKUP(B61,'PJM Curve Simulation'!$B$9:$F$258,5)</f>
        <v>0.72750571660407293</v>
      </c>
      <c r="G61" s="220">
        <f t="shared" si="1"/>
        <v>4.3258042436687196</v>
      </c>
      <c r="H61" s="220">
        <f t="shared" si="0"/>
        <v>2.0798567844129843</v>
      </c>
      <c r="I61" s="220">
        <f t="shared" si="2"/>
        <v>0</v>
      </c>
      <c r="J61" s="378">
        <f t="shared" si="3"/>
        <v>4.4113793103448282</v>
      </c>
    </row>
    <row r="62" spans="2:10">
      <c r="B62" s="234">
        <f>'Revenues &amp; Expenses'!K62</f>
        <v>38200</v>
      </c>
      <c r="C62" s="373">
        <f>'Fuel Curve'!F62</f>
        <v>4.4962068965517243</v>
      </c>
      <c r="D62" s="366">
        <f>'Fuel Curve'!D62</f>
        <v>0.19900000000000004</v>
      </c>
      <c r="E62" s="159">
        <f>VLOOKUP(B62,'PJM Curve Simulation'!$B$9:$F$258,4)</f>
        <v>7.2904749508467023E-2</v>
      </c>
      <c r="F62" s="220">
        <f>VLOOKUP(B62,'PJM Curve Simulation'!$B$9:$F$258,5)</f>
        <v>0.722915161120814</v>
      </c>
      <c r="G62" s="220">
        <f t="shared" si="1"/>
        <v>4.4106776180698155</v>
      </c>
      <c r="H62" s="220">
        <f t="shared" si="0"/>
        <v>2.1001613314385672</v>
      </c>
      <c r="I62" s="220">
        <f t="shared" si="2"/>
        <v>0</v>
      </c>
      <c r="J62" s="378">
        <f t="shared" si="3"/>
        <v>4.4962068965517243</v>
      </c>
    </row>
    <row r="63" spans="2:10">
      <c r="B63" s="234">
        <f>'Revenues &amp; Expenses'!K63</f>
        <v>38231</v>
      </c>
      <c r="C63" s="373">
        <f>'Fuel Curve'!F63</f>
        <v>4.5860344827586212</v>
      </c>
      <c r="D63" s="366">
        <f>'Fuel Curve'!D63</f>
        <v>0.19800000000000001</v>
      </c>
      <c r="E63" s="159">
        <f>VLOOKUP(B63,'PJM Curve Simulation'!$B$9:$F$258,4)</f>
        <v>7.2963589809337009E-2</v>
      </c>
      <c r="F63" s="220">
        <f>VLOOKUP(B63,'PJM Curve Simulation'!$B$9:$F$258,5)</f>
        <v>0.71834665474593562</v>
      </c>
      <c r="G63" s="220">
        <f t="shared" si="1"/>
        <v>4.4955509924709105</v>
      </c>
      <c r="H63" s="220">
        <f t="shared" si="0"/>
        <v>2.1202714431107426</v>
      </c>
      <c r="I63" s="220">
        <f t="shared" si="2"/>
        <v>0</v>
      </c>
      <c r="J63" s="378">
        <f t="shared" si="3"/>
        <v>4.5860344827586212</v>
      </c>
    </row>
    <row r="64" spans="2:10">
      <c r="B64" s="234">
        <f>'Revenues &amp; Expenses'!K64</f>
        <v>38261</v>
      </c>
      <c r="C64" s="373">
        <f>'Fuel Curve'!F64</f>
        <v>4.6729310344827599</v>
      </c>
      <c r="D64" s="366">
        <f>'Fuel Curve'!D64</f>
        <v>0.19700000000000001</v>
      </c>
      <c r="E64" s="159">
        <f>VLOOKUP(B64,'PJM Curve Simulation'!$B$9:$F$258,4)</f>
        <v>7.3020532037074995E-2</v>
      </c>
      <c r="F64" s="220">
        <f>VLOOKUP(B64,'PJM Curve Simulation'!$B$9:$F$258,5)</f>
        <v>0.71394646487506941</v>
      </c>
      <c r="G64" s="220">
        <f t="shared" si="1"/>
        <v>4.5776865160848734</v>
      </c>
      <c r="H64" s="220">
        <f t="shared" si="0"/>
        <v>2.1395528776089816</v>
      </c>
      <c r="I64" s="220">
        <f t="shared" si="2"/>
        <v>0</v>
      </c>
      <c r="J64" s="378">
        <f t="shared" si="3"/>
        <v>4.6729310344827599</v>
      </c>
    </row>
    <row r="65" spans="2:10">
      <c r="B65" s="234">
        <f>'Revenues &amp; Expenses'!K65</f>
        <v>38292</v>
      </c>
      <c r="C65" s="373">
        <f>'Fuel Curve'!F65</f>
        <v>4.7568965517241377</v>
      </c>
      <c r="D65" s="366">
        <f>'Fuel Curve'!D65</f>
        <v>0.19700000000000001</v>
      </c>
      <c r="E65" s="159">
        <f>VLOOKUP(B65,'PJM Curve Simulation'!$B$9:$F$258,4)</f>
        <v>7.3079372340195015E-2</v>
      </c>
      <c r="F65" s="220">
        <f>VLOOKUP(B65,'PJM Curve Simulation'!$B$9:$F$258,5)</f>
        <v>0.70942119524404046</v>
      </c>
      <c r="G65" s="220">
        <f t="shared" si="1"/>
        <v>4.6625598904859684</v>
      </c>
      <c r="H65" s="220">
        <f t="shared" si="0"/>
        <v>2.1592961562708273</v>
      </c>
      <c r="I65" s="220">
        <f t="shared" si="2"/>
        <v>0</v>
      </c>
      <c r="J65" s="378">
        <f t="shared" si="3"/>
        <v>4.7568965517241377</v>
      </c>
    </row>
    <row r="66" spans="2:10">
      <c r="B66" s="234">
        <f>'Revenues &amp; Expenses'!K66</f>
        <v>38322</v>
      </c>
      <c r="C66" s="373">
        <f>'Fuel Curve'!F66</f>
        <v>4.7951724137931047</v>
      </c>
      <c r="D66" s="366">
        <f>'Fuel Curve'!D66</f>
        <v>0.19700000000000001</v>
      </c>
      <c r="E66" s="159">
        <f>VLOOKUP(B66,'PJM Curve Simulation'!$B$9:$F$258,4)</f>
        <v>7.3136314570109023E-2</v>
      </c>
      <c r="F66" s="220">
        <f>VLOOKUP(B66,'PJM Curve Simulation'!$B$9:$F$258,5)</f>
        <v>0.70506275032547461</v>
      </c>
      <c r="G66" s="220">
        <f t="shared" si="1"/>
        <v>4.7446954140999313</v>
      </c>
      <c r="H66" s="220">
        <f t="shared" si="0"/>
        <v>2.178232176353093</v>
      </c>
      <c r="I66" s="220">
        <f t="shared" si="2"/>
        <v>0</v>
      </c>
      <c r="J66" s="378">
        <f t="shared" si="3"/>
        <v>4.7951724137931047</v>
      </c>
    </row>
    <row r="67" spans="2:10">
      <c r="B67" s="234">
        <f>'Revenues &amp; Expenses'!K67</f>
        <v>38353</v>
      </c>
      <c r="C67" s="373">
        <f>'Fuel Curve'!F67</f>
        <v>4.7344827586206897</v>
      </c>
      <c r="D67" s="366">
        <f>'Fuel Curve'!D67</f>
        <v>0.19700000000000001</v>
      </c>
      <c r="E67" s="159">
        <f>VLOOKUP(B67,'PJM Curve Simulation'!$B$9:$F$258,4)</f>
        <v>7.3195154875478008E-2</v>
      </c>
      <c r="F67" s="220">
        <f>VLOOKUP(B67,'PJM Curve Simulation'!$B$9:$F$258,5)</f>
        <v>0.700580516261328</v>
      </c>
      <c r="G67" s="220">
        <f t="shared" si="1"/>
        <v>4.8295687885010263</v>
      </c>
      <c r="H67" s="220">
        <f t="shared" si="0"/>
        <v>2.1976279913809402</v>
      </c>
      <c r="I67" s="220">
        <f t="shared" si="2"/>
        <v>0</v>
      </c>
      <c r="J67" s="378">
        <f t="shared" si="3"/>
        <v>4.7344827586206897</v>
      </c>
    </row>
    <row r="68" spans="2:10">
      <c r="B68" s="234">
        <f>'Revenues &amp; Expenses'!K68</f>
        <v>38384</v>
      </c>
      <c r="C68" s="373">
        <f>'Fuel Curve'!F68</f>
        <v>4.6315517241379318</v>
      </c>
      <c r="D68" s="366">
        <f>'Fuel Curve'!D68</f>
        <v>0.19700000000000001</v>
      </c>
      <c r="E68" s="159">
        <f>VLOOKUP(B68,'PJM Curve Simulation'!$B$9:$F$258,4)</f>
        <v>7.3253995182000028E-2</v>
      </c>
      <c r="F68" s="220">
        <f>VLOOKUP(B68,'PJM Curve Simulation'!$B$9:$F$258,5)</f>
        <v>0.69612007488836769</v>
      </c>
      <c r="G68" s="220">
        <f t="shared" si="1"/>
        <v>4.9144421629021222</v>
      </c>
      <c r="H68" s="220">
        <f t="shared" si="0"/>
        <v>2.2168541140323423</v>
      </c>
      <c r="I68" s="220">
        <f t="shared" si="2"/>
        <v>0</v>
      </c>
      <c r="J68" s="378">
        <f t="shared" si="3"/>
        <v>4.6315517241379318</v>
      </c>
    </row>
    <row r="69" spans="2:10">
      <c r="B69" s="234">
        <f>'Revenues &amp; Expenses'!K69</f>
        <v>38412</v>
      </c>
      <c r="C69" s="373">
        <f>'Fuel Curve'!F69</f>
        <v>4.5301724137931041</v>
      </c>
      <c r="D69" s="366">
        <f>'Fuel Curve'!D69</f>
        <v>0.19700000000000001</v>
      </c>
      <c r="E69" s="159">
        <f>VLOOKUP(B69,'PJM Curve Simulation'!$B$9:$F$258,4)</f>
        <v>7.3307141266274009E-2</v>
      </c>
      <c r="F69" s="220">
        <f>VLOOKUP(B69,'PJM Curve Simulation'!$B$9:$F$258,5)</f>
        <v>0.69210997645630823</v>
      </c>
      <c r="G69" s="220">
        <f t="shared" si="1"/>
        <v>4.991101984941821</v>
      </c>
      <c r="H69" s="220">
        <f t="shared" si="0"/>
        <v>2.234077434858027</v>
      </c>
      <c r="I69" s="220">
        <f t="shared" si="2"/>
        <v>0</v>
      </c>
      <c r="J69" s="378">
        <f t="shared" si="3"/>
        <v>4.5301724137931041</v>
      </c>
    </row>
    <row r="70" spans="2:10">
      <c r="B70" s="234">
        <f>'Revenues &amp; Expenses'!K70</f>
        <v>38443</v>
      </c>
      <c r="C70" s="373">
        <f>'Fuel Curve'!F70</f>
        <v>4.4258620689655173</v>
      </c>
      <c r="D70" s="366">
        <f>'Fuel Curve'!D70</f>
        <v>0.19600000000000001</v>
      </c>
      <c r="E70" s="159">
        <f>VLOOKUP(B70,'PJM Curve Simulation'!$B$9:$F$258,4)</f>
        <v>7.3338081657494017E-2</v>
      </c>
      <c r="F70" s="220">
        <f>VLOOKUP(B70,'PJM Curve Simulation'!$B$9:$F$258,5)</f>
        <v>0.68778704626600484</v>
      </c>
      <c r="G70" s="220">
        <f t="shared" si="1"/>
        <v>5.075975359342916</v>
      </c>
      <c r="H70" s="220">
        <f t="shared" si="0"/>
        <v>2.2529925342403856</v>
      </c>
      <c r="I70" s="220">
        <f t="shared" si="2"/>
        <v>0</v>
      </c>
      <c r="J70" s="378">
        <f t="shared" si="3"/>
        <v>4.4258620689655173</v>
      </c>
    </row>
    <row r="71" spans="2:10">
      <c r="B71" s="234">
        <f>'Revenues &amp; Expenses'!K71</f>
        <v>38473</v>
      </c>
      <c r="C71" s="373">
        <f>'Fuel Curve'!F71</f>
        <v>4.3543103448275868</v>
      </c>
      <c r="D71" s="366">
        <f>'Fuel Curve'!D71</f>
        <v>0.19600000000000001</v>
      </c>
      <c r="E71" s="159">
        <f>VLOOKUP(B71,'PJM Curve Simulation'!$B$9:$F$258,4)</f>
        <v>7.3361543991021017E-2</v>
      </c>
      <c r="F71" s="220">
        <f>VLOOKUP(B71,'PJM Curve Simulation'!$B$9:$F$258,5)</f>
        <v>0.68364853609648157</v>
      </c>
      <c r="G71" s="220">
        <f t="shared" si="1"/>
        <v>5.1581108829568789</v>
      </c>
      <c r="H71" s="220">
        <f t="shared" si="0"/>
        <v>2.2711474815513144</v>
      </c>
      <c r="I71" s="220">
        <f t="shared" si="2"/>
        <v>0</v>
      </c>
      <c r="J71" s="378">
        <f t="shared" si="3"/>
        <v>4.3543103448275868</v>
      </c>
    </row>
    <row r="72" spans="2:10">
      <c r="B72" s="234">
        <f>'Revenues &amp; Expenses'!K72</f>
        <v>38504</v>
      </c>
      <c r="C72" s="373">
        <f>'Fuel Curve'!F72</f>
        <v>4.3441379310344832</v>
      </c>
      <c r="D72" s="366">
        <f>'Fuel Curve'!D72</f>
        <v>0.19500000000000001</v>
      </c>
      <c r="E72" s="159">
        <f>VLOOKUP(B72,'PJM Curve Simulation'!$B$9:$F$258,4)</f>
        <v>7.3385788402523008E-2</v>
      </c>
      <c r="F72" s="220">
        <f>VLOOKUP(B72,'PJM Curve Simulation'!$B$9:$F$258,5)</f>
        <v>0.67939558216018492</v>
      </c>
      <c r="G72" s="220">
        <f t="shared" si="1"/>
        <v>5.2429842573579739</v>
      </c>
      <c r="H72" s="220">
        <f t="shared" si="0"/>
        <v>2.2897563751102372</v>
      </c>
      <c r="I72" s="220">
        <f t="shared" si="2"/>
        <v>0</v>
      </c>
      <c r="J72" s="378">
        <f t="shared" si="3"/>
        <v>4.3441379310344832</v>
      </c>
    </row>
    <row r="73" spans="2:10">
      <c r="B73" s="234">
        <f>'Revenues &amp; Expenses'!K73</f>
        <v>38534</v>
      </c>
      <c r="C73" s="373">
        <f>'Fuel Curve'!F73</f>
        <v>4.3968965517241392</v>
      </c>
      <c r="D73" s="366">
        <f>'Fuel Curve'!D73</f>
        <v>0.19500000000000001</v>
      </c>
      <c r="E73" s="159">
        <f>VLOOKUP(B73,'PJM Curve Simulation'!$B$9:$F$258,4)</f>
        <v>7.3409250736419004E-2</v>
      </c>
      <c r="F73" s="220">
        <f>VLOOKUP(B73,'PJM Curve Simulation'!$B$9:$F$258,5)</f>
        <v>0.67530246149529427</v>
      </c>
      <c r="G73" s="220">
        <f t="shared" si="1"/>
        <v>5.3251197809719368</v>
      </c>
      <c r="H73" s="220">
        <f t="shared" si="0"/>
        <v>2.3076221053222592</v>
      </c>
      <c r="I73" s="220">
        <f t="shared" si="2"/>
        <v>0</v>
      </c>
      <c r="J73" s="378">
        <f t="shared" si="3"/>
        <v>4.3968965517241392</v>
      </c>
    </row>
    <row r="74" spans="2:10">
      <c r="B74" s="234">
        <f>'Revenues &amp; Expenses'!K74</f>
        <v>38565</v>
      </c>
      <c r="C74" s="373">
        <f>'Fuel Curve'!F74</f>
        <v>4.4837931034482761</v>
      </c>
      <c r="D74" s="366">
        <f>'Fuel Curve'!D74</f>
        <v>0.19500000000000001</v>
      </c>
      <c r="E74" s="159">
        <f>VLOOKUP(B74,'PJM Curve Simulation'!$B$9:$F$258,4)</f>
        <v>7.3433495148302011E-2</v>
      </c>
      <c r="F74" s="220">
        <f>VLOOKUP(B74,'PJM Curve Simulation'!$B$9:$F$258,5)</f>
        <v>0.67109618793239023</v>
      </c>
      <c r="G74" s="220">
        <f t="shared" si="1"/>
        <v>5.4099931553730318</v>
      </c>
      <c r="H74" s="220">
        <f t="shared" si="0"/>
        <v>2.3259391985546465</v>
      </c>
      <c r="I74" s="220">
        <f t="shared" si="2"/>
        <v>0</v>
      </c>
      <c r="J74" s="378">
        <f t="shared" si="3"/>
        <v>4.4837931034482761</v>
      </c>
    </row>
    <row r="75" spans="2:10">
      <c r="B75" s="234">
        <f>'Revenues &amp; Expenses'!K75</f>
        <v>38596</v>
      </c>
      <c r="C75" s="373">
        <f>'Fuel Curve'!F75</f>
        <v>4.5743103448275866</v>
      </c>
      <c r="D75" s="366">
        <f>'Fuel Curve'!D75</f>
        <v>0.19400000000000003</v>
      </c>
      <c r="E75" s="159">
        <f>VLOOKUP(B75,'PJM Curve Simulation'!$B$9:$F$258,4)</f>
        <v>7.3457739560380028E-2</v>
      </c>
      <c r="F75" s="220">
        <f>VLOOKUP(B75,'PJM Curve Simulation'!$B$9:$F$258,5)</f>
        <v>0.6669134676770353</v>
      </c>
      <c r="G75" s="220">
        <f t="shared" si="1"/>
        <v>5.4948665297741277</v>
      </c>
      <c r="H75" s="220">
        <f t="shared" si="0"/>
        <v>2.3441131648822178</v>
      </c>
      <c r="I75" s="220">
        <f t="shared" si="2"/>
        <v>0</v>
      </c>
      <c r="J75" s="378">
        <f t="shared" si="3"/>
        <v>4.5743103448275866</v>
      </c>
    </row>
    <row r="76" spans="2:10">
      <c r="B76" s="234">
        <f>'Revenues &amp; Expenses'!K76</f>
        <v>38626</v>
      </c>
      <c r="C76" s="373">
        <f>'Fuel Curve'!F76</f>
        <v>4.6634482758620699</v>
      </c>
      <c r="D76" s="366">
        <f>'Fuel Curve'!D76</f>
        <v>0.19400000000000003</v>
      </c>
      <c r="E76" s="159">
        <f>VLOOKUP(B76,'PJM Curve Simulation'!$B$9:$F$258,4)</f>
        <v>7.3481201894832995E-2</v>
      </c>
      <c r="F76" s="220">
        <f>VLOOKUP(B76,'PJM Curve Simulation'!$B$9:$F$258,5)</f>
        <v>0.66288799270644394</v>
      </c>
      <c r="G76" s="220">
        <f t="shared" si="1"/>
        <v>5.5770020533880906</v>
      </c>
      <c r="H76" s="220">
        <f t="shared" ref="H76:H139" si="4">SQRT(G76)</f>
        <v>2.3615677109471349</v>
      </c>
      <c r="I76" s="220">
        <f t="shared" si="2"/>
        <v>0</v>
      </c>
      <c r="J76" s="378">
        <f t="shared" si="3"/>
        <v>4.6634482758620699</v>
      </c>
    </row>
    <row r="77" spans="2:10">
      <c r="B77" s="234">
        <f>'Revenues &amp; Expenses'!K77</f>
        <v>38657</v>
      </c>
      <c r="C77" s="373">
        <f>'Fuel Curve'!F77</f>
        <v>4.7489655172413805</v>
      </c>
      <c r="D77" s="366">
        <f>'Fuel Curve'!D77</f>
        <v>0.193</v>
      </c>
      <c r="E77" s="159">
        <f>VLOOKUP(B77,'PJM Curve Simulation'!$B$9:$F$258,4)</f>
        <v>7.3505446307292013E-2</v>
      </c>
      <c r="F77" s="220">
        <f>VLOOKUP(B77,'PJM Curve Simulation'!$B$9:$F$258,5)</f>
        <v>0.65875128780759895</v>
      </c>
      <c r="G77" s="220">
        <f t="shared" ref="G77:G140" si="5">(B77-$B$1)/365.25</f>
        <v>5.6618754277891856</v>
      </c>
      <c r="H77" s="220">
        <f t="shared" si="4"/>
        <v>2.3794695685780867</v>
      </c>
      <c r="I77" s="220">
        <f t="shared" ref="I77:I140" si="6">IF($I$2=0,0,-(D77^2)/2)</f>
        <v>0</v>
      </c>
      <c r="J77" s="378">
        <f t="shared" ref="J77:J140" si="7">IF(K66=1,C77,EXP(I77*G77+D77*$I$2*H77)*C77)</f>
        <v>4.7489655172413805</v>
      </c>
    </row>
    <row r="78" spans="2:10">
      <c r="B78" s="234">
        <f>'Revenues &amp; Expenses'!K78</f>
        <v>38687</v>
      </c>
      <c r="C78" s="373">
        <f>'Fuel Curve'!F78</f>
        <v>4.7894827586206903</v>
      </c>
      <c r="D78" s="366">
        <f>'Fuel Curve'!D78</f>
        <v>0.193</v>
      </c>
      <c r="E78" s="159">
        <f>VLOOKUP(B78,'PJM Curve Simulation'!$B$9:$F$258,4)</f>
        <v>7.3528908642115018E-2</v>
      </c>
      <c r="F78" s="220">
        <f>VLOOKUP(B78,'PJM Curve Simulation'!$B$9:$F$258,5)</f>
        <v>0.6547701320602235</v>
      </c>
      <c r="G78" s="220">
        <f t="shared" si="5"/>
        <v>5.7440109514031485</v>
      </c>
      <c r="H78" s="220">
        <f t="shared" si="4"/>
        <v>2.3966666333478983</v>
      </c>
      <c r="I78" s="220">
        <f t="shared" si="6"/>
        <v>0</v>
      </c>
      <c r="J78" s="378">
        <f t="shared" si="7"/>
        <v>4.7894827586206903</v>
      </c>
    </row>
    <row r="79" spans="2:10">
      <c r="B79" s="234">
        <f>'Revenues &amp; Expenses'!K79</f>
        <v>38718</v>
      </c>
      <c r="C79" s="373">
        <f>'Fuel Curve'!F79</f>
        <v>4.7308620689655179</v>
      </c>
      <c r="D79" s="366">
        <f>'Fuel Curve'!D79</f>
        <v>0.19</v>
      </c>
      <c r="E79" s="159">
        <f>VLOOKUP(B79,'PJM Curve Simulation'!$B$9:$F$258,4)</f>
        <v>7.3553153054956008E-2</v>
      </c>
      <c r="F79" s="220">
        <f>VLOOKUP(B79,'PJM Curve Simulation'!$B$9:$F$258,5)</f>
        <v>0.65067900568650605</v>
      </c>
      <c r="G79" s="220">
        <f t="shared" si="5"/>
        <v>5.8288843258042435</v>
      </c>
      <c r="H79" s="220">
        <f t="shared" si="4"/>
        <v>2.4143082499557185</v>
      </c>
      <c r="I79" s="220">
        <f t="shared" si="6"/>
        <v>0</v>
      </c>
      <c r="J79" s="378">
        <f t="shared" si="7"/>
        <v>4.7308620689655179</v>
      </c>
    </row>
    <row r="80" spans="2:10">
      <c r="B80" s="234">
        <f>'Revenues &amp; Expenses'!K80</f>
        <v>38749</v>
      </c>
      <c r="C80" s="373">
        <f>'Fuel Curve'!F80</f>
        <v>4.6294827586206901</v>
      </c>
      <c r="D80" s="366">
        <f>'Fuel Curve'!D80</f>
        <v>0.19</v>
      </c>
      <c r="E80" s="159">
        <f>VLOOKUP(B80,'PJM Curve Simulation'!$B$9:$F$258,4)</f>
        <v>7.3577397468000016E-2</v>
      </c>
      <c r="F80" s="220">
        <f>VLOOKUP(B80,'PJM Curve Simulation'!$B$9:$F$258,5)</f>
        <v>0.64661087580678567</v>
      </c>
      <c r="G80" s="220">
        <f t="shared" si="5"/>
        <v>5.9137577002053385</v>
      </c>
      <c r="H80" s="220">
        <f t="shared" si="4"/>
        <v>2.4318218890793255</v>
      </c>
      <c r="I80" s="220">
        <f t="shared" si="6"/>
        <v>0</v>
      </c>
      <c r="J80" s="378">
        <f t="shared" si="7"/>
        <v>4.6294827586206901</v>
      </c>
    </row>
    <row r="81" spans="2:10">
      <c r="B81" s="234">
        <f>'Revenues &amp; Expenses'!K81</f>
        <v>38777</v>
      </c>
      <c r="C81" s="373">
        <f>'Fuel Curve'!F81</f>
        <v>4.5308620689655177</v>
      </c>
      <c r="D81" s="366">
        <f>'Fuel Curve'!D81</f>
        <v>0.188</v>
      </c>
      <c r="E81" s="159">
        <f>VLOOKUP(B81,'PJM Curve Simulation'!$B$9:$F$258,4)</f>
        <v>7.3599295647674035E-2</v>
      </c>
      <c r="F81" s="220">
        <f>VLOOKUP(B81,'PJM Curve Simulation'!$B$9:$F$258,5)</f>
        <v>0.64295610909713796</v>
      </c>
      <c r="G81" s="220">
        <f t="shared" si="5"/>
        <v>5.9904175222450373</v>
      </c>
      <c r="H81" s="220">
        <f t="shared" si="4"/>
        <v>2.4475329461000186</v>
      </c>
      <c r="I81" s="220">
        <f t="shared" si="6"/>
        <v>0</v>
      </c>
      <c r="J81" s="378">
        <f t="shared" si="7"/>
        <v>4.5308620689655177</v>
      </c>
    </row>
    <row r="82" spans="2:10">
      <c r="B82" s="234">
        <f>'Revenues &amp; Expenses'!K82</f>
        <v>38808</v>
      </c>
      <c r="C82" s="373">
        <f>'Fuel Curve'!F82</f>
        <v>4.4287931034482764</v>
      </c>
      <c r="D82" s="366">
        <f>'Fuel Curve'!D82</f>
        <v>0.187</v>
      </c>
      <c r="E82" s="159">
        <f>VLOOKUP(B82,'PJM Curve Simulation'!$B$9:$F$258,4)</f>
        <v>7.3623540061079004E-2</v>
      </c>
      <c r="F82" s="220">
        <f>VLOOKUP(B82,'PJM Curve Simulation'!$B$9:$F$258,5)</f>
        <v>0.63893143890679971</v>
      </c>
      <c r="G82" s="220">
        <f t="shared" si="5"/>
        <v>6.0752908966461332</v>
      </c>
      <c r="H82" s="220">
        <f t="shared" si="4"/>
        <v>2.4648105194205363</v>
      </c>
      <c r="I82" s="220">
        <f t="shared" si="6"/>
        <v>0</v>
      </c>
      <c r="J82" s="378">
        <f t="shared" si="7"/>
        <v>4.4287931034482764</v>
      </c>
    </row>
    <row r="83" spans="2:10">
      <c r="B83" s="234">
        <f>'Revenues &amp; Expenses'!K83</f>
        <v>38838</v>
      </c>
      <c r="C83" s="373">
        <f>'Fuel Curve'!F83</f>
        <v>4.3593103448275867</v>
      </c>
      <c r="D83" s="366">
        <f>'Fuel Curve'!D83</f>
        <v>0.187</v>
      </c>
      <c r="E83" s="159">
        <f>VLOOKUP(B83,'PJM Curve Simulation'!$B$9:$F$258,4)</f>
        <v>7.3647002396816028E-2</v>
      </c>
      <c r="F83" s="220">
        <f>VLOOKUP(B83,'PJM Curve Simulation'!$B$9:$F$258,5)</f>
        <v>0.63505818640712919</v>
      </c>
      <c r="G83" s="220">
        <f t="shared" si="5"/>
        <v>6.1574264202600961</v>
      </c>
      <c r="H83" s="220">
        <f t="shared" si="4"/>
        <v>2.4814162126213524</v>
      </c>
      <c r="I83" s="220">
        <f t="shared" si="6"/>
        <v>0</v>
      </c>
      <c r="J83" s="378">
        <f t="shared" si="7"/>
        <v>4.3593103448275867</v>
      </c>
    </row>
    <row r="84" spans="2:10">
      <c r="B84" s="234">
        <f>'Revenues &amp; Expenses'!K84</f>
        <v>38869</v>
      </c>
      <c r="C84" s="373">
        <f>'Fuel Curve'!F84</f>
        <v>4.3513793103448286</v>
      </c>
      <c r="D84" s="366">
        <f>'Fuel Curve'!D84</f>
        <v>0.18600000000000003</v>
      </c>
      <c r="E84" s="159">
        <f>VLOOKUP(B84,'PJM Curve Simulation'!$B$9:$F$258,4)</f>
        <v>7.3671246810602012E-2</v>
      </c>
      <c r="F84" s="220">
        <f>VLOOKUP(B84,'PJM Curve Simulation'!$B$9:$F$258,5)</f>
        <v>0.63107802738640284</v>
      </c>
      <c r="G84" s="220">
        <f t="shared" si="5"/>
        <v>6.2422997946611911</v>
      </c>
      <c r="H84" s="220">
        <f t="shared" si="4"/>
        <v>2.4984594842945103</v>
      </c>
      <c r="I84" s="220">
        <f t="shared" si="6"/>
        <v>0</v>
      </c>
      <c r="J84" s="378">
        <f t="shared" si="7"/>
        <v>4.3513793103448286</v>
      </c>
    </row>
    <row r="85" spans="2:10">
      <c r="B85" s="234">
        <f>'Revenues &amp; Expenses'!K85</f>
        <v>38899</v>
      </c>
      <c r="C85" s="373">
        <f>'Fuel Curve'!F85</f>
        <v>4.4063793103448283</v>
      </c>
      <c r="D85" s="366">
        <f>'Fuel Curve'!D85</f>
        <v>0.18600000000000003</v>
      </c>
      <c r="E85" s="159">
        <f>VLOOKUP(B85,'PJM Curve Simulation'!$B$9:$F$258,4)</f>
        <v>7.3694709146709017E-2</v>
      </c>
      <c r="F85" s="220">
        <f>VLOOKUP(B85,'PJM Curve Simulation'!$B$9:$F$258,5)</f>
        <v>0.62724764389992926</v>
      </c>
      <c r="G85" s="220">
        <f t="shared" si="5"/>
        <v>6.324435318275154</v>
      </c>
      <c r="H85" s="220">
        <f t="shared" si="4"/>
        <v>2.5148430007209504</v>
      </c>
      <c r="I85" s="220">
        <f t="shared" si="6"/>
        <v>0</v>
      </c>
      <c r="J85" s="378">
        <f t="shared" si="7"/>
        <v>4.4063793103448283</v>
      </c>
    </row>
    <row r="86" spans="2:10">
      <c r="B86" s="234">
        <f>'Revenues &amp; Expenses'!K86</f>
        <v>38930</v>
      </c>
      <c r="C86" s="373">
        <f>'Fuel Curve'!F86</f>
        <v>4.4946551724137933</v>
      </c>
      <c r="D86" s="366">
        <f>'Fuel Curve'!D86</f>
        <v>0.185</v>
      </c>
      <c r="E86" s="159">
        <f>VLOOKUP(B86,'PJM Curve Simulation'!$B$9:$F$258,4)</f>
        <v>7.3718953560877015E-2</v>
      </c>
      <c r="F86" s="220">
        <f>VLOOKUP(B86,'PJM Curve Simulation'!$B$9:$F$258,5)</f>
        <v>0.62331157047885244</v>
      </c>
      <c r="G86" s="220">
        <f t="shared" si="5"/>
        <v>6.409308692676249</v>
      </c>
      <c r="H86" s="220">
        <f t="shared" si="4"/>
        <v>2.531661251565116</v>
      </c>
      <c r="I86" s="220">
        <f t="shared" si="6"/>
        <v>0</v>
      </c>
      <c r="J86" s="378">
        <f t="shared" si="7"/>
        <v>4.4946551724137933</v>
      </c>
    </row>
    <row r="87" spans="2:10">
      <c r="B87" s="234">
        <f>'Revenues &amp; Expenses'!K87</f>
        <v>38961</v>
      </c>
      <c r="C87" s="373">
        <f>'Fuel Curve'!F87</f>
        <v>4.588103448275862</v>
      </c>
      <c r="D87" s="366">
        <f>'Fuel Curve'!D87</f>
        <v>0.185</v>
      </c>
      <c r="E87" s="159">
        <f>VLOOKUP(B87,'PJM Curve Simulation'!$B$9:$F$258,4)</f>
        <v>7.3743197975238997E-2</v>
      </c>
      <c r="F87" s="220">
        <f>VLOOKUP(B87,'PJM Curve Simulation'!$B$9:$F$258,5)</f>
        <v>0.61939773915277652</v>
      </c>
      <c r="G87" s="220">
        <f t="shared" si="5"/>
        <v>6.494182067077344</v>
      </c>
      <c r="H87" s="220">
        <f t="shared" si="4"/>
        <v>2.5483685108471543</v>
      </c>
      <c r="I87" s="220">
        <f t="shared" si="6"/>
        <v>0</v>
      </c>
      <c r="J87" s="378">
        <f t="shared" si="7"/>
        <v>4.588103448275862</v>
      </c>
    </row>
    <row r="88" spans="2:10">
      <c r="B88" s="234">
        <f>'Revenues &amp; Expenses'!K88</f>
        <v>38991</v>
      </c>
      <c r="C88" s="373">
        <f>'Fuel Curve'!F88</f>
        <v>4.6786206896551734</v>
      </c>
      <c r="D88" s="366">
        <f>'Fuel Curve'!D88</f>
        <v>0.18400000000000002</v>
      </c>
      <c r="E88" s="159">
        <f>VLOOKUP(B88,'PJM Curve Simulation'!$B$9:$F$258,4)</f>
        <v>7.3766660311903001E-2</v>
      </c>
      <c r="F88" s="220">
        <f>VLOOKUP(B88,'PJM Curve Simulation'!$B$9:$F$258,5)</f>
        <v>0.61563123553752408</v>
      </c>
      <c r="G88" s="220">
        <f t="shared" si="5"/>
        <v>6.5763175906913069</v>
      </c>
      <c r="H88" s="220">
        <f t="shared" si="4"/>
        <v>2.5644331909198388</v>
      </c>
      <c r="I88" s="220">
        <f t="shared" si="6"/>
        <v>0</v>
      </c>
      <c r="J88" s="378">
        <f t="shared" si="7"/>
        <v>4.6786206896551734</v>
      </c>
    </row>
    <row r="89" spans="2:10">
      <c r="B89" s="234">
        <f>'Revenues &amp; Expenses'!K89</f>
        <v>39022</v>
      </c>
      <c r="C89" s="373">
        <f>'Fuel Curve'!F89</f>
        <v>4.7670689655172422</v>
      </c>
      <c r="D89" s="366">
        <f>'Fuel Curve'!D89</f>
        <v>0.18400000000000002</v>
      </c>
      <c r="E89" s="159">
        <f>VLOOKUP(B89,'PJM Curve Simulation'!$B$9:$F$258,4)</f>
        <v>7.3790904726647011E-2</v>
      </c>
      <c r="F89" s="220">
        <f>VLOOKUP(B89,'PJM Curve Simulation'!$B$9:$F$258,5)</f>
        <v>0.61176085403546743</v>
      </c>
      <c r="G89" s="220">
        <f t="shared" si="5"/>
        <v>6.6611909650924028</v>
      </c>
      <c r="H89" s="220">
        <f t="shared" si="4"/>
        <v>2.5809283145977537</v>
      </c>
      <c r="I89" s="220">
        <f t="shared" si="6"/>
        <v>0</v>
      </c>
      <c r="J89" s="378">
        <f t="shared" si="7"/>
        <v>4.7670689655172422</v>
      </c>
    </row>
    <row r="90" spans="2:10">
      <c r="B90" s="234">
        <f>'Revenues &amp; Expenses'!K90</f>
        <v>39052</v>
      </c>
      <c r="C90" s="373">
        <f>'Fuel Curve'!F90</f>
        <v>4.808965517241381</v>
      </c>
      <c r="D90" s="366">
        <f>'Fuel Curve'!D90</f>
        <v>0.18300000000000002</v>
      </c>
      <c r="E90" s="159">
        <f>VLOOKUP(B90,'PJM Curve Simulation'!$B$9:$F$258,4)</f>
        <v>7.3814367063680011E-2</v>
      </c>
      <c r="F90" s="220">
        <f>VLOOKUP(B90,'PJM Curve Simulation'!$B$9:$F$258,5)</f>
        <v>0.60803619621257565</v>
      </c>
      <c r="G90" s="220">
        <f t="shared" si="5"/>
        <v>6.7433264887063658</v>
      </c>
      <c r="H90" s="220">
        <f t="shared" si="4"/>
        <v>2.5967915759079254</v>
      </c>
      <c r="I90" s="220">
        <f t="shared" si="6"/>
        <v>0</v>
      </c>
      <c r="J90" s="378">
        <f t="shared" si="7"/>
        <v>4.808965517241381</v>
      </c>
    </row>
    <row r="91" spans="2:10">
      <c r="B91" s="234">
        <f>'Revenues &amp; Expenses'!K91</f>
        <v>39083</v>
      </c>
      <c r="C91" s="373">
        <f>'Fuel Curve'!F91</f>
        <v>4.7525862068965523</v>
      </c>
      <c r="D91" s="366">
        <f>'Fuel Curve'!D91</f>
        <v>0.18300000000000002</v>
      </c>
      <c r="E91" s="159">
        <f>VLOOKUP(B91,'PJM Curve Simulation'!$B$9:$F$258,4)</f>
        <v>7.3838611478806021E-2</v>
      </c>
      <c r="F91" s="220">
        <f>VLOOKUP(B91,'PJM Curve Simulation'!$B$9:$F$258,5)</f>
        <v>0.60420884699077582</v>
      </c>
      <c r="G91" s="220">
        <f t="shared" si="5"/>
        <v>6.8281998631074607</v>
      </c>
      <c r="H91" s="220">
        <f t="shared" si="4"/>
        <v>2.6130824447589593</v>
      </c>
      <c r="I91" s="220">
        <f t="shared" si="6"/>
        <v>0</v>
      </c>
      <c r="J91" s="378">
        <f t="shared" si="7"/>
        <v>4.7525862068965523</v>
      </c>
    </row>
    <row r="92" spans="2:10">
      <c r="B92" s="234">
        <f>'Revenues &amp; Expenses'!K92</f>
        <v>39114</v>
      </c>
      <c r="C92" s="373">
        <f>'Fuel Curve'!F92</f>
        <v>4.6525862068965527</v>
      </c>
      <c r="D92" s="366">
        <f>'Fuel Curve'!D92</f>
        <v>0.182</v>
      </c>
      <c r="E92" s="159">
        <f>VLOOKUP(B92,'PJM Curve Simulation'!$B$9:$F$258,4)</f>
        <v>7.3862855894125015E-2</v>
      </c>
      <c r="F92" s="220">
        <f>VLOOKUP(B92,'PJM Curve Simulation'!$B$9:$F$258,5)</f>
        <v>0.60040320763544686</v>
      </c>
      <c r="G92" s="220">
        <f t="shared" si="5"/>
        <v>6.9130732375085557</v>
      </c>
      <c r="H92" s="220">
        <f t="shared" si="4"/>
        <v>2.6292723779609743</v>
      </c>
      <c r="I92" s="220">
        <f t="shared" si="6"/>
        <v>0</v>
      </c>
      <c r="J92" s="378">
        <f t="shared" si="7"/>
        <v>4.6525862068965527</v>
      </c>
    </row>
    <row r="93" spans="2:10">
      <c r="B93" s="234">
        <f>'Revenues &amp; Expenses'!K93</f>
        <v>39142</v>
      </c>
      <c r="C93" s="373">
        <f>'Fuel Curve'!F93</f>
        <v>4.5555172413793112</v>
      </c>
      <c r="D93" s="366">
        <f>'Fuel Curve'!D93</f>
        <v>0.182</v>
      </c>
      <c r="E93" s="159">
        <f>VLOOKUP(B93,'PJM Curve Simulation'!$B$9:$F$258,4)</f>
        <v>7.3884754075871015E-2</v>
      </c>
      <c r="F93" s="220">
        <f>VLOOKUP(B93,'PJM Curve Simulation'!$B$9:$F$258,5)</f>
        <v>0.59698442737488722</v>
      </c>
      <c r="G93" s="220">
        <f t="shared" si="5"/>
        <v>6.9897330595482545</v>
      </c>
      <c r="H93" s="220">
        <f t="shared" si="4"/>
        <v>2.6438103297226627</v>
      </c>
      <c r="I93" s="220">
        <f t="shared" si="6"/>
        <v>0</v>
      </c>
      <c r="J93" s="378">
        <f t="shared" si="7"/>
        <v>4.5555172413793112</v>
      </c>
    </row>
    <row r="94" spans="2:10">
      <c r="B94" s="234">
        <f>'Revenues &amp; Expenses'!K94</f>
        <v>39173</v>
      </c>
      <c r="C94" s="373">
        <f>'Fuel Curve'!F94</f>
        <v>4.4548275862068971</v>
      </c>
      <c r="D94" s="366">
        <f>'Fuel Curve'!D94</f>
        <v>0.18100000000000002</v>
      </c>
      <c r="E94" s="159">
        <f>VLOOKUP(B94,'PJM Curve Simulation'!$B$9:$F$258,4)</f>
        <v>7.3901230464944026E-2</v>
      </c>
      <c r="F94" s="220">
        <f>VLOOKUP(B94,'PJM Curve Simulation'!$B$9:$F$258,5)</f>
        <v>0.5932517879085123</v>
      </c>
      <c r="G94" s="220">
        <f t="shared" si="5"/>
        <v>7.0746064339493495</v>
      </c>
      <c r="H94" s="220">
        <f t="shared" si="4"/>
        <v>2.6598132329074065</v>
      </c>
      <c r="I94" s="220">
        <f t="shared" si="6"/>
        <v>0</v>
      </c>
      <c r="J94" s="378">
        <f t="shared" si="7"/>
        <v>4.4548275862068971</v>
      </c>
    </row>
    <row r="95" spans="2:10">
      <c r="B95" s="234">
        <f>'Revenues &amp; Expenses'!K95</f>
        <v>39203</v>
      </c>
      <c r="C95" s="373">
        <f>'Fuel Curve'!F95</f>
        <v>4.3875862068965521</v>
      </c>
      <c r="D95" s="366">
        <f>'Fuel Curve'!D95</f>
        <v>0.18100000000000002</v>
      </c>
      <c r="E95" s="159">
        <f>VLOOKUP(B95,'PJM Curve Simulation'!$B$9:$F$258,4)</f>
        <v>7.3915729695154003E-2</v>
      </c>
      <c r="F95" s="220">
        <f>VLOOKUP(B95,'PJM Curve Simulation'!$B$9:$F$258,5)</f>
        <v>0.58966624744480589</v>
      </c>
      <c r="G95" s="220">
        <f t="shared" si="5"/>
        <v>7.1567419575633124</v>
      </c>
      <c r="H95" s="220">
        <f t="shared" si="4"/>
        <v>2.6752087689680057</v>
      </c>
      <c r="I95" s="220">
        <f t="shared" si="6"/>
        <v>0</v>
      </c>
      <c r="J95" s="378">
        <f t="shared" si="7"/>
        <v>4.3875862068965521</v>
      </c>
    </row>
    <row r="96" spans="2:10">
      <c r="B96" s="234">
        <f>'Revenues &amp; Expenses'!K96</f>
        <v>39234</v>
      </c>
      <c r="C96" s="373">
        <f>'Fuel Curve'!F96</f>
        <v>4.3817241379310348</v>
      </c>
      <c r="D96" s="366">
        <f>'Fuel Curve'!D96</f>
        <v>0.18100000000000002</v>
      </c>
      <c r="E96" s="159">
        <f>VLOOKUP(B96,'PJM Curve Simulation'!$B$9:$F$258,4)</f>
        <v>7.3930712233109999E-2</v>
      </c>
      <c r="F96" s="220">
        <f>VLOOKUP(B96,'PJM Curve Simulation'!$B$9:$F$258,5)</f>
        <v>0.58598254000407157</v>
      </c>
      <c r="G96" s="220">
        <f t="shared" si="5"/>
        <v>7.2416153319644083</v>
      </c>
      <c r="H96" s="220">
        <f t="shared" si="4"/>
        <v>2.6910249593722479</v>
      </c>
      <c r="I96" s="220">
        <f t="shared" si="6"/>
        <v>0</v>
      </c>
      <c r="J96" s="378">
        <f t="shared" si="7"/>
        <v>4.3817241379310348</v>
      </c>
    </row>
    <row r="97" spans="2:10">
      <c r="B97" s="234">
        <f>'Revenues &amp; Expenses'!K97</f>
        <v>39264</v>
      </c>
      <c r="C97" s="373">
        <f>'Fuel Curve'!F97</f>
        <v>4.4382758620689664</v>
      </c>
      <c r="D97" s="366">
        <f>'Fuel Curve'!D97</f>
        <v>0.18</v>
      </c>
      <c r="E97" s="159">
        <f>VLOOKUP(B97,'PJM Curve Simulation'!$B$9:$F$258,4)</f>
        <v>7.3945211463460017E-2</v>
      </c>
      <c r="F97" s="220">
        <f>VLOOKUP(B97,'PJM Curve Simulation'!$B$9:$F$258,5)</f>
        <v>0.58243821461084155</v>
      </c>
      <c r="G97" s="220">
        <f t="shared" si="5"/>
        <v>7.3237508555783712</v>
      </c>
      <c r="H97" s="220">
        <f t="shared" si="4"/>
        <v>2.7062429409752502</v>
      </c>
      <c r="I97" s="220">
        <f t="shared" si="6"/>
        <v>0</v>
      </c>
      <c r="J97" s="378">
        <f t="shared" si="7"/>
        <v>4.4382758620689664</v>
      </c>
    </row>
    <row r="98" spans="2:10">
      <c r="B98" s="234">
        <f>'Revenues &amp; Expenses'!K98</f>
        <v>39295</v>
      </c>
      <c r="C98" s="373">
        <f>'Fuel Curve'!F98</f>
        <v>4.5281034482758633</v>
      </c>
      <c r="D98" s="366">
        <f>'Fuel Curve'!D98</f>
        <v>0.18</v>
      </c>
      <c r="E98" s="159">
        <f>VLOOKUP(B98,'PJM Curve Simulation'!$B$9:$F$258,4)</f>
        <v>7.3960194001562007E-2</v>
      </c>
      <c r="F98" s="220">
        <f>VLOOKUP(B98,'PJM Curve Simulation'!$B$9:$F$258,5)</f>
        <v>0.57879686904277527</v>
      </c>
      <c r="G98" s="220">
        <f t="shared" si="5"/>
        <v>7.4086242299794662</v>
      </c>
      <c r="H98" s="220">
        <f t="shared" si="4"/>
        <v>2.7218788051600433</v>
      </c>
      <c r="I98" s="220">
        <f t="shared" si="6"/>
        <v>0</v>
      </c>
      <c r="J98" s="378">
        <f t="shared" si="7"/>
        <v>4.5281034482758633</v>
      </c>
    </row>
    <row r="99" spans="2:10">
      <c r="B99" s="234">
        <f>'Revenues &amp; Expenses'!K99</f>
        <v>39326</v>
      </c>
      <c r="C99" s="373">
        <f>'Fuel Curve'!F99</f>
        <v>4.6236206896551728</v>
      </c>
      <c r="D99" s="366">
        <f>'Fuel Curve'!D99</f>
        <v>0.18</v>
      </c>
      <c r="E99" s="159">
        <f>VLOOKUP(B99,'PJM Curve Simulation'!$B$9:$F$258,4)</f>
        <v>7.3975176539738008E-2</v>
      </c>
      <c r="F99" s="220">
        <f>VLOOKUP(B99,'PJM Curve Simulation'!$B$9:$F$258,5)</f>
        <v>0.57517687860822675</v>
      </c>
      <c r="G99" s="220">
        <f t="shared" si="5"/>
        <v>7.4934976043805612</v>
      </c>
      <c r="H99" s="220">
        <f t="shared" si="4"/>
        <v>2.7374253605131522</v>
      </c>
      <c r="I99" s="220">
        <f t="shared" si="6"/>
        <v>0</v>
      </c>
      <c r="J99" s="378">
        <f t="shared" si="7"/>
        <v>4.6236206896551728</v>
      </c>
    </row>
    <row r="100" spans="2:10">
      <c r="B100" s="234">
        <f>'Revenues &amp; Expenses'!K100</f>
        <v>39356</v>
      </c>
      <c r="C100" s="373">
        <f>'Fuel Curve'!F100</f>
        <v>4.7155172413793105</v>
      </c>
      <c r="D100" s="366">
        <f>'Fuel Curve'!D100</f>
        <v>0.17900000000000002</v>
      </c>
      <c r="E100" s="159">
        <f>VLOOKUP(B100,'PJM Curve Simulation'!$B$9:$F$258,4)</f>
        <v>7.3989675770301008E-2</v>
      </c>
      <c r="F100" s="220">
        <f>VLOOKUP(B100,'PJM Curve Simulation'!$B$9:$F$258,5)</f>
        <v>0.57169388586550773</v>
      </c>
      <c r="G100" s="220">
        <f t="shared" si="5"/>
        <v>7.5756331279945242</v>
      </c>
      <c r="H100" s="220">
        <f t="shared" si="4"/>
        <v>2.7523868056642264</v>
      </c>
      <c r="I100" s="220">
        <f t="shared" si="6"/>
        <v>0</v>
      </c>
      <c r="J100" s="378">
        <f t="shared" si="7"/>
        <v>4.7155172413793105</v>
      </c>
    </row>
    <row r="101" spans="2:10">
      <c r="B101" s="234">
        <f>'Revenues &amp; Expenses'!K101</f>
        <v>39387</v>
      </c>
      <c r="C101" s="373">
        <f>'Fuel Curve'!F101</f>
        <v>4.8046551724137938</v>
      </c>
      <c r="D101" s="366">
        <f>'Fuel Curve'!D101</f>
        <v>0.17900000000000002</v>
      </c>
      <c r="E101" s="159">
        <f>VLOOKUP(B101,'PJM Curve Simulation'!$B$9:$F$258,4)</f>
        <v>7.4004658308623017E-2</v>
      </c>
      <c r="F101" s="220">
        <f>VLOOKUP(B101,'PJM Curve Simulation'!$B$9:$F$258,5)</f>
        <v>0.56811557908537158</v>
      </c>
      <c r="G101" s="220">
        <f t="shared" si="5"/>
        <v>7.6605065023956191</v>
      </c>
      <c r="H101" s="220">
        <f t="shared" si="4"/>
        <v>2.7677620024842486</v>
      </c>
      <c r="I101" s="220">
        <f t="shared" si="6"/>
        <v>0</v>
      </c>
      <c r="J101" s="378">
        <f t="shared" si="7"/>
        <v>4.8046551724137938</v>
      </c>
    </row>
    <row r="102" spans="2:10">
      <c r="B102" s="234">
        <f>'Revenues &amp; Expenses'!K102</f>
        <v>39417</v>
      </c>
      <c r="C102" s="373">
        <f>'Fuel Curve'!F102</f>
        <v>4.8474137931034491</v>
      </c>
      <c r="D102" s="366">
        <f>'Fuel Curve'!D102</f>
        <v>0.17900000000000002</v>
      </c>
      <c r="E102" s="159">
        <f>VLOOKUP(B102,'PJM Curve Simulation'!$B$9:$F$258,4)</f>
        <v>7.4019157539328015E-2</v>
      </c>
      <c r="F102" s="220">
        <f>VLOOKUP(B102,'PJM Curve Simulation'!$B$9:$F$258,5)</f>
        <v>0.56467270987595808</v>
      </c>
      <c r="G102" s="220">
        <f t="shared" si="5"/>
        <v>7.7426420260095821</v>
      </c>
      <c r="H102" s="220">
        <f t="shared" si="4"/>
        <v>2.7825603364544644</v>
      </c>
      <c r="I102" s="220">
        <f t="shared" si="6"/>
        <v>0</v>
      </c>
      <c r="J102" s="378">
        <f t="shared" si="7"/>
        <v>4.8474137931034491</v>
      </c>
    </row>
    <row r="103" spans="2:10">
      <c r="B103" s="234">
        <f>'Revenues &amp; Expenses'!K103</f>
        <v>39448</v>
      </c>
      <c r="C103" s="373">
        <f>'Fuel Curve'!F103</f>
        <v>4.7901724137931048</v>
      </c>
      <c r="D103" s="366">
        <f>'Fuel Curve'!D103</f>
        <v>0.17600000000000002</v>
      </c>
      <c r="E103" s="159">
        <f>VLOOKUP(B103,'PJM Curve Simulation'!$B$9:$F$258,4)</f>
        <v>7.4034140077795019E-2</v>
      </c>
      <c r="F103" s="220">
        <f>VLOOKUP(B103,'PJM Curve Simulation'!$B$9:$F$258,5)</f>
        <v>0.56113564249260006</v>
      </c>
      <c r="G103" s="220">
        <f t="shared" si="5"/>
        <v>7.8275154004106779</v>
      </c>
      <c r="H103" s="220">
        <f t="shared" si="4"/>
        <v>2.7977697189745045</v>
      </c>
      <c r="I103" s="220">
        <f t="shared" si="6"/>
        <v>0</v>
      </c>
      <c r="J103" s="378">
        <f t="shared" si="7"/>
        <v>4.7901724137931048</v>
      </c>
    </row>
    <row r="104" spans="2:10">
      <c r="B104" s="234">
        <f>'Revenues &amp; Expenses'!K104</f>
        <v>39479</v>
      </c>
      <c r="C104" s="373">
        <f>'Fuel Curve'!F104</f>
        <v>4.6910344827586217</v>
      </c>
      <c r="D104" s="366">
        <f>'Fuel Curve'!D104</f>
        <v>0.17600000000000002</v>
      </c>
      <c r="E104" s="159">
        <f>VLOOKUP(B104,'PJM Curve Simulation'!$B$9:$F$258,4)</f>
        <v>7.4049122616337018E-2</v>
      </c>
      <c r="F104" s="220">
        <f>VLOOKUP(B104,'PJM Curve Simulation'!$B$9:$F$258,5)</f>
        <v>0.55761936395772205</v>
      </c>
      <c r="G104" s="220">
        <f t="shared" si="5"/>
        <v>7.9123887748117729</v>
      </c>
      <c r="H104" s="220">
        <f t="shared" si="4"/>
        <v>2.8128968652995034</v>
      </c>
      <c r="I104" s="220">
        <f t="shared" si="6"/>
        <v>0</v>
      </c>
      <c r="J104" s="378">
        <f t="shared" si="7"/>
        <v>4.6910344827586217</v>
      </c>
    </row>
    <row r="105" spans="2:10">
      <c r="B105" s="234">
        <f>'Revenues &amp; Expenses'!K105</f>
        <v>39508</v>
      </c>
      <c r="C105" s="373">
        <f>'Fuel Curve'!F105</f>
        <v>4.5939655172413802</v>
      </c>
      <c r="D105" s="366">
        <f>'Fuel Curve'!D105</f>
        <v>0.17600000000000002</v>
      </c>
      <c r="E105" s="159">
        <f>VLOOKUP(B105,'PJM Curve Simulation'!$B$9:$F$258,4)</f>
        <v>7.4063138539555026E-2</v>
      </c>
      <c r="F105" s="220">
        <f>VLOOKUP(B105,'PJM Curve Simulation'!$B$9:$F$258,5)</f>
        <v>0.5543486622235968</v>
      </c>
      <c r="G105" s="220">
        <f t="shared" si="5"/>
        <v>7.9917864476386038</v>
      </c>
      <c r="H105" s="220">
        <f t="shared" si="4"/>
        <v>2.826974787230796</v>
      </c>
      <c r="I105" s="220">
        <f t="shared" si="6"/>
        <v>0</v>
      </c>
      <c r="J105" s="378">
        <f t="shared" si="7"/>
        <v>4.5939655172413802</v>
      </c>
    </row>
    <row r="106" spans="2:10">
      <c r="B106" s="234">
        <f>'Revenues &amp; Expenses'!K106</f>
        <v>39539</v>
      </c>
      <c r="C106" s="373">
        <f>'Fuel Curve'!F106</f>
        <v>4.4939655172413797</v>
      </c>
      <c r="D106" s="366">
        <f>'Fuel Curve'!D106</f>
        <v>0.17600000000000002</v>
      </c>
      <c r="E106" s="159">
        <f>VLOOKUP(B106,'PJM Curve Simulation'!$B$9:$F$258,4)</f>
        <v>7.4078121078241022E-2</v>
      </c>
      <c r="F106" s="220">
        <f>VLOOKUP(B106,'PJM Curve Simulation'!$B$9:$F$258,5)</f>
        <v>0.55087229945877958</v>
      </c>
      <c r="G106" s="220">
        <f t="shared" si="5"/>
        <v>8.0766598220396997</v>
      </c>
      <c r="H106" s="220">
        <f t="shared" si="4"/>
        <v>2.8419464847248093</v>
      </c>
      <c r="I106" s="220">
        <f t="shared" si="6"/>
        <v>0</v>
      </c>
      <c r="J106" s="378">
        <f t="shared" si="7"/>
        <v>4.4939655172413797</v>
      </c>
    </row>
    <row r="107" spans="2:10">
      <c r="B107" s="234">
        <f>'Revenues &amp; Expenses'!K107</f>
        <v>39569</v>
      </c>
      <c r="C107" s="373">
        <f>'Fuel Curve'!F107</f>
        <v>4.4267241379310347</v>
      </c>
      <c r="D107" s="366">
        <f>'Fuel Curve'!D107</f>
        <v>0.17600000000000002</v>
      </c>
      <c r="E107" s="159">
        <f>VLOOKUP(B107,'PJM Curve Simulation'!$B$9:$F$258,4)</f>
        <v>7.4092620309297016E-2</v>
      </c>
      <c r="F107" s="220">
        <f>VLOOKUP(B107,'PJM Curve Simulation'!$B$9:$F$258,5)</f>
        <v>0.54752755780400564</v>
      </c>
      <c r="G107" s="220">
        <f t="shared" si="5"/>
        <v>8.1587953456536617</v>
      </c>
      <c r="H107" s="220">
        <f t="shared" si="4"/>
        <v>2.8563605069482496</v>
      </c>
      <c r="I107" s="220">
        <f t="shared" si="6"/>
        <v>0</v>
      </c>
      <c r="J107" s="378">
        <f t="shared" si="7"/>
        <v>4.4267241379310347</v>
      </c>
    </row>
    <row r="108" spans="2:10">
      <c r="B108" s="234">
        <f>'Revenues &amp; Expenses'!K108</f>
        <v>39600</v>
      </c>
      <c r="C108" s="373">
        <f>'Fuel Curve'!F108</f>
        <v>4.4201724137931047</v>
      </c>
      <c r="D108" s="366">
        <f>'Fuel Curve'!D108</f>
        <v>0.17600000000000002</v>
      </c>
      <c r="E108" s="159">
        <f>VLOOKUP(B108,'PJM Curve Simulation'!$B$9:$F$258,4)</f>
        <v>7.4107602848128021E-2</v>
      </c>
      <c r="F108" s="220">
        <f>VLOOKUP(B108,'PJM Curve Simulation'!$B$9:$F$258,5)</f>
        <v>0.54409134600917253</v>
      </c>
      <c r="G108" s="220">
        <f t="shared" si="5"/>
        <v>8.2436687200547567</v>
      </c>
      <c r="H108" s="220">
        <f t="shared" si="4"/>
        <v>2.8711789773636118</v>
      </c>
      <c r="I108" s="220">
        <f t="shared" si="6"/>
        <v>0</v>
      </c>
      <c r="J108" s="378">
        <f t="shared" si="7"/>
        <v>4.4201724137931047</v>
      </c>
    </row>
    <row r="109" spans="2:10">
      <c r="B109" s="234">
        <f>'Revenues &amp; Expenses'!K109</f>
        <v>39630</v>
      </c>
      <c r="C109" s="373">
        <f>'Fuel Curve'!F109</f>
        <v>4.477413793103449</v>
      </c>
      <c r="D109" s="366">
        <f>'Fuel Curve'!D109</f>
        <v>0.17600000000000002</v>
      </c>
      <c r="E109" s="159">
        <f>VLOOKUP(B109,'PJM Curve Simulation'!$B$9:$F$258,4)</f>
        <v>7.4122102079324015E-2</v>
      </c>
      <c r="F109" s="220">
        <f>VLOOKUP(B109,'PJM Curve Simulation'!$B$9:$F$258,5)</f>
        <v>0.5407852518288927</v>
      </c>
      <c r="G109" s="220">
        <f t="shared" si="5"/>
        <v>8.3258042436687205</v>
      </c>
      <c r="H109" s="220">
        <f t="shared" si="4"/>
        <v>2.8854469746763187</v>
      </c>
      <c r="I109" s="220">
        <f t="shared" si="6"/>
        <v>0</v>
      </c>
      <c r="J109" s="378">
        <f t="shared" si="7"/>
        <v>4.477413793103449</v>
      </c>
    </row>
    <row r="110" spans="2:10">
      <c r="B110" s="234">
        <f>'Revenues &amp; Expenses'!K110</f>
        <v>39661</v>
      </c>
      <c r="C110" s="373">
        <f>'Fuel Curve'!F110</f>
        <v>4.5679310344827595</v>
      </c>
      <c r="D110" s="366">
        <f>'Fuel Curve'!D110</f>
        <v>0.17600000000000002</v>
      </c>
      <c r="E110" s="159">
        <f>VLOOKUP(B110,'PJM Curve Simulation'!$B$9:$F$258,4)</f>
        <v>7.4137084618301027E-2</v>
      </c>
      <c r="F110" s="220">
        <f>VLOOKUP(B110,'PJM Curve Simulation'!$B$9:$F$258,5)</f>
        <v>0.5373887615622317</v>
      </c>
      <c r="G110" s="220">
        <f t="shared" si="5"/>
        <v>8.4106776180698155</v>
      </c>
      <c r="H110" s="220">
        <f t="shared" si="4"/>
        <v>2.9001168283484402</v>
      </c>
      <c r="I110" s="220">
        <f t="shared" si="6"/>
        <v>0</v>
      </c>
      <c r="J110" s="378">
        <f t="shared" si="7"/>
        <v>4.5679310344827595</v>
      </c>
    </row>
    <row r="111" spans="2:10">
      <c r="B111" s="234">
        <f>'Revenues &amp; Expenses'!K111</f>
        <v>39692</v>
      </c>
      <c r="C111" s="373">
        <f>'Fuel Curve'!F111</f>
        <v>4.6627586206896563</v>
      </c>
      <c r="D111" s="366">
        <f>'Fuel Curve'!D111</f>
        <v>0.17600000000000002</v>
      </c>
      <c r="E111" s="159">
        <f>VLOOKUP(B111,'PJM Curve Simulation'!$B$9:$F$258,4)</f>
        <v>7.4152067157352008E-2</v>
      </c>
      <c r="F111" s="220">
        <f>VLOOKUP(B111,'PJM Curve Simulation'!$B$9:$F$258,5)</f>
        <v>0.53401229440607301</v>
      </c>
      <c r="G111" s="220">
        <f t="shared" si="5"/>
        <v>8.4955509924709105</v>
      </c>
      <c r="H111" s="220">
        <f t="shared" si="4"/>
        <v>2.9147128490592191</v>
      </c>
      <c r="I111" s="220">
        <f t="shared" si="6"/>
        <v>0</v>
      </c>
      <c r="J111" s="378">
        <f t="shared" si="7"/>
        <v>4.6627586206896563</v>
      </c>
    </row>
    <row r="112" spans="2:10">
      <c r="B112" s="234">
        <f>'Revenues &amp; Expenses'!K112</f>
        <v>39722</v>
      </c>
      <c r="C112" s="373">
        <f>'Fuel Curve'!F112</f>
        <v>4.7553448275862067</v>
      </c>
      <c r="D112" s="366">
        <f>'Fuel Curve'!D112</f>
        <v>0.17600000000000002</v>
      </c>
      <c r="E112" s="159">
        <f>VLOOKUP(B112,'PJM Curve Simulation'!$B$9:$F$258,4)</f>
        <v>7.4166566388762012E-2</v>
      </c>
      <c r="F112" s="220">
        <f>VLOOKUP(B112,'PJM Curve Simulation'!$B$9:$F$258,5)</f>
        <v>0.53076370726893729</v>
      </c>
      <c r="G112" s="220">
        <f t="shared" si="5"/>
        <v>8.5776865160848725</v>
      </c>
      <c r="H112" s="220">
        <f t="shared" si="4"/>
        <v>2.928768771358516</v>
      </c>
      <c r="I112" s="220">
        <f t="shared" si="6"/>
        <v>0</v>
      </c>
      <c r="J112" s="378">
        <f t="shared" si="7"/>
        <v>4.7553448275862067</v>
      </c>
    </row>
    <row r="113" spans="2:10">
      <c r="B113" s="234">
        <f>'Revenues &amp; Expenses'!K113</f>
        <v>39753</v>
      </c>
      <c r="C113" s="373">
        <f>'Fuel Curve'!F113</f>
        <v>4.8046551724137938</v>
      </c>
      <c r="D113" s="366">
        <f>'Fuel Curve'!D113</f>
        <v>0.17600000000000002</v>
      </c>
      <c r="E113" s="159">
        <f>VLOOKUP(B113,'PJM Curve Simulation'!$B$9:$F$258,4)</f>
        <v>7.4181548927958016E-2</v>
      </c>
      <c r="F113" s="220">
        <f>VLOOKUP(B113,'PJM Curve Simulation'!$B$9:$F$258,5)</f>
        <v>0.52742632182094185</v>
      </c>
      <c r="G113" s="220">
        <f t="shared" si="5"/>
        <v>8.6625598904859693</v>
      </c>
      <c r="H113" s="220">
        <f t="shared" si="4"/>
        <v>2.9432227048740245</v>
      </c>
      <c r="I113" s="220">
        <f t="shared" si="6"/>
        <v>0</v>
      </c>
      <c r="J113" s="378">
        <f t="shared" si="7"/>
        <v>4.8046551724137938</v>
      </c>
    </row>
    <row r="114" spans="2:10">
      <c r="B114" s="234">
        <f>'Revenues &amp; Expenses'!K114</f>
        <v>39783</v>
      </c>
      <c r="C114" s="373">
        <f>'Fuel Curve'!F114</f>
        <v>4.8474137931034491</v>
      </c>
      <c r="D114" s="366">
        <f>'Fuel Curve'!D114</f>
        <v>0.17600000000000002</v>
      </c>
      <c r="E114" s="159">
        <f>VLOOKUP(B114,'PJM Curve Simulation'!$B$9:$F$258,4)</f>
        <v>7.4196048159509018E-2</v>
      </c>
      <c r="F114" s="220">
        <f>VLOOKUP(B114,'PJM Curve Simulation'!$B$9:$F$258,5)</f>
        <v>0.52421535241972717</v>
      </c>
      <c r="G114" s="220">
        <f t="shared" si="5"/>
        <v>8.7446954140999313</v>
      </c>
      <c r="H114" s="220">
        <f t="shared" si="4"/>
        <v>2.9571431169458018</v>
      </c>
      <c r="I114" s="220">
        <f t="shared" si="6"/>
        <v>0</v>
      </c>
      <c r="J114" s="378">
        <f t="shared" si="7"/>
        <v>4.8474137931034491</v>
      </c>
    </row>
    <row r="115" spans="2:10">
      <c r="B115" s="234">
        <f>'Revenues &amp; Expenses'!K115</f>
        <v>39814</v>
      </c>
      <c r="C115" s="373">
        <f>'Fuel Curve'!F115</f>
        <v>4.7901724137931048</v>
      </c>
      <c r="D115" s="366">
        <f>'Fuel Curve'!D115</f>
        <v>0.17600000000000002</v>
      </c>
      <c r="E115" s="159">
        <f>VLOOKUP(B115,'PJM Curve Simulation'!$B$9:$F$258,4)</f>
        <v>7.4211030698851016E-2</v>
      </c>
      <c r="F115" s="220">
        <f>VLOOKUP(B115,'PJM Curve Simulation'!$B$9:$F$258,5)</f>
        <v>0.5209166296131954</v>
      </c>
      <c r="G115" s="220">
        <f t="shared" si="5"/>
        <v>8.8295687885010263</v>
      </c>
      <c r="H115" s="220">
        <f t="shared" si="4"/>
        <v>2.9714590336232178</v>
      </c>
      <c r="I115" s="220">
        <f t="shared" si="6"/>
        <v>0</v>
      </c>
      <c r="J115" s="378">
        <f t="shared" si="7"/>
        <v>4.7901724137931048</v>
      </c>
    </row>
    <row r="116" spans="2:10">
      <c r="B116" s="234">
        <f>'Revenues &amp; Expenses'!K116</f>
        <v>39845</v>
      </c>
      <c r="C116" s="373">
        <f>'Fuel Curve'!F116</f>
        <v>4.6910344827586217</v>
      </c>
      <c r="D116" s="366">
        <f>'Fuel Curve'!D116</f>
        <v>0.17600000000000002</v>
      </c>
      <c r="E116" s="159">
        <f>VLOOKUP(B116,'PJM Curve Simulation'!$B$9:$F$258,4)</f>
        <v>7.422601323826801E-2</v>
      </c>
      <c r="F116" s="220">
        <f>VLOOKUP(B116,'PJM Curve Simulation'!$B$9:$F$258,5)</f>
        <v>0.51763739574229861</v>
      </c>
      <c r="G116" s="220">
        <f t="shared" si="5"/>
        <v>8.9144421629021213</v>
      </c>
      <c r="H116" s="220">
        <f t="shared" si="4"/>
        <v>2.9857063088827274</v>
      </c>
      <c r="I116" s="220">
        <f t="shared" si="6"/>
        <v>0</v>
      </c>
      <c r="J116" s="378">
        <f t="shared" si="7"/>
        <v>4.6910344827586217</v>
      </c>
    </row>
    <row r="117" spans="2:10">
      <c r="B117" s="234">
        <f>'Revenues &amp; Expenses'!K117</f>
        <v>39873</v>
      </c>
      <c r="C117" s="373">
        <f>'Fuel Curve'!F117</f>
        <v>4.5939655172413802</v>
      </c>
      <c r="D117" s="366">
        <f>'Fuel Curve'!D117</f>
        <v>0.17600000000000002</v>
      </c>
      <c r="E117" s="159">
        <f>VLOOKUP(B117,'PJM Curve Simulation'!$B$9:$F$258,4)</f>
        <v>7.4239545854578023E-2</v>
      </c>
      <c r="F117" s="220">
        <f>VLOOKUP(B117,'PJM Curve Simulation'!$B$9:$F$258,5)</f>
        <v>0.51469216952292873</v>
      </c>
      <c r="G117" s="220">
        <f t="shared" si="5"/>
        <v>8.991101984941821</v>
      </c>
      <c r="H117" s="220">
        <f t="shared" si="4"/>
        <v>2.9985166307595863</v>
      </c>
      <c r="I117" s="220">
        <f t="shared" si="6"/>
        <v>0</v>
      </c>
      <c r="J117" s="378">
        <f t="shared" si="7"/>
        <v>4.5939655172413802</v>
      </c>
    </row>
    <row r="118" spans="2:10">
      <c r="B118" s="234">
        <f>'Revenues &amp; Expenses'!K118</f>
        <v>39904</v>
      </c>
      <c r="C118" s="373">
        <f>'Fuel Curve'!F118</f>
        <v>4.4939655172413797</v>
      </c>
      <c r="D118" s="366">
        <f>'Fuel Curve'!D118</f>
        <v>0.17600000000000002</v>
      </c>
      <c r="E118" s="159">
        <f>VLOOKUP(B118,'PJM Curve Simulation'!$B$9:$F$258,4)</f>
        <v>7.4254528394135003E-2</v>
      </c>
      <c r="F118" s="220">
        <f>VLOOKUP(B118,'PJM Curve Simulation'!$B$9:$F$258,5)</f>
        <v>0.51144973330331744</v>
      </c>
      <c r="G118" s="220">
        <f t="shared" si="5"/>
        <v>9.075975359342916</v>
      </c>
      <c r="H118" s="220">
        <f t="shared" si="4"/>
        <v>3.0126359486906007</v>
      </c>
      <c r="I118" s="220">
        <f t="shared" si="6"/>
        <v>0</v>
      </c>
      <c r="J118" s="378">
        <f t="shared" si="7"/>
        <v>4.4939655172413797</v>
      </c>
    </row>
    <row r="119" spans="2:10">
      <c r="B119" s="234">
        <f>'Revenues &amp; Expenses'!K119</f>
        <v>39934</v>
      </c>
      <c r="C119" s="373">
        <f>'Fuel Curve'!F119</f>
        <v>4.4267241379310347</v>
      </c>
      <c r="D119" s="366">
        <f>'Fuel Curve'!D119</f>
        <v>0.17600000000000002</v>
      </c>
      <c r="E119" s="159">
        <f>VLOOKUP(B119,'PJM Curve Simulation'!$B$9:$F$258,4)</f>
        <v>7.4269027626035003E-2</v>
      </c>
      <c r="F119" s="220">
        <f>VLOOKUP(B119,'PJM Curve Simulation'!$B$9:$F$258,5)</f>
        <v>0.50833015553540151</v>
      </c>
      <c r="G119" s="220">
        <f t="shared" si="5"/>
        <v>9.158110882956878</v>
      </c>
      <c r="H119" s="220">
        <f t="shared" si="4"/>
        <v>3.0262370830714631</v>
      </c>
      <c r="I119" s="220">
        <f t="shared" si="6"/>
        <v>0</v>
      </c>
      <c r="J119" s="378">
        <f t="shared" si="7"/>
        <v>4.4267241379310347</v>
      </c>
    </row>
    <row r="120" spans="2:10">
      <c r="B120" s="234">
        <f>'Revenues &amp; Expenses'!K120</f>
        <v>39965</v>
      </c>
      <c r="C120" s="373">
        <f>'Fuel Curve'!F120</f>
        <v>4.4201724137931047</v>
      </c>
      <c r="D120" s="366">
        <f>'Fuel Curve'!D120</f>
        <v>0.17600000000000002</v>
      </c>
      <c r="E120" s="159">
        <f>VLOOKUP(B120,'PJM Curve Simulation'!$B$9:$F$258,4)</f>
        <v>7.4284010165738018E-2</v>
      </c>
      <c r="F120" s="220">
        <f>VLOOKUP(B120,'PJM Curve Simulation'!$B$9:$F$258,5)</f>
        <v>0.50512536205173364</v>
      </c>
      <c r="G120" s="220">
        <f t="shared" si="5"/>
        <v>9.2429842573579748</v>
      </c>
      <c r="H120" s="220">
        <f t="shared" si="4"/>
        <v>3.0402276653826394</v>
      </c>
      <c r="I120" s="220">
        <f t="shared" si="6"/>
        <v>0</v>
      </c>
      <c r="J120" s="378">
        <f t="shared" si="7"/>
        <v>4.4201724137931047</v>
      </c>
    </row>
    <row r="121" spans="2:10">
      <c r="B121" s="234">
        <f>'Revenues &amp; Expenses'!K121</f>
        <v>39995</v>
      </c>
      <c r="C121" s="373">
        <f>'Fuel Curve'!F121</f>
        <v>4.477413793103449</v>
      </c>
      <c r="D121" s="366">
        <f>'Fuel Curve'!D121</f>
        <v>0.17600000000000002</v>
      </c>
      <c r="E121" s="159">
        <f>VLOOKUP(B121,'PJM Curve Simulation'!$B$9:$F$258,4)</f>
        <v>7.4298509397779017E-2</v>
      </c>
      <c r="F121" s="220">
        <f>VLOOKUP(B121,'PJM Curve Simulation'!$B$9:$F$258,5)</f>
        <v>0.50204201626175271</v>
      </c>
      <c r="G121" s="220">
        <f t="shared" si="5"/>
        <v>9.3251197809719368</v>
      </c>
      <c r="H121" s="220">
        <f t="shared" si="4"/>
        <v>3.0537059093782979</v>
      </c>
      <c r="I121" s="220">
        <f t="shared" si="6"/>
        <v>0</v>
      </c>
      <c r="J121" s="378">
        <f t="shared" si="7"/>
        <v>4.477413793103449</v>
      </c>
    </row>
    <row r="122" spans="2:10">
      <c r="B122" s="234">
        <f>'Revenues &amp; Expenses'!K122</f>
        <v>40026</v>
      </c>
      <c r="C122" s="373">
        <f>'Fuel Curve'!F122</f>
        <v>4.5679310344827595</v>
      </c>
      <c r="D122" s="366">
        <f>'Fuel Curve'!D122</f>
        <v>0.17600000000000002</v>
      </c>
      <c r="E122" s="159">
        <f>VLOOKUP(B122,'PJM Curve Simulation'!$B$9:$F$258,4)</f>
        <v>7.4313491937627998E-2</v>
      </c>
      <c r="F122" s="220">
        <f>VLOOKUP(B122,'PJM Curve Simulation'!$B$9:$F$258,5)</f>
        <v>0.49887446046185019</v>
      </c>
      <c r="G122" s="220">
        <f t="shared" si="5"/>
        <v>9.4099931553730318</v>
      </c>
      <c r="H122" s="220">
        <f t="shared" si="4"/>
        <v>3.0675712143930793</v>
      </c>
      <c r="I122" s="220">
        <f t="shared" si="6"/>
        <v>0</v>
      </c>
      <c r="J122" s="378">
        <f t="shared" si="7"/>
        <v>4.5679310344827595</v>
      </c>
    </row>
    <row r="123" spans="2:10">
      <c r="B123" s="234">
        <f>'Revenues &amp; Expenses'!K123</f>
        <v>40057</v>
      </c>
      <c r="C123" s="373">
        <f>'Fuel Curve'!F123</f>
        <v>4.6627586206896563</v>
      </c>
      <c r="D123" s="366">
        <f>'Fuel Curve'!D123</f>
        <v>0.17600000000000002</v>
      </c>
      <c r="E123" s="159">
        <f>VLOOKUP(B123,'PJM Curve Simulation'!$B$9:$F$258,4)</f>
        <v>7.4328474477551018E-2</v>
      </c>
      <c r="F123" s="220">
        <f>VLOOKUP(B123,'PJM Curve Simulation'!$B$9:$F$258,5)</f>
        <v>0.49572567477130808</v>
      </c>
      <c r="G123" s="220">
        <f t="shared" si="5"/>
        <v>9.4948665297741268</v>
      </c>
      <c r="H123" s="220">
        <f t="shared" si="4"/>
        <v>3.0813741301202175</v>
      </c>
      <c r="I123" s="220">
        <f t="shared" si="6"/>
        <v>0</v>
      </c>
      <c r="J123" s="378">
        <f t="shared" si="7"/>
        <v>4.6627586206896563</v>
      </c>
    </row>
    <row r="124" spans="2:10">
      <c r="B124" s="234">
        <f>'Revenues &amp; Expenses'!K124</f>
        <v>40087</v>
      </c>
      <c r="C124" s="373">
        <f>'Fuel Curve'!F124</f>
        <v>4.7553448275862067</v>
      </c>
      <c r="D124" s="366">
        <f>'Fuel Curve'!D124</f>
        <v>0.17600000000000002</v>
      </c>
      <c r="E124" s="159">
        <f>VLOOKUP(B124,'PJM Curve Simulation'!$B$9:$F$258,4)</f>
        <v>7.4342973709804E-2</v>
      </c>
      <c r="F124" s="220">
        <f>VLOOKUP(B124,'PJM Curve Simulation'!$B$9:$F$258,5)</f>
        <v>0.49269623736971191</v>
      </c>
      <c r="G124" s="220">
        <f t="shared" si="5"/>
        <v>9.5770020533880906</v>
      </c>
      <c r="H124" s="220">
        <f t="shared" si="4"/>
        <v>3.0946731739212932</v>
      </c>
      <c r="I124" s="220">
        <f t="shared" si="6"/>
        <v>0</v>
      </c>
      <c r="J124" s="378">
        <f t="shared" si="7"/>
        <v>4.7553448275862067</v>
      </c>
    </row>
    <row r="125" spans="2:10">
      <c r="B125" s="234">
        <f>'Revenues &amp; Expenses'!K125</f>
        <v>40118</v>
      </c>
      <c r="C125" s="373">
        <f>'Fuel Curve'!F125</f>
        <v>4.8046551724137938</v>
      </c>
      <c r="D125" s="366">
        <f>'Fuel Curve'!D125</f>
        <v>0.17600000000000002</v>
      </c>
      <c r="E125" s="159">
        <f>VLOOKUP(B125,'PJM Curve Simulation'!$B$9:$F$258,4)</f>
        <v>7.4357956249873014E-2</v>
      </c>
      <c r="F125" s="220">
        <f>VLOOKUP(B125,'PJM Curve Simulation'!$B$9:$F$258,5)</f>
        <v>0.48958408593606678</v>
      </c>
      <c r="G125" s="220">
        <f t="shared" si="5"/>
        <v>9.6618754277891856</v>
      </c>
      <c r="H125" s="220">
        <f t="shared" si="4"/>
        <v>3.108355743442051</v>
      </c>
      <c r="I125" s="220">
        <f t="shared" si="6"/>
        <v>0</v>
      </c>
      <c r="J125" s="378">
        <f t="shared" si="7"/>
        <v>4.8046551724137938</v>
      </c>
    </row>
    <row r="126" spans="2:10">
      <c r="B126" s="234">
        <f>'Revenues &amp; Expenses'!K126</f>
        <v>40148</v>
      </c>
      <c r="C126" s="373">
        <f>'Fuel Curve'!F126</f>
        <v>4.8474137931034491</v>
      </c>
      <c r="D126" s="366">
        <f>'Fuel Curve'!D126</f>
        <v>0.17600000000000002</v>
      </c>
      <c r="E126" s="159">
        <f>VLOOKUP(B126,'PJM Curve Simulation'!$B$9:$F$258,4)</f>
        <v>7.4372455482268021E-2</v>
      </c>
      <c r="F126" s="220">
        <f>VLOOKUP(B126,'PJM Curve Simulation'!$B$9:$F$258,5)</f>
        <v>0.48658990934541541</v>
      </c>
      <c r="G126" s="220">
        <f t="shared" si="5"/>
        <v>9.7440109514031477</v>
      </c>
      <c r="H126" s="220">
        <f t="shared" si="4"/>
        <v>3.1215398365875693</v>
      </c>
      <c r="I126" s="220">
        <f t="shared" si="6"/>
        <v>0</v>
      </c>
      <c r="J126" s="378">
        <f t="shared" si="7"/>
        <v>4.8474137931034491</v>
      </c>
    </row>
    <row r="127" spans="2:10">
      <c r="B127" s="234">
        <f>'Revenues &amp; Expenses'!K127</f>
        <v>40179</v>
      </c>
      <c r="C127" s="373">
        <f>'Fuel Curve'!F127</f>
        <v>4.7901724137931048</v>
      </c>
      <c r="D127" s="366">
        <f>'Fuel Curve'!D127</f>
        <v>0.17600000000000002</v>
      </c>
      <c r="E127" s="159">
        <f>VLOOKUP(B127,'PJM Curve Simulation'!$B$9:$F$258,4)</f>
        <v>7.438743802248203E-2</v>
      </c>
      <c r="F127" s="220">
        <f>VLOOKUP(B127,'PJM Curve Simulation'!$B$9:$F$258,5)</f>
        <v>0.48351399697489028</v>
      </c>
      <c r="G127" s="220">
        <f t="shared" si="5"/>
        <v>9.8288843258042444</v>
      </c>
      <c r="H127" s="220">
        <f t="shared" si="4"/>
        <v>3.1351051538671304</v>
      </c>
      <c r="I127" s="220">
        <f t="shared" si="6"/>
        <v>0</v>
      </c>
      <c r="J127" s="378">
        <f t="shared" si="7"/>
        <v>4.7901724137931048</v>
      </c>
    </row>
    <row r="128" spans="2:10">
      <c r="B128" s="234">
        <f>'Revenues &amp; Expenses'!K128</f>
        <v>40210</v>
      </c>
      <c r="C128" s="373">
        <f>'Fuel Curve'!F128</f>
        <v>4.6910344827586217</v>
      </c>
      <c r="D128" s="366">
        <f>'Fuel Curve'!D128</f>
        <v>0.17600000000000002</v>
      </c>
      <c r="E128" s="159">
        <f>VLOOKUP(B128,'PJM Curve Simulation'!$B$9:$F$258,4)</f>
        <v>7.4402420562771021E-2</v>
      </c>
      <c r="F128" s="220">
        <f>VLOOKUP(B128,'PJM Curve Simulation'!$B$9:$F$258,5)</f>
        <v>0.48045635096898015</v>
      </c>
      <c r="G128" s="220">
        <f t="shared" si="5"/>
        <v>9.9137577002053394</v>
      </c>
      <c r="H128" s="220">
        <f t="shared" si="4"/>
        <v>3.1486120275774434</v>
      </c>
      <c r="I128" s="220">
        <f t="shared" si="6"/>
        <v>0</v>
      </c>
      <c r="J128" s="378">
        <f t="shared" si="7"/>
        <v>4.6910344827586217</v>
      </c>
    </row>
    <row r="129" spans="2:10">
      <c r="B129" s="234">
        <f>'Revenues &amp; Expenses'!K129</f>
        <v>40238</v>
      </c>
      <c r="C129" s="373">
        <f>'Fuel Curve'!F129</f>
        <v>4.5939655172413802</v>
      </c>
      <c r="D129" s="366">
        <f>'Fuel Curve'!D129</f>
        <v>0.17600000000000002</v>
      </c>
      <c r="E129" s="159">
        <f>VLOOKUP(B129,'PJM Curve Simulation'!$B$9:$F$258,4)</f>
        <v>7.4415953179869029E-2</v>
      </c>
      <c r="F129" s="220">
        <f>VLOOKUP(B129,'PJM Curve Simulation'!$B$9:$F$258,5)</f>
        <v>0.47771022286491061</v>
      </c>
      <c r="G129" s="220">
        <f t="shared" si="5"/>
        <v>9.9904175222450373</v>
      </c>
      <c r="H129" s="220">
        <f t="shared" si="4"/>
        <v>3.1607621742619356</v>
      </c>
      <c r="I129" s="220">
        <f t="shared" si="6"/>
        <v>0</v>
      </c>
      <c r="J129" s="378">
        <f t="shared" si="7"/>
        <v>4.5939655172413802</v>
      </c>
    </row>
    <row r="130" spans="2:10">
      <c r="B130" s="234">
        <f>'Revenues &amp; Expenses'!K130</f>
        <v>40269</v>
      </c>
      <c r="C130" s="373">
        <f>'Fuel Curve'!F130</f>
        <v>4.4939655172413797</v>
      </c>
      <c r="D130" s="366">
        <f>'Fuel Curve'!D130</f>
        <v>0.17600000000000002</v>
      </c>
      <c r="E130" s="159">
        <f>VLOOKUP(B130,'PJM Curve Simulation'!$B$9:$F$258,4)</f>
        <v>7.4415331083391018E-2</v>
      </c>
      <c r="F130" s="220">
        <f>VLOOKUP(B130,'PJM Curve Simulation'!$B$9:$F$258,5)</f>
        <v>0.47475988376968126</v>
      </c>
      <c r="G130" s="220">
        <f t="shared" si="5"/>
        <v>10.075290896646132</v>
      </c>
      <c r="H130" s="220">
        <f t="shared" si="4"/>
        <v>3.1741598725719742</v>
      </c>
      <c r="I130" s="220">
        <f t="shared" si="6"/>
        <v>0</v>
      </c>
      <c r="J130" s="378">
        <f t="shared" si="7"/>
        <v>4.4939655172413797</v>
      </c>
    </row>
    <row r="131" spans="2:10">
      <c r="B131" s="234">
        <f>'Revenues &amp; Expenses'!K131</f>
        <v>40299</v>
      </c>
      <c r="C131" s="373">
        <f>'Fuel Curve'!F131</f>
        <v>4.4267241379310347</v>
      </c>
      <c r="D131" s="366">
        <f>'Fuel Curve'!D131</f>
        <v>0.17600000000000002</v>
      </c>
      <c r="E131" s="159">
        <f>VLOOKUP(B131,'PJM Curve Simulation'!$B$9:$F$258,4)</f>
        <v>7.4410324519944018E-2</v>
      </c>
      <c r="F131" s="220">
        <f>VLOOKUP(B131,'PJM Curve Simulation'!$B$9:$F$258,5)</f>
        <v>0.4719427106093031</v>
      </c>
      <c r="G131" s="220">
        <f t="shared" si="5"/>
        <v>10.157426420260096</v>
      </c>
      <c r="H131" s="220">
        <f t="shared" si="4"/>
        <v>3.187071762646724</v>
      </c>
      <c r="I131" s="220">
        <f t="shared" si="6"/>
        <v>0</v>
      </c>
      <c r="J131" s="378">
        <f t="shared" si="7"/>
        <v>4.4267241379310347</v>
      </c>
    </row>
    <row r="132" spans="2:10">
      <c r="B132" s="234">
        <f>'Revenues &amp; Expenses'!K132</f>
        <v>40330</v>
      </c>
      <c r="C132" s="373">
        <f>'Fuel Curve'!F132</f>
        <v>4.4201724137931047</v>
      </c>
      <c r="D132" s="366">
        <f>'Fuel Curve'!D132</f>
        <v>0.17600000000000002</v>
      </c>
      <c r="E132" s="159">
        <f>VLOOKUP(B132,'PJM Curve Simulation'!$B$9:$F$258,4)</f>
        <v>7.4405151071058009E-2</v>
      </c>
      <c r="F132" s="220">
        <f>VLOOKUP(B132,'PJM Curve Simulation'!$B$9:$F$258,5)</f>
        <v>0.46904958322754942</v>
      </c>
      <c r="G132" s="220">
        <f t="shared" si="5"/>
        <v>10.242299794661191</v>
      </c>
      <c r="H132" s="220">
        <f t="shared" si="4"/>
        <v>3.2003593227419311</v>
      </c>
      <c r="I132" s="220">
        <f t="shared" si="6"/>
        <v>0</v>
      </c>
      <c r="J132" s="378">
        <f t="shared" si="7"/>
        <v>4.4201724137931047</v>
      </c>
    </row>
    <row r="133" spans="2:10">
      <c r="B133" s="234">
        <f>'Revenues &amp; Expenses'!K133</f>
        <v>40360</v>
      </c>
      <c r="C133" s="373">
        <f>'Fuel Curve'!F133</f>
        <v>4.477413793103449</v>
      </c>
      <c r="D133" s="366">
        <f>'Fuel Curve'!D133</f>
        <v>0.17600000000000002</v>
      </c>
      <c r="E133" s="159">
        <f>VLOOKUP(B133,'PJM Curve Simulation'!$B$9:$F$258,4)</f>
        <v>7.440014450762801E-2</v>
      </c>
      <c r="F133" s="220">
        <f>VLOOKUP(B133,'PJM Curve Simulation'!$B$9:$F$258,5)</f>
        <v>0.46626704623979814</v>
      </c>
      <c r="G133" s="220">
        <f t="shared" si="5"/>
        <v>10.324435318275153</v>
      </c>
      <c r="H133" s="220">
        <f t="shared" si="4"/>
        <v>3.2131659338221477</v>
      </c>
      <c r="I133" s="220">
        <f t="shared" si="6"/>
        <v>0</v>
      </c>
      <c r="J133" s="378">
        <f t="shared" si="7"/>
        <v>4.477413793103449</v>
      </c>
    </row>
    <row r="134" spans="2:10">
      <c r="B134" s="234">
        <f>'Revenues &amp; Expenses'!K134</f>
        <v>40391</v>
      </c>
      <c r="C134" s="373">
        <f>'Fuel Curve'!F134</f>
        <v>4.5679310344827595</v>
      </c>
      <c r="D134" s="366">
        <f>'Fuel Curve'!D134</f>
        <v>0.17600000000000002</v>
      </c>
      <c r="E134" s="159">
        <f>VLOOKUP(B134,'PJM Curve Simulation'!$B$9:$F$258,4)</f>
        <v>7.4394971058760001E-2</v>
      </c>
      <c r="F134" s="220">
        <f>VLOOKUP(B134,'PJM Curve Simulation'!$B$9:$F$258,5)</f>
        <v>0.46340948428482165</v>
      </c>
      <c r="G134" s="220">
        <f t="shared" si="5"/>
        <v>10.40930869267625</v>
      </c>
      <c r="H134" s="220">
        <f t="shared" si="4"/>
        <v>3.2263460280441478</v>
      </c>
      <c r="I134" s="220">
        <f t="shared" si="6"/>
        <v>0</v>
      </c>
      <c r="J134" s="378">
        <f t="shared" si="7"/>
        <v>4.5679310344827595</v>
      </c>
    </row>
    <row r="135" spans="2:10">
      <c r="B135" s="234">
        <f>'Revenues &amp; Expenses'!K135</f>
        <v>40422</v>
      </c>
      <c r="C135" s="373">
        <f>'Fuel Curve'!F135</f>
        <v>4.6627586206896563</v>
      </c>
      <c r="D135" s="366">
        <f>'Fuel Curve'!D135</f>
        <v>0.17600000000000002</v>
      </c>
      <c r="E135" s="159">
        <f>VLOOKUP(B135,'PJM Curve Simulation'!$B$9:$F$258,4)</f>
        <v>7.4389797609900013E-2</v>
      </c>
      <c r="F135" s="220">
        <f>VLOOKUP(B135,'PJM Curve Simulation'!$B$9:$F$258,5)</f>
        <v>0.46056982518632961</v>
      </c>
      <c r="G135" s="220">
        <f t="shared" si="5"/>
        <v>10.494182067077345</v>
      </c>
      <c r="H135" s="220">
        <f t="shared" si="4"/>
        <v>3.2394724982745795</v>
      </c>
      <c r="I135" s="220">
        <f t="shared" si="6"/>
        <v>0</v>
      </c>
      <c r="J135" s="378">
        <f t="shared" si="7"/>
        <v>4.6627586206896563</v>
      </c>
    </row>
    <row r="136" spans="2:10">
      <c r="B136" s="234">
        <f>'Revenues &amp; Expenses'!K136</f>
        <v>40452</v>
      </c>
      <c r="C136" s="373">
        <f>'Fuel Curve'!F136</f>
        <v>4.7553448275862067</v>
      </c>
      <c r="D136" s="366">
        <f>'Fuel Curve'!D136</f>
        <v>0.17600000000000002</v>
      </c>
      <c r="E136" s="159">
        <f>VLOOKUP(B136,'PJM Curve Simulation'!$B$9:$F$258,4)</f>
        <v>7.438479104649702E-2</v>
      </c>
      <c r="F136" s="220">
        <f>VLOOKUP(B136,'PJM Curve Simulation'!$B$9:$F$258,5)</f>
        <v>0.4578387060479096</v>
      </c>
      <c r="G136" s="220">
        <f t="shared" si="5"/>
        <v>10.576317590691307</v>
      </c>
      <c r="H136" s="220">
        <f t="shared" si="4"/>
        <v>3.252125088413929</v>
      </c>
      <c r="I136" s="220">
        <f t="shared" si="6"/>
        <v>0</v>
      </c>
      <c r="J136" s="378">
        <f t="shared" si="7"/>
        <v>4.7553448275862067</v>
      </c>
    </row>
    <row r="137" spans="2:10">
      <c r="B137" s="234">
        <f>'Revenues &amp; Expenses'!K137</f>
        <v>40483</v>
      </c>
      <c r="C137" s="373">
        <f>'Fuel Curve'!F137</f>
        <v>4.8046551724137938</v>
      </c>
      <c r="D137" s="366">
        <f>'Fuel Curve'!D137</f>
        <v>0.17600000000000002</v>
      </c>
      <c r="E137" s="159">
        <f>VLOOKUP(B137,'PJM Curve Simulation'!$B$9:$F$258,4)</f>
        <v>7.4379617597654019E-2</v>
      </c>
      <c r="F137" s="220">
        <f>VLOOKUP(B137,'PJM Curve Simulation'!$B$9:$F$258,5)</f>
        <v>0.45503394153593618</v>
      </c>
      <c r="G137" s="220">
        <f t="shared" si="5"/>
        <v>10.661190965092402</v>
      </c>
      <c r="H137" s="220">
        <f t="shared" si="4"/>
        <v>3.2651479239220391</v>
      </c>
      <c r="I137" s="220">
        <f t="shared" si="6"/>
        <v>0</v>
      </c>
      <c r="J137" s="378">
        <f t="shared" si="7"/>
        <v>4.8046551724137938</v>
      </c>
    </row>
    <row r="138" spans="2:10">
      <c r="B138" s="234">
        <f>'Revenues &amp; Expenses'!K138</f>
        <v>40513</v>
      </c>
      <c r="C138" s="373">
        <f>'Fuel Curve'!F138</f>
        <v>4.8474137931034491</v>
      </c>
      <c r="D138" s="366">
        <f>'Fuel Curve'!D138</f>
        <v>0.17600000000000002</v>
      </c>
      <c r="E138" s="159">
        <f>VLOOKUP(B138,'PJM Curve Simulation'!$B$9:$F$258,4)</f>
        <v>7.4374611034266999E-2</v>
      </c>
      <c r="F138" s="220">
        <f>VLOOKUP(B138,'PJM Curve Simulation'!$B$9:$F$258,5)</f>
        <v>0.45233637889151584</v>
      </c>
      <c r="G138" s="220">
        <f t="shared" si="5"/>
        <v>10.743326488706366</v>
      </c>
      <c r="H138" s="220">
        <f t="shared" si="4"/>
        <v>3.277701403225493</v>
      </c>
      <c r="I138" s="220">
        <f t="shared" si="6"/>
        <v>0</v>
      </c>
      <c r="J138" s="378">
        <f t="shared" si="7"/>
        <v>4.8474137931034491</v>
      </c>
    </row>
    <row r="139" spans="2:10">
      <c r="B139" s="234">
        <f>'Revenues &amp; Expenses'!K139</f>
        <v>40544</v>
      </c>
      <c r="C139" s="373">
        <f>'Fuel Curve'!F139</f>
        <v>4.7901724137931048</v>
      </c>
      <c r="D139" s="366">
        <f>'Fuel Curve'!D139</f>
        <v>0.17600000000000002</v>
      </c>
      <c r="E139" s="159">
        <f>VLOOKUP(B139,'PJM Curve Simulation'!$B$9:$F$258,4)</f>
        <v>7.4369437585442011E-2</v>
      </c>
      <c r="F139" s="220">
        <f>VLOOKUP(B139,'PJM Curve Simulation'!$B$9:$F$258,5)</f>
        <v>0.44956607129656323</v>
      </c>
      <c r="G139" s="220">
        <f t="shared" si="5"/>
        <v>10.828199863107461</v>
      </c>
      <c r="H139" s="220">
        <f t="shared" si="4"/>
        <v>3.2906230205095599</v>
      </c>
      <c r="I139" s="220">
        <f t="shared" si="6"/>
        <v>0</v>
      </c>
      <c r="J139" s="378">
        <f t="shared" si="7"/>
        <v>4.7901724137931048</v>
      </c>
    </row>
    <row r="140" spans="2:10">
      <c r="B140" s="234">
        <f>'Revenues &amp; Expenses'!K140</f>
        <v>40575</v>
      </c>
      <c r="C140" s="373">
        <f>'Fuel Curve'!F140</f>
        <v>4.6910344827586217</v>
      </c>
      <c r="D140" s="366">
        <f>'Fuel Curve'!D140</f>
        <v>0.17600000000000002</v>
      </c>
      <c r="E140" s="159">
        <f>VLOOKUP(B140,'PJM Curve Simulation'!$B$9:$F$258,4)</f>
        <v>7.4364264136626015E-2</v>
      </c>
      <c r="F140" s="220">
        <f>VLOOKUP(B140,'PJM Curve Simulation'!$B$9:$F$258,5)</f>
        <v>0.44681310866161328</v>
      </c>
      <c r="G140" s="220">
        <f t="shared" si="5"/>
        <v>10.913073237508556</v>
      </c>
      <c r="H140" s="220">
        <f t="shared" ref="H140:H203" si="8">SQRT(G140)</f>
        <v>3.3034940952737535</v>
      </c>
      <c r="I140" s="220">
        <f t="shared" si="6"/>
        <v>0</v>
      </c>
      <c r="J140" s="378">
        <f t="shared" si="7"/>
        <v>4.6910344827586217</v>
      </c>
    </row>
    <row r="141" spans="2:10">
      <c r="B141" s="234">
        <f>'Revenues &amp; Expenses'!K141</f>
        <v>40603</v>
      </c>
      <c r="C141" s="373">
        <f>'Fuel Curve'!F141</f>
        <v>4.5939655172413802</v>
      </c>
      <c r="D141" s="366">
        <f>'Fuel Curve'!D141</f>
        <v>0.17600000000000002</v>
      </c>
      <c r="E141" s="159">
        <f>VLOOKUP(B141,'PJM Curve Simulation'!$B$9:$F$258,4)</f>
        <v>7.4359591344155013E-2</v>
      </c>
      <c r="F141" s="220">
        <f>VLOOKUP(B141,'PJM Curve Simulation'!$B$9:$F$258,5)</f>
        <v>0.44434137790091477</v>
      </c>
      <c r="G141" s="220">
        <f t="shared" ref="G141:G204" si="9">(B141-$B$1)/365.25</f>
        <v>10.989733059548255</v>
      </c>
      <c r="H141" s="220">
        <f t="shared" si="8"/>
        <v>3.3150766295137517</v>
      </c>
      <c r="I141" s="220">
        <f t="shared" ref="I141:I204" si="10">IF($I$2=0,0,-(D141^2)/2)</f>
        <v>0</v>
      </c>
      <c r="J141" s="378">
        <f t="shared" ref="J141:J204" si="11">IF(K130=1,C141,EXP(I141*G141+D141*$I$2*H141)*C141)</f>
        <v>4.5939655172413802</v>
      </c>
    </row>
    <row r="142" spans="2:10">
      <c r="B142" s="234">
        <f>'Revenues &amp; Expenses'!K142</f>
        <v>40634</v>
      </c>
      <c r="C142" s="373">
        <f>'Fuel Curve'!F142</f>
        <v>4.4939655172413797</v>
      </c>
      <c r="D142" s="366">
        <f>'Fuel Curve'!D142</f>
        <v>0.17600000000000002</v>
      </c>
      <c r="E142" s="159">
        <f>VLOOKUP(B142,'PJM Curve Simulation'!$B$9:$F$258,4)</f>
        <v>7.4354417895356004E-2</v>
      </c>
      <c r="F142" s="220">
        <f>VLOOKUP(B142,'PJM Curve Simulation'!$B$9:$F$258,5)</f>
        <v>0.44162112096298678</v>
      </c>
      <c r="G142" s="220">
        <f t="shared" si="9"/>
        <v>11.07460643394935</v>
      </c>
      <c r="H142" s="220">
        <f t="shared" si="8"/>
        <v>3.3278531268596199</v>
      </c>
      <c r="I142" s="220">
        <f t="shared" si="10"/>
        <v>0</v>
      </c>
      <c r="J142" s="378">
        <f t="shared" si="11"/>
        <v>4.4939655172413797</v>
      </c>
    </row>
    <row r="143" spans="2:10">
      <c r="B143" s="234">
        <f>'Revenues &amp; Expenses'!K143</f>
        <v>40664</v>
      </c>
      <c r="C143" s="373">
        <f>'Fuel Curve'!F143</f>
        <v>4.4267241379310347</v>
      </c>
      <c r="D143" s="366">
        <f>'Fuel Curve'!D143</f>
        <v>0.17600000000000002</v>
      </c>
      <c r="E143" s="159">
        <f>VLOOKUP(B143,'PJM Curve Simulation'!$B$9:$F$258,4)</f>
        <v>7.4349411332009008E-2</v>
      </c>
      <c r="F143" s="220">
        <f>VLOOKUP(B143,'PJM Curve Simulation'!$B$9:$F$258,5)</f>
        <v>0.43900482552622222</v>
      </c>
      <c r="G143" s="220">
        <f t="shared" si="9"/>
        <v>11.156741957563312</v>
      </c>
      <c r="H143" s="220">
        <f t="shared" si="8"/>
        <v>3.3401709473563344</v>
      </c>
      <c r="I143" s="220">
        <f t="shared" si="10"/>
        <v>0</v>
      </c>
      <c r="J143" s="378">
        <f t="shared" si="11"/>
        <v>4.4267241379310347</v>
      </c>
    </row>
    <row r="144" spans="2:10">
      <c r="B144" s="234">
        <f>'Revenues &amp; Expenses'!K144</f>
        <v>40695</v>
      </c>
      <c r="C144" s="373">
        <f>'Fuel Curve'!F144</f>
        <v>4.4201724137931047</v>
      </c>
      <c r="D144" s="366">
        <f>'Fuel Curve'!D144</f>
        <v>0.17600000000000002</v>
      </c>
      <c r="E144" s="159">
        <f>VLOOKUP(B144,'PJM Curve Simulation'!$B$9:$F$258,4)</f>
        <v>7.4344237883228012E-2</v>
      </c>
      <c r="F144" s="220">
        <f>VLOOKUP(B144,'PJM Curve Simulation'!$B$9:$F$258,5)</f>
        <v>0.43631796601260575</v>
      </c>
      <c r="G144" s="220">
        <f t="shared" si="9"/>
        <v>11.241615331964407</v>
      </c>
      <c r="H144" s="220">
        <f t="shared" si="8"/>
        <v>3.3528518207586222</v>
      </c>
      <c r="I144" s="220">
        <f t="shared" si="10"/>
        <v>0</v>
      </c>
      <c r="J144" s="378">
        <f t="shared" si="11"/>
        <v>4.4201724137931047</v>
      </c>
    </row>
    <row r="145" spans="2:10">
      <c r="B145" s="234">
        <f>'Revenues &amp; Expenses'!K145</f>
        <v>40725</v>
      </c>
      <c r="C145" s="373">
        <f>'Fuel Curve'!F145</f>
        <v>4.477413793103449</v>
      </c>
      <c r="D145" s="366">
        <f>'Fuel Curve'!D145</f>
        <v>0.17600000000000002</v>
      </c>
      <c r="E145" s="159">
        <f>VLOOKUP(B145,'PJM Curve Simulation'!$B$9:$F$258,4)</f>
        <v>7.4339231319899002E-2</v>
      </c>
      <c r="F145" s="220">
        <f>VLOOKUP(B145,'PJM Curve Simulation'!$B$9:$F$258,5)</f>
        <v>0.4337337874939835</v>
      </c>
      <c r="G145" s="220">
        <f t="shared" si="9"/>
        <v>11.323750855578371</v>
      </c>
      <c r="H145" s="220">
        <f t="shared" si="8"/>
        <v>3.3650781351371877</v>
      </c>
      <c r="I145" s="220">
        <f t="shared" si="10"/>
        <v>0</v>
      </c>
      <c r="J145" s="378">
        <f t="shared" si="11"/>
        <v>4.477413793103449</v>
      </c>
    </row>
    <row r="146" spans="2:10">
      <c r="B146" s="234">
        <f>'Revenues &amp; Expenses'!K146</f>
        <v>40756</v>
      </c>
      <c r="C146" s="373">
        <f>'Fuel Curve'!F146</f>
        <v>4.5679310344827595</v>
      </c>
      <c r="D146" s="366">
        <f>'Fuel Curve'!D146</f>
        <v>0.17600000000000002</v>
      </c>
      <c r="E146" s="159">
        <f>VLOOKUP(B146,'PJM Curve Simulation'!$B$9:$F$258,4)</f>
        <v>7.4334057871135006E-2</v>
      </c>
      <c r="F146" s="220">
        <f>VLOOKUP(B146,'PJM Curve Simulation'!$B$9:$F$258,5)</f>
        <v>0.43107990687313497</v>
      </c>
      <c r="G146" s="220">
        <f t="shared" si="9"/>
        <v>11.408624229979466</v>
      </c>
      <c r="H146" s="220">
        <f t="shared" si="8"/>
        <v>3.3776655000132068</v>
      </c>
      <c r="I146" s="220">
        <f t="shared" si="10"/>
        <v>0</v>
      </c>
      <c r="J146" s="378">
        <f t="shared" si="11"/>
        <v>4.5679310344827595</v>
      </c>
    </row>
    <row r="147" spans="2:10">
      <c r="B147" s="234">
        <f>'Revenues &amp; Expenses'!K147</f>
        <v>40787</v>
      </c>
      <c r="C147" s="373">
        <f>'Fuel Curve'!F147</f>
        <v>4.6627586206896563</v>
      </c>
      <c r="D147" s="366">
        <f>'Fuel Curve'!D147</f>
        <v>0.17600000000000002</v>
      </c>
      <c r="E147" s="159">
        <f>VLOOKUP(B147,'PJM Curve Simulation'!$B$9:$F$258,4)</f>
        <v>7.4328884422379032E-2</v>
      </c>
      <c r="F147" s="220">
        <f>VLOOKUP(B147,'PJM Curve Simulation'!$B$9:$F$258,5)</f>
        <v>0.42844262733949767</v>
      </c>
      <c r="G147" s="220">
        <f t="shared" si="9"/>
        <v>11.493497604380561</v>
      </c>
      <c r="H147" s="220">
        <f t="shared" si="8"/>
        <v>3.390206130072412</v>
      </c>
      <c r="I147" s="220">
        <f t="shared" si="10"/>
        <v>0</v>
      </c>
      <c r="J147" s="378">
        <f t="shared" si="11"/>
        <v>4.6627586206896563</v>
      </c>
    </row>
    <row r="148" spans="2:10">
      <c r="B148" s="234">
        <f>'Revenues &amp; Expenses'!K148</f>
        <v>40817</v>
      </c>
      <c r="C148" s="373">
        <f>'Fuel Curve'!F148</f>
        <v>4.7553448275862067</v>
      </c>
      <c r="D148" s="366">
        <f>'Fuel Curve'!D148</f>
        <v>0.17600000000000002</v>
      </c>
      <c r="E148" s="159">
        <f>VLOOKUP(B148,'PJM Curve Simulation'!$B$9:$F$258,4)</f>
        <v>7.4323877859076001E-2</v>
      </c>
      <c r="F148" s="220">
        <f>VLOOKUP(B148,'PJM Curve Simulation'!$B$9:$F$258,5)</f>
        <v>0.42590612792549426</v>
      </c>
      <c r="G148" s="220">
        <f t="shared" si="9"/>
        <v>11.575633127994525</v>
      </c>
      <c r="H148" s="220">
        <f t="shared" si="8"/>
        <v>3.4022982126783838</v>
      </c>
      <c r="I148" s="220">
        <f t="shared" si="10"/>
        <v>0</v>
      </c>
      <c r="J148" s="378">
        <f t="shared" si="11"/>
        <v>4.7553448275862067</v>
      </c>
    </row>
    <row r="149" spans="2:10">
      <c r="B149" s="234">
        <f>'Revenues &amp; Expenses'!K149</f>
        <v>40848</v>
      </c>
      <c r="C149" s="373">
        <f>'Fuel Curve'!F149</f>
        <v>4.8046551724137938</v>
      </c>
      <c r="D149" s="366">
        <f>'Fuel Curve'!D149</f>
        <v>0.17600000000000002</v>
      </c>
      <c r="E149" s="159">
        <f>VLOOKUP(B149,'PJM Curve Simulation'!$B$9:$F$258,4)</f>
        <v>7.4318704410337014E-2</v>
      </c>
      <c r="F149" s="220">
        <f>VLOOKUP(B149,'PJM Curve Simulation'!$B$9:$F$258,5)</f>
        <v>0.42330120614812733</v>
      </c>
      <c r="G149" s="220">
        <f t="shared" si="9"/>
        <v>11.66050650239562</v>
      </c>
      <c r="H149" s="220">
        <f t="shared" si="8"/>
        <v>3.4147483805392778</v>
      </c>
      <c r="I149" s="220">
        <f t="shared" si="10"/>
        <v>0</v>
      </c>
      <c r="J149" s="378">
        <f t="shared" si="11"/>
        <v>4.8046551724137938</v>
      </c>
    </row>
    <row r="150" spans="2:10">
      <c r="B150" s="234">
        <f>'Revenues &amp; Expenses'!K150</f>
        <v>40878</v>
      </c>
      <c r="C150" s="373">
        <f>'Fuel Curve'!F150</f>
        <v>4.8474137931034491</v>
      </c>
      <c r="D150" s="366">
        <f>'Fuel Curve'!D150</f>
        <v>0.17600000000000002</v>
      </c>
      <c r="E150" s="159">
        <f>VLOOKUP(B150,'PJM Curve Simulation'!$B$9:$F$258,4)</f>
        <v>7.4313697847050011E-2</v>
      </c>
      <c r="F150" s="220">
        <f>VLOOKUP(B150,'PJM Curve Simulation'!$B$9:$F$258,5)</f>
        <v>0.42079582396906579</v>
      </c>
      <c r="G150" s="220">
        <f t="shared" si="9"/>
        <v>11.742642026009582</v>
      </c>
      <c r="H150" s="220">
        <f t="shared" si="8"/>
        <v>3.4267538613109614</v>
      </c>
      <c r="I150" s="220">
        <f t="shared" si="10"/>
        <v>0</v>
      </c>
      <c r="J150" s="378">
        <f t="shared" si="11"/>
        <v>4.8474137931034491</v>
      </c>
    </row>
    <row r="151" spans="2:10">
      <c r="B151" s="234">
        <f>'Revenues &amp; Expenses'!K151</f>
        <v>40909</v>
      </c>
      <c r="C151" s="373">
        <f>'Fuel Curve'!F151</f>
        <v>4.7901724137931048</v>
      </c>
      <c r="D151" s="366">
        <f>'Fuel Curve'!D151</f>
        <v>0.17600000000000002</v>
      </c>
      <c r="E151" s="159">
        <f>VLOOKUP(B151,'PJM Curve Simulation'!$B$9:$F$258,4)</f>
        <v>7.4308524398330023E-2</v>
      </c>
      <c r="F151" s="220">
        <f>VLOOKUP(B151,'PJM Curve Simulation'!$B$9:$F$258,5)</f>
        <v>0.41822285469682063</v>
      </c>
      <c r="G151" s="220">
        <f t="shared" si="9"/>
        <v>11.827515400410677</v>
      </c>
      <c r="H151" s="220">
        <f t="shared" si="8"/>
        <v>3.4391154968117421</v>
      </c>
      <c r="I151" s="220">
        <f t="shared" si="10"/>
        <v>0</v>
      </c>
      <c r="J151" s="378">
        <f t="shared" si="11"/>
        <v>4.7901724137931048</v>
      </c>
    </row>
    <row r="152" spans="2:10">
      <c r="B152" s="234">
        <f>'Revenues &amp; Expenses'!K152</f>
        <v>40940</v>
      </c>
      <c r="C152" s="373">
        <f>'Fuel Curve'!F152</f>
        <v>4.6910344827586217</v>
      </c>
      <c r="D152" s="366">
        <f>'Fuel Curve'!D152</f>
        <v>0.17600000000000002</v>
      </c>
      <c r="E152" s="159">
        <f>VLOOKUP(B152,'PJM Curve Simulation'!$B$9:$F$258,4)</f>
        <v>7.4303350949618013E-2</v>
      </c>
      <c r="F152" s="220">
        <f>VLOOKUP(B152,'PJM Curve Simulation'!$B$9:$F$258,5)</f>
        <v>0.4156659699389651</v>
      </c>
      <c r="G152" s="220">
        <f t="shared" si="9"/>
        <v>11.912388774811772</v>
      </c>
      <c r="H152" s="220">
        <f t="shared" si="8"/>
        <v>3.4514328582216072</v>
      </c>
      <c r="I152" s="220">
        <f t="shared" si="10"/>
        <v>0</v>
      </c>
      <c r="J152" s="378">
        <f t="shared" si="11"/>
        <v>4.6910344827586217</v>
      </c>
    </row>
    <row r="153" spans="2:10">
      <c r="B153" s="234">
        <f>'Revenues &amp; Expenses'!K153</f>
        <v>40969</v>
      </c>
      <c r="C153" s="373">
        <f>'Fuel Curve'!F153</f>
        <v>4.5939655172413802</v>
      </c>
      <c r="D153" s="366">
        <f>'Fuel Curve'!D153</f>
        <v>0.17600000000000002</v>
      </c>
      <c r="E153" s="159">
        <f>VLOOKUP(B153,'PJM Curve Simulation'!$B$9:$F$258,4)</f>
        <v>7.4298511271798012E-2</v>
      </c>
      <c r="F153" s="220">
        <f>VLOOKUP(B153,'PJM Curve Simulation'!$B$9:$F$258,5)</f>
        <v>0.41328851596860589</v>
      </c>
      <c r="G153" s="220">
        <f t="shared" si="9"/>
        <v>11.991786447638603</v>
      </c>
      <c r="H153" s="220">
        <f t="shared" si="8"/>
        <v>3.4629158880398183</v>
      </c>
      <c r="I153" s="220">
        <f t="shared" si="10"/>
        <v>0</v>
      </c>
      <c r="J153" s="378">
        <f t="shared" si="11"/>
        <v>4.5939655172413802</v>
      </c>
    </row>
    <row r="154" spans="2:10">
      <c r="B154" s="234">
        <f>'Revenues &amp; Expenses'!K154</f>
        <v>41000</v>
      </c>
      <c r="C154" s="373">
        <f>'Fuel Curve'!F154</f>
        <v>4.4939655172413797</v>
      </c>
      <c r="D154" s="366">
        <f>'Fuel Curve'!D154</f>
        <v>0.17600000000000002</v>
      </c>
      <c r="E154" s="159">
        <f>VLOOKUP(B154,'PJM Curve Simulation'!$B$9:$F$258,4)</f>
        <v>7.4293337823104003E-2</v>
      </c>
      <c r="F154" s="220">
        <f>VLOOKUP(B154,'PJM Curve Simulation'!$B$9:$F$258,5)</f>
        <v>0.41076247150824302</v>
      </c>
      <c r="G154" s="220">
        <f t="shared" si="9"/>
        <v>12.0766598220397</v>
      </c>
      <c r="H154" s="220">
        <f t="shared" si="8"/>
        <v>3.4751488920677485</v>
      </c>
      <c r="I154" s="220">
        <f t="shared" si="10"/>
        <v>0</v>
      </c>
      <c r="J154" s="378">
        <f t="shared" si="11"/>
        <v>4.4939655172413797</v>
      </c>
    </row>
    <row r="155" spans="2:10">
      <c r="B155" s="234">
        <f>'Revenues &amp; Expenses'!K155</f>
        <v>41030</v>
      </c>
      <c r="C155" s="373">
        <f>'Fuel Curve'!F155</f>
        <v>4.4267241379310347</v>
      </c>
      <c r="D155" s="366">
        <f>'Fuel Curve'!D155</f>
        <v>0.17600000000000002</v>
      </c>
      <c r="E155" s="159">
        <f>VLOOKUP(B155,'PJM Curve Simulation'!$B$9:$F$258,4)</f>
        <v>7.4288331259859022E-2</v>
      </c>
      <c r="F155" s="220">
        <f>VLOOKUP(B155,'PJM Curve Simulation'!$B$9:$F$258,5)</f>
        <v>0.40833294287988564</v>
      </c>
      <c r="G155" s="220">
        <f t="shared" si="9"/>
        <v>12.158795345653662</v>
      </c>
      <c r="H155" s="220">
        <f t="shared" si="8"/>
        <v>3.4869464213913099</v>
      </c>
      <c r="I155" s="220">
        <f t="shared" si="10"/>
        <v>0</v>
      </c>
      <c r="J155" s="378">
        <f t="shared" si="11"/>
        <v>4.4267241379310347</v>
      </c>
    </row>
    <row r="156" spans="2:10">
      <c r="B156" s="234">
        <f>'Revenues &amp; Expenses'!K156</f>
        <v>41061</v>
      </c>
      <c r="C156" s="373">
        <f>'Fuel Curve'!F156</f>
        <v>4.4201724137931047</v>
      </c>
      <c r="D156" s="366">
        <f>'Fuel Curve'!D156</f>
        <v>0.17600000000000002</v>
      </c>
      <c r="E156" s="159">
        <f>VLOOKUP(B156,'PJM Curve Simulation'!$B$9:$F$258,4)</f>
        <v>7.4283157811181028E-2</v>
      </c>
      <c r="F156" s="220">
        <f>VLOOKUP(B156,'PJM Curve Simulation'!$B$9:$F$258,5)</f>
        <v>0.40583786348409506</v>
      </c>
      <c r="G156" s="220">
        <f t="shared" si="9"/>
        <v>12.243668720054757</v>
      </c>
      <c r="H156" s="220">
        <f t="shared" si="8"/>
        <v>3.499095414539986</v>
      </c>
      <c r="I156" s="220">
        <f t="shared" si="10"/>
        <v>0</v>
      </c>
      <c r="J156" s="378">
        <f t="shared" si="11"/>
        <v>4.4201724137931047</v>
      </c>
    </row>
    <row r="157" spans="2:10">
      <c r="B157" s="234">
        <f>'Revenues &amp; Expenses'!K157</f>
        <v>41091</v>
      </c>
      <c r="C157" s="373">
        <f>'Fuel Curve'!F157</f>
        <v>4.477413793103449</v>
      </c>
      <c r="D157" s="366">
        <f>'Fuel Curve'!D157</f>
        <v>0.17600000000000002</v>
      </c>
      <c r="E157" s="159">
        <f>VLOOKUP(B157,'PJM Curve Simulation'!$B$9:$F$258,4)</f>
        <v>7.4278151247953006E-2</v>
      </c>
      <c r="F157" s="220">
        <f>VLOOKUP(B157,'PJM Curve Simulation'!$B$9:$F$258,5)</f>
        <v>0.40343811295464965</v>
      </c>
      <c r="G157" s="220">
        <f t="shared" si="9"/>
        <v>12.325804243668721</v>
      </c>
      <c r="H157" s="220">
        <f t="shared" si="8"/>
        <v>3.510812476289316</v>
      </c>
      <c r="I157" s="220">
        <f t="shared" si="10"/>
        <v>0</v>
      </c>
      <c r="J157" s="378">
        <f t="shared" si="11"/>
        <v>4.477413793103449</v>
      </c>
    </row>
    <row r="158" spans="2:10">
      <c r="B158" s="234">
        <f>'Revenues &amp; Expenses'!K158</f>
        <v>41122</v>
      </c>
      <c r="C158" s="373">
        <f>'Fuel Curve'!F158</f>
        <v>4.5679310344827595</v>
      </c>
      <c r="D158" s="366">
        <f>'Fuel Curve'!D158</f>
        <v>0.17600000000000002</v>
      </c>
      <c r="E158" s="159">
        <f>VLOOKUP(B158,'PJM Curve Simulation'!$B$9:$F$258,4)</f>
        <v>7.4272977799293011E-2</v>
      </c>
      <c r="F158" s="220">
        <f>VLOOKUP(B158,'PJM Curve Simulation'!$B$9:$F$258,5)</f>
        <v>0.40097361114942387</v>
      </c>
      <c r="G158" s="220">
        <f t="shared" si="9"/>
        <v>12.410677618069816</v>
      </c>
      <c r="H158" s="220">
        <f t="shared" si="8"/>
        <v>3.5228791659762919</v>
      </c>
      <c r="I158" s="220">
        <f t="shared" si="10"/>
        <v>0</v>
      </c>
      <c r="J158" s="378">
        <f t="shared" si="11"/>
        <v>4.5679310344827595</v>
      </c>
    </row>
    <row r="159" spans="2:10">
      <c r="B159" s="234">
        <f>'Revenues &amp; Expenses'!K159</f>
        <v>41153</v>
      </c>
      <c r="C159" s="373">
        <f>'Fuel Curve'!F159</f>
        <v>4.6627586206896563</v>
      </c>
      <c r="D159" s="366">
        <f>'Fuel Curve'!D159</f>
        <v>0.17600000000000002</v>
      </c>
      <c r="E159" s="159">
        <f>VLOOKUP(B159,'PJM Curve Simulation'!$B$9:$F$258,4)</f>
        <v>7.4267804350642008E-2</v>
      </c>
      <c r="F159" s="220">
        <f>VLOOKUP(B159,'PJM Curve Simulation'!$B$9:$F$258,5)</f>
        <v>0.39852450187009214</v>
      </c>
      <c r="G159" s="220">
        <f t="shared" si="9"/>
        <v>12.495550992470911</v>
      </c>
      <c r="H159" s="220">
        <f t="shared" si="8"/>
        <v>3.5349046652591509</v>
      </c>
      <c r="I159" s="220">
        <f t="shared" si="10"/>
        <v>0</v>
      </c>
      <c r="J159" s="378">
        <f t="shared" si="11"/>
        <v>4.6627586206896563</v>
      </c>
    </row>
    <row r="160" spans="2:10">
      <c r="B160" s="234">
        <f>'Revenues &amp; Expenses'!K160</f>
        <v>41183</v>
      </c>
      <c r="C160" s="373">
        <f>'Fuel Curve'!F160</f>
        <v>4.7553448275862067</v>
      </c>
      <c r="D160" s="366">
        <f>'Fuel Curve'!D160</f>
        <v>0.17600000000000002</v>
      </c>
      <c r="E160" s="159">
        <f>VLOOKUP(B160,'PJM Curve Simulation'!$B$9:$F$258,4)</f>
        <v>7.4262797787439022E-2</v>
      </c>
      <c r="F160" s="220">
        <f>VLOOKUP(B160,'PJM Curve Simulation'!$B$9:$F$258,5)</f>
        <v>0.39616895939848518</v>
      </c>
      <c r="G160" s="220">
        <f t="shared" si="9"/>
        <v>12.577686516084873</v>
      </c>
      <c r="H160" s="220">
        <f t="shared" si="8"/>
        <v>3.5465034211297293</v>
      </c>
      <c r="I160" s="220">
        <f t="shared" si="10"/>
        <v>0</v>
      </c>
      <c r="J160" s="378">
        <f t="shared" si="11"/>
        <v>4.7553448275862067</v>
      </c>
    </row>
    <row r="161" spans="2:10">
      <c r="B161" s="234">
        <f>'Revenues &amp; Expenses'!K161</f>
        <v>41214</v>
      </c>
      <c r="C161" s="373">
        <f>'Fuel Curve'!F161</f>
        <v>4.8046551724137938</v>
      </c>
      <c r="D161" s="366">
        <f>'Fuel Curve'!D161</f>
        <v>0.17600000000000002</v>
      </c>
      <c r="E161" s="159">
        <f>VLOOKUP(B161,'PJM Curve Simulation'!$B$9:$F$258,4)</f>
        <v>7.4257624338805006E-2</v>
      </c>
      <c r="F161" s="220">
        <f>VLOOKUP(B161,'PJM Curve Simulation'!$B$9:$F$258,5)</f>
        <v>0.39374985265197981</v>
      </c>
      <c r="G161" s="220">
        <f t="shared" si="9"/>
        <v>12.662559890485969</v>
      </c>
      <c r="H161" s="220">
        <f t="shared" si="8"/>
        <v>3.5584490849927821</v>
      </c>
      <c r="I161" s="220">
        <f t="shared" si="10"/>
        <v>0</v>
      </c>
      <c r="J161" s="378">
        <f t="shared" si="11"/>
        <v>4.8046551724137938</v>
      </c>
    </row>
    <row r="162" spans="2:10">
      <c r="B162" s="234">
        <f>'Revenues &amp; Expenses'!K162</f>
        <v>41244</v>
      </c>
      <c r="C162" s="373">
        <f>'Fuel Curve'!F162</f>
        <v>4.8474137931034491</v>
      </c>
      <c r="D162" s="366">
        <f>'Fuel Curve'!D162</f>
        <v>0.17600000000000002</v>
      </c>
      <c r="E162" s="159">
        <f>VLOOKUP(B162,'PJM Curve Simulation'!$B$9:$F$258,4)</f>
        <v>7.4252617775620006E-2</v>
      </c>
      <c r="F162" s="220">
        <f>VLOOKUP(B162,'PJM Curve Simulation'!$B$9:$F$258,5)</f>
        <v>0.39142316275722272</v>
      </c>
      <c r="G162" s="220">
        <f t="shared" si="9"/>
        <v>12.744695414099931</v>
      </c>
      <c r="H162" s="220">
        <f t="shared" si="8"/>
        <v>3.5699713463976055</v>
      </c>
      <c r="I162" s="220">
        <f t="shared" si="10"/>
        <v>0</v>
      </c>
      <c r="J162" s="378">
        <f t="shared" si="11"/>
        <v>4.8474137931034491</v>
      </c>
    </row>
    <row r="163" spans="2:10">
      <c r="B163" s="234">
        <f>'Revenues &amp; Expenses'!K163</f>
        <v>41275</v>
      </c>
      <c r="C163" s="373">
        <f>'Fuel Curve'!F163</f>
        <v>4.7901724137931048</v>
      </c>
      <c r="D163" s="366">
        <f>'Fuel Curve'!D163</f>
        <v>0.17600000000000002</v>
      </c>
      <c r="E163" s="159">
        <f>VLOOKUP(B163,'PJM Curve Simulation'!$B$9:$F$258,4)</f>
        <v>7.4247444327003018E-2</v>
      </c>
      <c r="F163" s="220">
        <f>VLOOKUP(B163,'PJM Curve Simulation'!$B$9:$F$258,5)</f>
        <v>0.38903368334708766</v>
      </c>
      <c r="G163" s="220">
        <f t="shared" si="9"/>
        <v>12.829568788501026</v>
      </c>
      <c r="H163" s="220">
        <f t="shared" si="8"/>
        <v>3.5818387440672179</v>
      </c>
      <c r="I163" s="220">
        <f t="shared" si="10"/>
        <v>0</v>
      </c>
      <c r="J163" s="378">
        <f t="shared" si="11"/>
        <v>4.7901724137931048</v>
      </c>
    </row>
    <row r="164" spans="2:10">
      <c r="B164" s="234">
        <f>'Revenues &amp; Expenses'!K164</f>
        <v>41306</v>
      </c>
      <c r="C164" s="373">
        <f>'Fuel Curve'!F164</f>
        <v>4.6910344827586217</v>
      </c>
      <c r="D164" s="366">
        <f>'Fuel Curve'!D164</f>
        <v>0.17600000000000002</v>
      </c>
      <c r="E164" s="159">
        <f>VLOOKUP(B164,'PJM Curve Simulation'!$B$9:$F$258,4)</f>
        <v>7.4242270878395009E-2</v>
      </c>
      <c r="F164" s="220">
        <f>VLOOKUP(B164,'PJM Curve Simulation'!$B$9:$F$258,5)</f>
        <v>0.38665911820070931</v>
      </c>
      <c r="G164" s="220">
        <f t="shared" si="9"/>
        <v>12.914442162902121</v>
      </c>
      <c r="H164" s="220">
        <f t="shared" si="8"/>
        <v>3.5936669521398503</v>
      </c>
      <c r="I164" s="220">
        <f t="shared" si="10"/>
        <v>0</v>
      </c>
      <c r="J164" s="378">
        <f t="shared" si="11"/>
        <v>4.6910344827586217</v>
      </c>
    </row>
    <row r="165" spans="2:10">
      <c r="B165" s="234">
        <f>'Revenues &amp; Expenses'!K165</f>
        <v>41334</v>
      </c>
      <c r="C165" s="373">
        <f>'Fuel Curve'!F165</f>
        <v>4.5939655172413802</v>
      </c>
      <c r="D165" s="366">
        <f>'Fuel Curve'!D165</f>
        <v>0.17600000000000002</v>
      </c>
      <c r="E165" s="159">
        <f>VLOOKUP(B165,'PJM Curve Simulation'!$B$9:$F$258,4)</f>
        <v>7.4237598086112008E-2</v>
      </c>
      <c r="F165" s="220">
        <f>VLOOKUP(B165,'PJM Curve Simulation'!$B$9:$F$258,5)</f>
        <v>0.38452708974175076</v>
      </c>
      <c r="G165" s="220">
        <f t="shared" si="9"/>
        <v>12.991101984941821</v>
      </c>
      <c r="H165" s="220">
        <f t="shared" si="8"/>
        <v>3.6043171315717797</v>
      </c>
      <c r="I165" s="220">
        <f t="shared" si="10"/>
        <v>0</v>
      </c>
      <c r="J165" s="378">
        <f t="shared" si="11"/>
        <v>4.5939655172413802</v>
      </c>
    </row>
    <row r="166" spans="2:10">
      <c r="B166" s="234">
        <f>'Revenues &amp; Expenses'!K166</f>
        <v>41365</v>
      </c>
      <c r="C166" s="373">
        <f>'Fuel Curve'!F166</f>
        <v>4.4939655172413797</v>
      </c>
      <c r="D166" s="366">
        <f>'Fuel Curve'!D166</f>
        <v>0.17600000000000002</v>
      </c>
      <c r="E166" s="159">
        <f>VLOOKUP(B166,'PJM Curve Simulation'!$B$9:$F$258,4)</f>
        <v>7.4232424637521027E-2</v>
      </c>
      <c r="F166" s="220">
        <f>VLOOKUP(B166,'PJM Curve Simulation'!$B$9:$F$258,5)</f>
        <v>0.38218064774511246</v>
      </c>
      <c r="G166" s="220">
        <f t="shared" si="9"/>
        <v>13.075975359342916</v>
      </c>
      <c r="H166" s="220">
        <f t="shared" si="8"/>
        <v>3.6160718133553318</v>
      </c>
      <c r="I166" s="220">
        <f t="shared" si="10"/>
        <v>0</v>
      </c>
      <c r="J166" s="378">
        <f t="shared" si="11"/>
        <v>4.4939655172413797</v>
      </c>
    </row>
    <row r="167" spans="2:10">
      <c r="B167" s="234">
        <f>'Revenues &amp; Expenses'!K167</f>
        <v>41395</v>
      </c>
      <c r="C167" s="373">
        <f>'Fuel Curve'!F167</f>
        <v>4.4267241379310347</v>
      </c>
      <c r="D167" s="366">
        <f>'Fuel Curve'!D167</f>
        <v>0.17600000000000002</v>
      </c>
      <c r="E167" s="159">
        <f>VLOOKUP(B167,'PJM Curve Simulation'!$B$9:$F$258,4)</f>
        <v>7.4227418074377008E-2</v>
      </c>
      <c r="F167" s="220">
        <f>VLOOKUP(B167,'PJM Curve Simulation'!$B$9:$F$258,5)</f>
        <v>0.37992383764982213</v>
      </c>
      <c r="G167" s="220">
        <f t="shared" si="9"/>
        <v>13.158110882956878</v>
      </c>
      <c r="H167" s="220">
        <f t="shared" si="8"/>
        <v>3.6274110441135394</v>
      </c>
      <c r="I167" s="220">
        <f t="shared" si="10"/>
        <v>0</v>
      </c>
      <c r="J167" s="378">
        <f t="shared" si="11"/>
        <v>4.4267241379310347</v>
      </c>
    </row>
    <row r="168" spans="2:10">
      <c r="B168" s="234">
        <f>'Revenues &amp; Expenses'!K168</f>
        <v>41426</v>
      </c>
      <c r="C168" s="373">
        <f>'Fuel Curve'!F168</f>
        <v>4.4201724137931047</v>
      </c>
      <c r="D168" s="366">
        <f>'Fuel Curve'!D168</f>
        <v>0.17600000000000002</v>
      </c>
      <c r="E168" s="159">
        <f>VLOOKUP(B168,'PJM Curve Simulation'!$B$9:$F$258,4)</f>
        <v>7.4222244625802999E-2</v>
      </c>
      <c r="F168" s="220">
        <f>VLOOKUP(B168,'PJM Curve Simulation'!$B$9:$F$258,5)</f>
        <v>0.37760611467099525</v>
      </c>
      <c r="G168" s="220">
        <f t="shared" si="9"/>
        <v>13.242984257357975</v>
      </c>
      <c r="H168" s="220">
        <f t="shared" si="8"/>
        <v>3.6390911306750722</v>
      </c>
      <c r="I168" s="220">
        <f t="shared" si="10"/>
        <v>0</v>
      </c>
      <c r="J168" s="378">
        <f t="shared" si="11"/>
        <v>4.4201724137931047</v>
      </c>
    </row>
    <row r="169" spans="2:10">
      <c r="B169" s="234">
        <f>'Revenues &amp; Expenses'!K169</f>
        <v>41456</v>
      </c>
      <c r="C169" s="373">
        <f>'Fuel Curve'!F169</f>
        <v>4.477413793103449</v>
      </c>
      <c r="D169" s="366">
        <f>'Fuel Curve'!D169</f>
        <v>0.17600000000000002</v>
      </c>
      <c r="E169" s="159">
        <f>VLOOKUP(B169,'PJM Curve Simulation'!$B$9:$F$258,4)</f>
        <v>7.4217238062676022E-2</v>
      </c>
      <c r="F169" s="220">
        <f>VLOOKUP(B169,'PJM Curve Simulation'!$B$9:$F$258,5)</f>
        <v>0.37537692298347058</v>
      </c>
      <c r="G169" s="220">
        <f t="shared" si="9"/>
        <v>13.325119780971937</v>
      </c>
      <c r="H169" s="220">
        <f t="shared" si="8"/>
        <v>3.6503588564649281</v>
      </c>
      <c r="I169" s="220">
        <f t="shared" si="10"/>
        <v>0</v>
      </c>
      <c r="J169" s="378">
        <f t="shared" si="11"/>
        <v>4.477413793103449</v>
      </c>
    </row>
    <row r="170" spans="2:10">
      <c r="B170" s="234">
        <f>'Revenues &amp; Expenses'!K170</f>
        <v>41487</v>
      </c>
      <c r="C170" s="373">
        <f>'Fuel Curve'!F170</f>
        <v>4.5679310344827595</v>
      </c>
      <c r="D170" s="366">
        <f>'Fuel Curve'!D170</f>
        <v>0.17600000000000002</v>
      </c>
      <c r="E170" s="159">
        <f>VLOOKUP(B170,'PJM Curve Simulation'!$B$9:$F$258,4)</f>
        <v>7.4212064614119014E-2</v>
      </c>
      <c r="F170" s="220">
        <f>VLOOKUP(B170,'PJM Curve Simulation'!$B$9:$F$258,5)</f>
        <v>0.37308756018617306</v>
      </c>
      <c r="G170" s="220">
        <f t="shared" si="9"/>
        <v>13.409993155373032</v>
      </c>
      <c r="H170" s="220">
        <f t="shared" si="8"/>
        <v>3.6619657501638421</v>
      </c>
      <c r="I170" s="220">
        <f t="shared" si="10"/>
        <v>0</v>
      </c>
      <c r="J170" s="378">
        <f t="shared" si="11"/>
        <v>4.5679310344827595</v>
      </c>
    </row>
    <row r="171" spans="2:10">
      <c r="B171" s="234">
        <f>'Revenues &amp; Expenses'!K171</f>
        <v>41518</v>
      </c>
      <c r="C171" s="373">
        <f>'Fuel Curve'!F171</f>
        <v>4.6627586206896563</v>
      </c>
      <c r="D171" s="366">
        <f>'Fuel Curve'!D171</f>
        <v>0.17600000000000002</v>
      </c>
      <c r="E171" s="159">
        <f>VLOOKUP(B171,'PJM Curve Simulation'!$B$9:$F$258,4)</f>
        <v>7.4206891165572011E-2</v>
      </c>
      <c r="F171" s="220">
        <f>VLOOKUP(B171,'PJM Curve Simulation'!$B$9:$F$258,5)</f>
        <v>0.37081247389024752</v>
      </c>
      <c r="G171" s="220">
        <f t="shared" si="9"/>
        <v>13.494866529774127</v>
      </c>
      <c r="H171" s="220">
        <f t="shared" si="8"/>
        <v>3.6735359709378277</v>
      </c>
      <c r="I171" s="220">
        <f t="shared" si="10"/>
        <v>0</v>
      </c>
      <c r="J171" s="378">
        <f t="shared" si="11"/>
        <v>4.6627586206896563</v>
      </c>
    </row>
    <row r="172" spans="2:10">
      <c r="B172" s="234">
        <f>'Revenues &amp; Expenses'!K172</f>
        <v>41548</v>
      </c>
      <c r="C172" s="373">
        <f>'Fuel Curve'!F172</f>
        <v>4.7553448275862067</v>
      </c>
      <c r="D172" s="366">
        <f>'Fuel Curve'!D172</f>
        <v>0.17600000000000002</v>
      </c>
      <c r="E172" s="159">
        <f>VLOOKUP(B172,'PJM Curve Simulation'!$B$9:$F$258,4)</f>
        <v>7.420188460247E-2</v>
      </c>
      <c r="F172" s="220">
        <f>VLOOKUP(B172,'PJM Curve Simulation'!$B$9:$F$258,5)</f>
        <v>0.36862428498409106</v>
      </c>
      <c r="G172" s="220">
        <f t="shared" si="9"/>
        <v>13.577002053388091</v>
      </c>
      <c r="H172" s="220">
        <f t="shared" si="8"/>
        <v>3.6846983666764488</v>
      </c>
      <c r="I172" s="220">
        <f t="shared" si="10"/>
        <v>0</v>
      </c>
      <c r="J172" s="378">
        <f t="shared" si="11"/>
        <v>4.7553448275862067</v>
      </c>
    </row>
    <row r="173" spans="2:10">
      <c r="B173" s="234">
        <f>'Revenues &amp; Expenses'!K173</f>
        <v>41579</v>
      </c>
      <c r="C173" s="373">
        <f>'Fuel Curve'!F173</f>
        <v>4.8046551724137938</v>
      </c>
      <c r="D173" s="366">
        <f>'Fuel Curve'!D173</f>
        <v>0.17600000000000002</v>
      </c>
      <c r="E173" s="159">
        <f>VLOOKUP(B173,'PJM Curve Simulation'!$B$9:$F$258,4)</f>
        <v>7.4196711153940012E-2</v>
      </c>
      <c r="F173" s="220">
        <f>VLOOKUP(B173,'PJM Curve Simulation'!$B$9:$F$258,5)</f>
        <v>0.36637702630144681</v>
      </c>
      <c r="G173" s="220">
        <f t="shared" si="9"/>
        <v>13.661875427789186</v>
      </c>
      <c r="H173" s="220">
        <f t="shared" si="8"/>
        <v>3.6961974281400587</v>
      </c>
      <c r="I173" s="220">
        <f t="shared" si="10"/>
        <v>0</v>
      </c>
      <c r="J173" s="378">
        <f t="shared" si="11"/>
        <v>4.8046551724137938</v>
      </c>
    </row>
    <row r="174" spans="2:10">
      <c r="B174" s="234">
        <f>'Revenues &amp; Expenses'!K174</f>
        <v>41609</v>
      </c>
      <c r="C174" s="373">
        <f>'Fuel Curve'!F174</f>
        <v>4.8474137931034491</v>
      </c>
      <c r="D174" s="366">
        <f>'Fuel Curve'!D174</f>
        <v>0.17600000000000002</v>
      </c>
      <c r="E174" s="159">
        <f>VLOOKUP(B174,'PJM Curve Simulation'!$B$9:$F$258,4)</f>
        <v>7.4191704590855015E-2</v>
      </c>
      <c r="F174" s="220">
        <f>VLOOKUP(B174,'PJM Curve Simulation'!$B$9:$F$258,5)</f>
        <v>0.36421559866544645</v>
      </c>
      <c r="G174" s="220">
        <f t="shared" si="9"/>
        <v>13.744010951403148</v>
      </c>
      <c r="H174" s="220">
        <f t="shared" si="8"/>
        <v>3.7072915924436196</v>
      </c>
      <c r="I174" s="220">
        <f t="shared" si="10"/>
        <v>0</v>
      </c>
      <c r="J174" s="378">
        <f t="shared" si="11"/>
        <v>4.8474137931034491</v>
      </c>
    </row>
    <row r="175" spans="2:10">
      <c r="B175" s="234">
        <f>'Revenues &amp; Expenses'!K175</f>
        <v>41640</v>
      </c>
      <c r="C175" s="373">
        <f>'Fuel Curve'!F175</f>
        <v>4.7901724137931048</v>
      </c>
      <c r="D175" s="366">
        <f>'Fuel Curve'!D175</f>
        <v>0.17600000000000002</v>
      </c>
      <c r="E175" s="159">
        <f>VLOOKUP(B175,'PJM Curve Simulation'!$B$9:$F$258,4)</f>
        <v>7.4186531142343026E-2</v>
      </c>
      <c r="F175" s="220">
        <f>VLOOKUP(B175,'PJM Curve Simulation'!$B$9:$F$258,5)</f>
        <v>0.36199582011385734</v>
      </c>
      <c r="G175" s="220">
        <f t="shared" si="9"/>
        <v>13.828884325804244</v>
      </c>
      <c r="H175" s="220">
        <f t="shared" si="8"/>
        <v>3.7187207915900657</v>
      </c>
      <c r="I175" s="220">
        <f t="shared" si="10"/>
        <v>0</v>
      </c>
      <c r="J175" s="378">
        <f t="shared" si="11"/>
        <v>4.7901724137931048</v>
      </c>
    </row>
    <row r="176" spans="2:10">
      <c r="B176" s="234">
        <f>'Revenues &amp; Expenses'!K176</f>
        <v>41671</v>
      </c>
      <c r="C176" s="373">
        <f>'Fuel Curve'!F176</f>
        <v>4.6910344827586217</v>
      </c>
      <c r="D176" s="366">
        <f>'Fuel Curve'!D176</f>
        <v>0.17600000000000002</v>
      </c>
      <c r="E176" s="159">
        <f>VLOOKUP(B176,'PJM Curve Simulation'!$B$9:$F$258,4)</f>
        <v>7.4181357693839017E-2</v>
      </c>
      <c r="F176" s="220">
        <f>VLOOKUP(B176,'PJM Curve Simulation'!$B$9:$F$258,5)</f>
        <v>0.35978987512884081</v>
      </c>
      <c r="G176" s="220">
        <f t="shared" si="9"/>
        <v>13.913757700205339</v>
      </c>
      <c r="H176" s="220">
        <f t="shared" si="8"/>
        <v>3.7301149714459658</v>
      </c>
      <c r="I176" s="220">
        <f t="shared" si="10"/>
        <v>0</v>
      </c>
      <c r="J176" s="378">
        <f t="shared" si="11"/>
        <v>4.6910344827586217</v>
      </c>
    </row>
    <row r="177" spans="2:10">
      <c r="B177" s="234">
        <f>'Revenues &amp; Expenses'!K177</f>
        <v>41699</v>
      </c>
      <c r="C177" s="373">
        <f>'Fuel Curve'!F177</f>
        <v>4.5939655172413802</v>
      </c>
      <c r="D177" s="366">
        <f>'Fuel Curve'!D177</f>
        <v>0.17600000000000002</v>
      </c>
      <c r="E177" s="159">
        <f>VLOOKUP(B177,'PJM Curve Simulation'!$B$9:$F$258,4)</f>
        <v>7.4176684901650025E-2</v>
      </c>
      <c r="F177" s="220">
        <f>VLOOKUP(B177,'PJM Curve Simulation'!$B$9:$F$258,5)</f>
        <v>0.35780922570719148</v>
      </c>
      <c r="G177" s="220">
        <f t="shared" si="9"/>
        <v>13.990417522245037</v>
      </c>
      <c r="H177" s="220">
        <f t="shared" si="8"/>
        <v>3.7403766551304747</v>
      </c>
      <c r="I177" s="220">
        <f t="shared" si="10"/>
        <v>0</v>
      </c>
      <c r="J177" s="378">
        <f t="shared" si="11"/>
        <v>4.5939655172413802</v>
      </c>
    </row>
    <row r="178" spans="2:10">
      <c r="B178" s="234">
        <f>'Revenues &amp; Expenses'!K178</f>
        <v>41730</v>
      </c>
      <c r="C178" s="373">
        <f>'Fuel Curve'!F178</f>
        <v>4.4939655172413797</v>
      </c>
      <c r="D178" s="366">
        <f>'Fuel Curve'!D178</f>
        <v>0.17600000000000002</v>
      </c>
      <c r="E178" s="159">
        <f>VLOOKUP(B178,'PJM Curve Simulation'!$B$9:$F$258,4)</f>
        <v>7.4171511453163003E-2</v>
      </c>
      <c r="F178" s="220">
        <f>VLOOKUP(B178,'PJM Curve Simulation'!$B$9:$F$258,5)</f>
        <v>0.35562936641114601</v>
      </c>
      <c r="G178" s="220">
        <f t="shared" si="9"/>
        <v>14.075290896646132</v>
      </c>
      <c r="H178" s="220">
        <f t="shared" si="8"/>
        <v>3.7517050652531485</v>
      </c>
      <c r="I178" s="220">
        <f t="shared" si="10"/>
        <v>0</v>
      </c>
      <c r="J178" s="378">
        <f t="shared" si="11"/>
        <v>4.4939655172413797</v>
      </c>
    </row>
    <row r="179" spans="2:10">
      <c r="B179" s="234">
        <f>'Revenues &amp; Expenses'!K179</f>
        <v>41760</v>
      </c>
      <c r="C179" s="373">
        <f>'Fuel Curve'!F179</f>
        <v>4.4267241379310347</v>
      </c>
      <c r="D179" s="366">
        <f>'Fuel Curve'!D179</f>
        <v>0.17600000000000002</v>
      </c>
      <c r="E179" s="159">
        <f>VLOOKUP(B179,'PJM Curve Simulation'!$B$9:$F$258,4)</f>
        <v>7.4166504890119014E-2</v>
      </c>
      <c r="F179" s="220">
        <f>VLOOKUP(B179,'PJM Curve Simulation'!$B$9:$F$258,5)</f>
        <v>0.35353275562005493</v>
      </c>
      <c r="G179" s="220">
        <f t="shared" si="9"/>
        <v>14.157426420260096</v>
      </c>
      <c r="H179" s="220">
        <f t="shared" si="8"/>
        <v>3.7626355683563211</v>
      </c>
      <c r="I179" s="220">
        <f t="shared" si="10"/>
        <v>0</v>
      </c>
      <c r="J179" s="378">
        <f t="shared" si="11"/>
        <v>4.4267241379310347</v>
      </c>
    </row>
    <row r="180" spans="2:10">
      <c r="B180" s="234">
        <f>'Revenues &amp; Expenses'!K180</f>
        <v>41791</v>
      </c>
      <c r="C180" s="373">
        <f>'Fuel Curve'!F180</f>
        <v>4.4201724137931047</v>
      </c>
      <c r="D180" s="366">
        <f>'Fuel Curve'!D180</f>
        <v>0.17600000000000002</v>
      </c>
      <c r="E180" s="159">
        <f>VLOOKUP(B180,'PJM Curve Simulation'!$B$9:$F$258,4)</f>
        <v>7.4161331441650019E-2</v>
      </c>
      <c r="F180" s="220">
        <f>VLOOKUP(B180,'PJM Curve Simulation'!$B$9:$F$258,5)</f>
        <v>0.35137953520346754</v>
      </c>
      <c r="G180" s="220">
        <f t="shared" si="9"/>
        <v>14.242299794661191</v>
      </c>
      <c r="H180" s="220">
        <f t="shared" si="8"/>
        <v>3.7738971627034554</v>
      </c>
      <c r="I180" s="220">
        <f t="shared" si="10"/>
        <v>0</v>
      </c>
      <c r="J180" s="378">
        <f t="shared" si="11"/>
        <v>4.4201724137931047</v>
      </c>
    </row>
    <row r="181" spans="2:10">
      <c r="B181" s="234">
        <f>'Revenues &amp; Expenses'!K181</f>
        <v>41821</v>
      </c>
      <c r="C181" s="373">
        <f>'Fuel Curve'!F181</f>
        <v>4.477413793103449</v>
      </c>
      <c r="D181" s="366">
        <f>'Fuel Curve'!D181</f>
        <v>0.17600000000000002</v>
      </c>
      <c r="E181" s="159">
        <f>VLOOKUP(B181,'PJM Curve Simulation'!$B$9:$F$258,4)</f>
        <v>7.4156324878623003E-2</v>
      </c>
      <c r="F181" s="220">
        <f>VLOOKUP(B181,'PJM Curve Simulation'!$B$9:$F$258,5)</f>
        <v>0.34930854264016292</v>
      </c>
      <c r="G181" s="220">
        <f t="shared" si="9"/>
        <v>14.324435318275153</v>
      </c>
      <c r="H181" s="220">
        <f t="shared" si="8"/>
        <v>3.784763574950905</v>
      </c>
      <c r="I181" s="220">
        <f t="shared" si="10"/>
        <v>0</v>
      </c>
      <c r="J181" s="378">
        <f t="shared" si="11"/>
        <v>4.477413793103449</v>
      </c>
    </row>
    <row r="182" spans="2:10">
      <c r="B182" s="234">
        <f>'Revenues &amp; Expenses'!K182</f>
        <v>41852</v>
      </c>
      <c r="C182" s="373">
        <f>'Fuel Curve'!F182</f>
        <v>4.5679310344827595</v>
      </c>
      <c r="D182" s="366">
        <f>'Fuel Curve'!D182</f>
        <v>0.17600000000000002</v>
      </c>
      <c r="E182" s="159">
        <f>VLOOKUP(B182,'PJM Curve Simulation'!$B$9:$F$258,4)</f>
        <v>7.4151151430171008E-2</v>
      </c>
      <c r="F182" s="220">
        <f>VLOOKUP(B182,'PJM Curve Simulation'!$B$9:$F$258,5)</f>
        <v>0.34718162875125624</v>
      </c>
      <c r="G182" s="220">
        <f t="shared" si="9"/>
        <v>14.40930869267625</v>
      </c>
      <c r="H182" s="220">
        <f t="shared" si="8"/>
        <v>3.7959595220018154</v>
      </c>
      <c r="I182" s="220">
        <f t="shared" si="10"/>
        <v>0</v>
      </c>
      <c r="J182" s="378">
        <f t="shared" si="11"/>
        <v>4.5679310344827595</v>
      </c>
    </row>
    <row r="183" spans="2:10">
      <c r="B183" s="234">
        <f>'Revenues &amp; Expenses'!K183</f>
        <v>41883</v>
      </c>
      <c r="C183" s="373">
        <f>'Fuel Curve'!F183</f>
        <v>4.6627586206896563</v>
      </c>
      <c r="D183" s="366">
        <f>'Fuel Curve'!D183</f>
        <v>0.17600000000000002</v>
      </c>
      <c r="E183" s="159">
        <f>VLOOKUP(B183,'PJM Curve Simulation'!$B$9:$F$258,4)</f>
        <v>7.4145977981727007E-2</v>
      </c>
      <c r="F183" s="220">
        <f>VLOOKUP(B183,'PJM Curve Simulation'!$B$9:$F$258,5)</f>
        <v>0.34506795774302679</v>
      </c>
      <c r="G183" s="220">
        <f t="shared" si="9"/>
        <v>14.494182067077345</v>
      </c>
      <c r="H183" s="220">
        <f t="shared" si="8"/>
        <v>3.8071225442684855</v>
      </c>
      <c r="I183" s="220">
        <f t="shared" si="10"/>
        <v>0</v>
      </c>
      <c r="J183" s="378">
        <f t="shared" si="11"/>
        <v>4.6627586206896563</v>
      </c>
    </row>
    <row r="184" spans="2:10">
      <c r="B184" s="234">
        <f>'Revenues &amp; Expenses'!K184</f>
        <v>41913</v>
      </c>
      <c r="C184" s="373">
        <f>'Fuel Curve'!F184</f>
        <v>4.7553448275862067</v>
      </c>
      <c r="D184" s="366">
        <f>'Fuel Curve'!D184</f>
        <v>0.17600000000000002</v>
      </c>
      <c r="E184" s="159">
        <f>VLOOKUP(B184,'PJM Curve Simulation'!$B$9:$F$258,4)</f>
        <v>7.4140971418726012E-2</v>
      </c>
      <c r="F184" s="220">
        <f>VLOOKUP(B184,'PJM Curve Simulation'!$B$9:$F$258,5)</f>
        <v>0.34303499935244847</v>
      </c>
      <c r="G184" s="220">
        <f t="shared" si="9"/>
        <v>14.576317590691307</v>
      </c>
      <c r="H184" s="220">
        <f t="shared" si="8"/>
        <v>3.8178943922915556</v>
      </c>
      <c r="I184" s="220">
        <f t="shared" si="10"/>
        <v>0</v>
      </c>
      <c r="J184" s="378">
        <f t="shared" si="11"/>
        <v>4.7553448275862067</v>
      </c>
    </row>
    <row r="185" spans="2:10">
      <c r="B185" s="234">
        <f>'Revenues &amp; Expenses'!K185</f>
        <v>41944</v>
      </c>
      <c r="C185" s="373">
        <f>'Fuel Curve'!F185</f>
        <v>4.8046551724137938</v>
      </c>
      <c r="D185" s="366">
        <f>'Fuel Curve'!D185</f>
        <v>0.17600000000000002</v>
      </c>
      <c r="E185" s="159">
        <f>VLOOKUP(B185,'PJM Curve Simulation'!$B$9:$F$258,4)</f>
        <v>7.4135797970300024E-2</v>
      </c>
      <c r="F185" s="220">
        <f>VLOOKUP(B185,'PJM Curve Simulation'!$B$9:$F$258,5)</f>
        <v>0.34094714159934225</v>
      </c>
      <c r="G185" s="220">
        <f t="shared" si="9"/>
        <v>14.661190965092402</v>
      </c>
      <c r="H185" s="220">
        <f t="shared" si="8"/>
        <v>3.8289934663162333</v>
      </c>
      <c r="I185" s="220">
        <f t="shared" si="10"/>
        <v>0</v>
      </c>
      <c r="J185" s="378">
        <f t="shared" si="11"/>
        <v>4.8046551724137938</v>
      </c>
    </row>
    <row r="186" spans="2:10">
      <c r="B186" s="234">
        <f>'Revenues &amp; Expenses'!K186</f>
        <v>41974</v>
      </c>
      <c r="C186" s="373">
        <f>'Fuel Curve'!F186</f>
        <v>4.8474137931034491</v>
      </c>
      <c r="D186" s="366">
        <f>'Fuel Curve'!D186</f>
        <v>0.17600000000000002</v>
      </c>
      <c r="E186" s="159">
        <f>VLOOKUP(B186,'PJM Curve Simulation'!$B$9:$F$258,4)</f>
        <v>7.4130791407315016E-2</v>
      </c>
      <c r="F186" s="220">
        <f>VLOOKUP(B186,'PJM Curve Simulation'!$B$9:$F$258,5)</f>
        <v>0.33893900754314626</v>
      </c>
      <c r="G186" s="220">
        <f t="shared" si="9"/>
        <v>14.743326488706366</v>
      </c>
      <c r="H186" s="220">
        <f t="shared" si="8"/>
        <v>3.8397039584721067</v>
      </c>
      <c r="I186" s="220">
        <f t="shared" si="10"/>
        <v>0</v>
      </c>
      <c r="J186" s="378">
        <f t="shared" si="11"/>
        <v>4.8474137931034491</v>
      </c>
    </row>
    <row r="187" spans="2:10">
      <c r="B187" s="234">
        <f>'Revenues &amp; Expenses'!K187</f>
        <v>42005</v>
      </c>
      <c r="C187" s="373">
        <f>'Fuel Curve'!F187</f>
        <v>4.7901724137931048</v>
      </c>
      <c r="D187" s="366">
        <f>'Fuel Curve'!D187</f>
        <v>0.17600000000000002</v>
      </c>
      <c r="E187" s="159">
        <f>VLOOKUP(B187,'PJM Curve Simulation'!$B$9:$F$258,4)</f>
        <v>7.4125617958907028E-2</v>
      </c>
      <c r="F187" s="220">
        <f>VLOOKUP(B187,'PJM Curve Simulation'!$B$9:$F$258,5)</f>
        <v>0.3368766411945725</v>
      </c>
      <c r="G187" s="220">
        <f t="shared" si="9"/>
        <v>14.828199863107461</v>
      </c>
      <c r="H187" s="220">
        <f t="shared" si="8"/>
        <v>3.8507401708122897</v>
      </c>
      <c r="I187" s="220">
        <f t="shared" si="10"/>
        <v>0</v>
      </c>
      <c r="J187" s="378">
        <f t="shared" si="11"/>
        <v>4.7901724137931048</v>
      </c>
    </row>
    <row r="188" spans="2:10">
      <c r="B188" s="234">
        <f>'Revenues &amp; Expenses'!K188</f>
        <v>42036</v>
      </c>
      <c r="C188" s="373">
        <f>'Fuel Curve'!F188</f>
        <v>4.6910344827586217</v>
      </c>
      <c r="D188" s="366">
        <f>'Fuel Curve'!D188</f>
        <v>0.17600000000000002</v>
      </c>
      <c r="E188" s="159">
        <f>VLOOKUP(B188,'PJM Curve Simulation'!$B$9:$F$258,4)</f>
        <v>7.4120444510507005E-2</v>
      </c>
      <c r="F188" s="220">
        <f>VLOOKUP(B188,'PJM Curve Simulation'!$B$9:$F$258,5)</f>
        <v>0.33482710746448036</v>
      </c>
      <c r="G188" s="220">
        <f t="shared" si="9"/>
        <v>14.913073237508556</v>
      </c>
      <c r="H188" s="220">
        <f t="shared" si="8"/>
        <v>3.8617448436566284</v>
      </c>
      <c r="I188" s="220">
        <f t="shared" si="10"/>
        <v>0</v>
      </c>
      <c r="J188" s="378">
        <f t="shared" si="11"/>
        <v>4.6910344827586217</v>
      </c>
    </row>
    <row r="189" spans="2:10">
      <c r="B189" s="234">
        <f>'Revenues &amp; Expenses'!K189</f>
        <v>42064</v>
      </c>
      <c r="C189" s="373">
        <f>'Fuel Curve'!F189</f>
        <v>4.5939655172413802</v>
      </c>
      <c r="D189" s="366">
        <f>'Fuel Curve'!D189</f>
        <v>0.17600000000000002</v>
      </c>
      <c r="E189" s="159">
        <f>VLOOKUP(B189,'PJM Curve Simulation'!$B$9:$F$258,4)</f>
        <v>7.4115771718412007E-2</v>
      </c>
      <c r="F189" s="220">
        <f>VLOOKUP(B189,'PJM Curve Simulation'!$B$9:$F$258,5)</f>
        <v>0.33298687778825248</v>
      </c>
      <c r="G189" s="220">
        <f t="shared" si="9"/>
        <v>14.989733059548255</v>
      </c>
      <c r="H189" s="220">
        <f t="shared" si="8"/>
        <v>3.8716576630105424</v>
      </c>
      <c r="I189" s="220">
        <f t="shared" si="10"/>
        <v>0</v>
      </c>
      <c r="J189" s="378">
        <f t="shared" si="11"/>
        <v>4.5939655172413802</v>
      </c>
    </row>
    <row r="190" spans="2:10">
      <c r="B190" s="234">
        <f>'Revenues &amp; Expenses'!K190</f>
        <v>42095</v>
      </c>
      <c r="C190" s="373">
        <f>'Fuel Curve'!F190</f>
        <v>4.4939655172413797</v>
      </c>
      <c r="D190" s="366">
        <f>'Fuel Curve'!D190</f>
        <v>0.17600000000000002</v>
      </c>
      <c r="E190" s="159">
        <f>VLOOKUP(B190,'PJM Curve Simulation'!$B$9:$F$258,4)</f>
        <v>7.4110598270029013E-2</v>
      </c>
      <c r="F190" s="220">
        <f>VLOOKUP(B190,'PJM Curve Simulation'!$B$9:$F$258,5)</f>
        <v>0.33096154261337851</v>
      </c>
      <c r="G190" s="220">
        <f t="shared" si="9"/>
        <v>15.07460643394935</v>
      </c>
      <c r="H190" s="220">
        <f t="shared" si="8"/>
        <v>3.8826030487225127</v>
      </c>
      <c r="I190" s="220">
        <f t="shared" si="10"/>
        <v>0</v>
      </c>
      <c r="J190" s="378">
        <f t="shared" si="11"/>
        <v>4.4939655172413797</v>
      </c>
    </row>
    <row r="191" spans="2:10">
      <c r="B191" s="234">
        <f>'Revenues &amp; Expenses'!K191</f>
        <v>42125</v>
      </c>
      <c r="C191" s="373">
        <f>'Fuel Curve'!F191</f>
        <v>4.4267241379310347</v>
      </c>
      <c r="D191" s="366">
        <f>'Fuel Curve'!D191</f>
        <v>0.17600000000000002</v>
      </c>
      <c r="E191" s="159">
        <f>VLOOKUP(B191,'PJM Curve Simulation'!$B$9:$F$258,4)</f>
        <v>7.4105591707086013E-2</v>
      </c>
      <c r="F191" s="220">
        <f>VLOOKUP(B191,'PJM Curve Simulation'!$B$9:$F$258,5)</f>
        <v>0.32901353602259137</v>
      </c>
      <c r="G191" s="220">
        <f t="shared" si="9"/>
        <v>15.156741957563312</v>
      </c>
      <c r="H191" s="220">
        <f t="shared" si="8"/>
        <v>3.893166058308239</v>
      </c>
      <c r="I191" s="220">
        <f t="shared" si="10"/>
        <v>0</v>
      </c>
      <c r="J191" s="378">
        <f t="shared" si="11"/>
        <v>4.4267241379310347</v>
      </c>
    </row>
    <row r="192" spans="2:10">
      <c r="B192" s="234">
        <f>'Revenues &amp; Expenses'!K192</f>
        <v>42156</v>
      </c>
      <c r="C192" s="373">
        <f>'Fuel Curve'!F192</f>
        <v>4.4201724137931047</v>
      </c>
      <c r="D192" s="366">
        <f>'Fuel Curve'!D192</f>
        <v>0.17600000000000002</v>
      </c>
      <c r="E192" s="159">
        <f>VLOOKUP(B192,'PJM Curve Simulation'!$B$9:$F$258,4)</f>
        <v>7.4100418258720005E-2</v>
      </c>
      <c r="F192" s="220">
        <f>VLOOKUP(B192,'PJM Curve Simulation'!$B$9:$F$258,5)</f>
        <v>0.32701291302975755</v>
      </c>
      <c r="G192" s="220">
        <f t="shared" si="9"/>
        <v>15.241615331964407</v>
      </c>
      <c r="H192" s="220">
        <f t="shared" si="8"/>
        <v>3.9040511436153609</v>
      </c>
      <c r="I192" s="220">
        <f t="shared" si="10"/>
        <v>0</v>
      </c>
      <c r="J192" s="378">
        <f t="shared" si="11"/>
        <v>4.4201724137931047</v>
      </c>
    </row>
    <row r="193" spans="2:10">
      <c r="B193" s="234">
        <f>'Revenues &amp; Expenses'!K193</f>
        <v>42186</v>
      </c>
      <c r="C193" s="373">
        <f>'Fuel Curve'!F193</f>
        <v>4.477413793103449</v>
      </c>
      <c r="D193" s="366">
        <f>'Fuel Curve'!D193</f>
        <v>0.17600000000000002</v>
      </c>
      <c r="E193" s="159">
        <f>VLOOKUP(B193,'PJM Curve Simulation'!$B$9:$F$258,4)</f>
        <v>7.4095411695795005E-2</v>
      </c>
      <c r="F193" s="220">
        <f>VLOOKUP(B193,'PJM Curve Simulation'!$B$9:$F$258,5)</f>
        <v>0.32508867201252911</v>
      </c>
      <c r="G193" s="220">
        <f t="shared" si="9"/>
        <v>15.323750855578371</v>
      </c>
      <c r="H193" s="220">
        <f t="shared" si="8"/>
        <v>3.9145562782489627</v>
      </c>
      <c r="I193" s="220">
        <f t="shared" si="10"/>
        <v>0</v>
      </c>
      <c r="J193" s="378">
        <f t="shared" si="11"/>
        <v>4.477413793103449</v>
      </c>
    </row>
    <row r="194" spans="2:10">
      <c r="B194" s="234">
        <f>'Revenues &amp; Expenses'!K194</f>
        <v>42217</v>
      </c>
      <c r="C194" s="373">
        <f>'Fuel Curve'!F194</f>
        <v>4.5679310344827595</v>
      </c>
      <c r="D194" s="366">
        <f>'Fuel Curve'!D194</f>
        <v>0.17600000000000002</v>
      </c>
      <c r="E194" s="159">
        <f>VLOOKUP(B194,'PJM Curve Simulation'!$B$9:$F$258,4)</f>
        <v>7.4090238247446025E-2</v>
      </c>
      <c r="F194" s="220">
        <f>VLOOKUP(B194,'PJM Curve Simulation'!$B$9:$F$258,5)</f>
        <v>0.32311245334580241</v>
      </c>
      <c r="G194" s="220">
        <f t="shared" si="9"/>
        <v>15.408624229979466</v>
      </c>
      <c r="H194" s="220">
        <f t="shared" si="8"/>
        <v>3.9253820489195017</v>
      </c>
      <c r="I194" s="220">
        <f t="shared" si="10"/>
        <v>0</v>
      </c>
      <c r="J194" s="378">
        <f t="shared" si="11"/>
        <v>4.5679310344827595</v>
      </c>
    </row>
    <row r="195" spans="2:10">
      <c r="B195" s="234">
        <f>'Revenues &amp; Expenses'!K195</f>
        <v>42248</v>
      </c>
      <c r="C195" s="373">
        <f>'Fuel Curve'!F195</f>
        <v>4.6627586206896563</v>
      </c>
      <c r="D195" s="366">
        <f>'Fuel Curve'!D195</f>
        <v>0.17600000000000002</v>
      </c>
      <c r="E195" s="159">
        <f>VLOOKUP(B195,'PJM Curve Simulation'!$B$9:$F$258,4)</f>
        <v>7.4085064799107023E-2</v>
      </c>
      <c r="F195" s="220">
        <f>VLOOKUP(B195,'PJM Curve Simulation'!$B$9:$F$258,5)</f>
        <v>0.3211485201528842</v>
      </c>
      <c r="G195" s="220">
        <f t="shared" si="9"/>
        <v>15.493497604380561</v>
      </c>
      <c r="H195" s="220">
        <f t="shared" si="8"/>
        <v>3.9361780453100139</v>
      </c>
      <c r="I195" s="220">
        <f t="shared" si="10"/>
        <v>0</v>
      </c>
      <c r="J195" s="378">
        <f t="shared" si="11"/>
        <v>4.6627586206896563</v>
      </c>
    </row>
    <row r="196" spans="2:10">
      <c r="B196" s="234">
        <f>'Revenues &amp; Expenses'!K196</f>
        <v>42278</v>
      </c>
      <c r="C196" s="373">
        <f>'Fuel Curve'!F196</f>
        <v>4.7553448275862067</v>
      </c>
      <c r="D196" s="366">
        <f>'Fuel Curve'!D196</f>
        <v>0.17600000000000002</v>
      </c>
      <c r="E196" s="159">
        <f>VLOOKUP(B196,'PJM Curve Simulation'!$B$9:$F$258,4)</f>
        <v>7.4080058236206017E-2</v>
      </c>
      <c r="F196" s="220">
        <f>VLOOKUP(B196,'PJM Curve Simulation'!$B$9:$F$258,5)</f>
        <v>0.31925956358972918</v>
      </c>
      <c r="G196" s="220">
        <f t="shared" si="9"/>
        <v>15.575633127994525</v>
      </c>
      <c r="H196" s="220">
        <f t="shared" si="8"/>
        <v>3.9465976648240351</v>
      </c>
      <c r="I196" s="220">
        <f t="shared" si="10"/>
        <v>0</v>
      </c>
      <c r="J196" s="378">
        <f t="shared" si="11"/>
        <v>4.7553448275862067</v>
      </c>
    </row>
    <row r="197" spans="2:10">
      <c r="B197" s="234">
        <f>'Revenues &amp; Expenses'!K197</f>
        <v>42309</v>
      </c>
      <c r="C197" s="373">
        <f>'Fuel Curve'!F197</f>
        <v>4.8046551724137938</v>
      </c>
      <c r="D197" s="366">
        <f>'Fuel Curve'!D197</f>
        <v>0.17600000000000002</v>
      </c>
      <c r="E197" s="159">
        <f>VLOOKUP(B197,'PJM Curve Simulation'!$B$9:$F$258,4)</f>
        <v>7.4074884787884016E-2</v>
      </c>
      <c r="F197" s="220">
        <f>VLOOKUP(B197,'PJM Curve Simulation'!$B$9:$F$258,5)</f>
        <v>0.31731957779626352</v>
      </c>
      <c r="G197" s="220">
        <f t="shared" si="9"/>
        <v>15.66050650239562</v>
      </c>
      <c r="H197" s="220">
        <f t="shared" si="8"/>
        <v>3.9573357833769451</v>
      </c>
      <c r="I197" s="220">
        <f t="shared" si="10"/>
        <v>0</v>
      </c>
      <c r="J197" s="378">
        <f t="shared" si="11"/>
        <v>4.8046551724137938</v>
      </c>
    </row>
    <row r="198" spans="2:10">
      <c r="B198" s="234">
        <f>'Revenues &amp; Expenses'!K198</f>
        <v>42339</v>
      </c>
      <c r="C198" s="373">
        <f>'Fuel Curve'!F198</f>
        <v>4.8474137931034491</v>
      </c>
      <c r="D198" s="366">
        <f>'Fuel Curve'!D198</f>
        <v>0.17600000000000002</v>
      </c>
      <c r="E198" s="159">
        <f>VLOOKUP(B198,'PJM Curve Simulation'!$B$9:$F$258,4)</f>
        <v>7.4069878224999997E-2</v>
      </c>
      <c r="F198" s="220">
        <f>VLOOKUP(B198,'PJM Curve Simulation'!$B$9:$F$258,5)</f>
        <v>0.31545365140992127</v>
      </c>
      <c r="G198" s="220">
        <f t="shared" si="9"/>
        <v>15.742642026009582</v>
      </c>
      <c r="H198" s="220">
        <f t="shared" si="8"/>
        <v>3.967699840714968</v>
      </c>
      <c r="I198" s="220">
        <f t="shared" si="10"/>
        <v>0</v>
      </c>
      <c r="J198" s="378">
        <f t="shared" si="11"/>
        <v>4.8474137931034491</v>
      </c>
    </row>
    <row r="199" spans="2:10">
      <c r="B199" s="234">
        <f>'Revenues &amp; Expenses'!K199</f>
        <v>42370</v>
      </c>
      <c r="C199" s="373">
        <f>'Fuel Curve'!F199</f>
        <v>4.7901724137931048</v>
      </c>
      <c r="D199" s="366">
        <f>'Fuel Curve'!D199</f>
        <v>0.17600000000000002</v>
      </c>
      <c r="E199" s="159">
        <f>VLOOKUP(B199,'PJM Curve Simulation'!$B$9:$F$258,4)</f>
        <v>7.4064704776695009E-2</v>
      </c>
      <c r="F199" s="220">
        <f>VLOOKUP(B199,'PJM Curve Simulation'!$B$9:$F$258,5)</f>
        <v>0.31353731487340242</v>
      </c>
      <c r="G199" s="220">
        <f t="shared" si="9"/>
        <v>15.827515400410677</v>
      </c>
      <c r="H199" s="220">
        <f t="shared" si="8"/>
        <v>3.9783810024192854</v>
      </c>
      <c r="I199" s="220">
        <f t="shared" si="10"/>
        <v>0</v>
      </c>
      <c r="J199" s="378">
        <f t="shared" si="11"/>
        <v>4.7901724137931048</v>
      </c>
    </row>
    <row r="200" spans="2:10">
      <c r="B200" s="234">
        <f>'Revenues &amp; Expenses'!K200</f>
        <v>42401</v>
      </c>
      <c r="C200" s="373">
        <f>'Fuel Curve'!F200</f>
        <v>4.6910344827586217</v>
      </c>
      <c r="D200" s="366">
        <f>'Fuel Curve'!D200</f>
        <v>0.17600000000000002</v>
      </c>
      <c r="E200" s="159">
        <f>VLOOKUP(B200,'PJM Curve Simulation'!$B$9:$F$258,4)</f>
        <v>7.4059531328399014E-2</v>
      </c>
      <c r="F200" s="220">
        <f>VLOOKUP(B200,'PJM Curve Simulation'!$B$9:$F$258,5)</f>
        <v>0.31163288376917858</v>
      </c>
      <c r="G200" s="220">
        <f t="shared" si="9"/>
        <v>15.912388774811772</v>
      </c>
      <c r="H200" s="220">
        <f t="shared" si="8"/>
        <v>3.9890335640116859</v>
      </c>
      <c r="I200" s="220">
        <f t="shared" si="10"/>
        <v>0</v>
      </c>
      <c r="J200" s="378">
        <f t="shared" si="11"/>
        <v>4.6910344827586217</v>
      </c>
    </row>
    <row r="201" spans="2:10">
      <c r="B201" s="234">
        <f>'Revenues &amp; Expenses'!K201</f>
        <v>42430</v>
      </c>
      <c r="C201" s="373">
        <f>'Fuel Curve'!F201</f>
        <v>4.5939655172413802</v>
      </c>
      <c r="D201" s="366">
        <f>'Fuel Curve'!D201</f>
        <v>0.17600000000000002</v>
      </c>
      <c r="E201" s="159">
        <f>VLOOKUP(B201,'PJM Curve Simulation'!$B$9:$F$258,4)</f>
        <v>7.4054691650970006E-2</v>
      </c>
      <c r="F201" s="220">
        <f>VLOOKUP(B201,'PJM Curve Simulation'!$B$9:$F$258,5)</f>
        <v>0.30986203034504556</v>
      </c>
      <c r="G201" s="220">
        <f t="shared" si="9"/>
        <v>15.991786447638603</v>
      </c>
      <c r="H201" s="220">
        <f t="shared" si="8"/>
        <v>3.9989731741584116</v>
      </c>
      <c r="I201" s="220">
        <f t="shared" si="10"/>
        <v>0</v>
      </c>
      <c r="J201" s="378">
        <f t="shared" si="11"/>
        <v>4.5939655172413802</v>
      </c>
    </row>
    <row r="202" spans="2:10">
      <c r="B202" s="234">
        <f>'Revenues &amp; Expenses'!K202</f>
        <v>42461</v>
      </c>
      <c r="C202" s="373">
        <f>'Fuel Curve'!F202</f>
        <v>4.4939655172413797</v>
      </c>
      <c r="D202" s="366">
        <f>'Fuel Curve'!D202</f>
        <v>0.17600000000000002</v>
      </c>
      <c r="E202" s="159">
        <f>VLOOKUP(B202,'PJM Curve Simulation'!$B$9:$F$258,4)</f>
        <v>7.4049518202690998E-2</v>
      </c>
      <c r="F202" s="220">
        <f>VLOOKUP(B202,'PJM Curve Simulation'!$B$9:$F$258,5)</f>
        <v>0.30798042788332364</v>
      </c>
      <c r="G202" s="220">
        <f t="shared" si="9"/>
        <v>16.076659822039698</v>
      </c>
      <c r="H202" s="220">
        <f t="shared" si="8"/>
        <v>4.0095710271847906</v>
      </c>
      <c r="I202" s="220">
        <f t="shared" si="10"/>
        <v>0</v>
      </c>
      <c r="J202" s="378">
        <f t="shared" si="11"/>
        <v>4.4939655172413797</v>
      </c>
    </row>
    <row r="203" spans="2:10">
      <c r="B203" s="234">
        <f>'Revenues &amp; Expenses'!K203</f>
        <v>42491</v>
      </c>
      <c r="C203" s="373">
        <f>'Fuel Curve'!F203</f>
        <v>4.4267241379310347</v>
      </c>
      <c r="D203" s="366">
        <f>'Fuel Curve'!D203</f>
        <v>0.17600000000000002</v>
      </c>
      <c r="E203" s="159">
        <f>VLOOKUP(B203,'PJM Curve Simulation'!$B$9:$F$258,4)</f>
        <v>7.4044511639849001E-2</v>
      </c>
      <c r="F203" s="220">
        <f>VLOOKUP(B203,'PJM Curve Simulation'!$B$9:$F$258,5)</f>
        <v>0.30617064880957845</v>
      </c>
      <c r="G203" s="220">
        <f t="shared" si="9"/>
        <v>16.158795345653662</v>
      </c>
      <c r="H203" s="220">
        <f t="shared" si="8"/>
        <v>4.0198004111713885</v>
      </c>
      <c r="I203" s="220">
        <f t="shared" si="10"/>
        <v>0</v>
      </c>
      <c r="J203" s="378">
        <f t="shared" si="11"/>
        <v>4.4267241379310347</v>
      </c>
    </row>
    <row r="204" spans="2:10">
      <c r="B204" s="234">
        <f>'Revenues &amp; Expenses'!K204</f>
        <v>42522</v>
      </c>
      <c r="C204" s="373">
        <f>'Fuel Curve'!F204</f>
        <v>4.4201724137931047</v>
      </c>
      <c r="D204" s="366">
        <f>'Fuel Curve'!D204</f>
        <v>0.17600000000000002</v>
      </c>
      <c r="E204" s="159">
        <f>VLOOKUP(B204,'PJM Curve Simulation'!$B$9:$F$258,4)</f>
        <v>7.4039338191588006E-2</v>
      </c>
      <c r="F204" s="220">
        <f>VLOOKUP(B204,'PJM Curve Simulation'!$B$9:$F$258,5)</f>
        <v>0.30431196905341251</v>
      </c>
      <c r="G204" s="220">
        <f t="shared" si="9"/>
        <v>16.243668720054757</v>
      </c>
      <c r="H204" s="220">
        <f t="shared" ref="H204:H246" si="12">SQRT(G204)</f>
        <v>4.0303434990152835</v>
      </c>
      <c r="I204" s="220">
        <f t="shared" si="10"/>
        <v>0</v>
      </c>
      <c r="J204" s="378">
        <f t="shared" si="11"/>
        <v>4.4201724137931047</v>
      </c>
    </row>
    <row r="205" spans="2:10">
      <c r="B205" s="234">
        <f>'Revenues &amp; Expenses'!K205</f>
        <v>42552</v>
      </c>
      <c r="C205" s="373">
        <f>'Fuel Curve'!F205</f>
        <v>4.477413793103449</v>
      </c>
      <c r="D205" s="366">
        <f>'Fuel Curve'!D205</f>
        <v>0.17600000000000002</v>
      </c>
      <c r="E205" s="159">
        <f>VLOOKUP(B205,'PJM Curve Simulation'!$B$9:$F$258,4)</f>
        <v>7.4034331628763009E-2</v>
      </c>
      <c r="F205" s="220">
        <f>VLOOKUP(B205,'PJM Curve Simulation'!$B$9:$F$258,5)</f>
        <v>0.30252423483066748</v>
      </c>
      <c r="G205" s="220">
        <f t="shared" ref="G205:G246" si="13">(B205-$B$1)/365.25</f>
        <v>16.325804243668721</v>
      </c>
      <c r="H205" s="220">
        <f t="shared" si="12"/>
        <v>4.0405202936835645</v>
      </c>
      <c r="I205" s="220">
        <f t="shared" ref="I205:I246" si="14">IF($I$2=0,0,-(D205^2)/2)</f>
        <v>0</v>
      </c>
      <c r="J205" s="378">
        <f t="shared" ref="J205:J258" si="15">IF(K194=1,C205,EXP(I205*G205+D205*$I$2*H205)*C205)</f>
        <v>4.477413793103449</v>
      </c>
    </row>
    <row r="206" spans="2:10">
      <c r="B206" s="234">
        <f>'Revenues &amp; Expenses'!K206</f>
        <v>42583</v>
      </c>
      <c r="C206" s="373">
        <f>'Fuel Curve'!F206</f>
        <v>4.5679310344827595</v>
      </c>
      <c r="D206" s="366">
        <f>'Fuel Curve'!D206</f>
        <v>0.17600000000000002</v>
      </c>
      <c r="E206" s="159">
        <f>VLOOKUP(B206,'PJM Curve Simulation'!$B$9:$F$258,4)</f>
        <v>7.4029158180519014E-2</v>
      </c>
      <c r="F206" s="220">
        <f>VLOOKUP(B206,'PJM Curve Simulation'!$B$9:$F$258,5)</f>
        <v>0.30068819264278024</v>
      </c>
      <c r="G206" s="220">
        <f t="shared" si="13"/>
        <v>16.410677618069816</v>
      </c>
      <c r="H206" s="220">
        <f t="shared" si="12"/>
        <v>4.0510094566749428</v>
      </c>
      <c r="I206" s="220">
        <f t="shared" si="14"/>
        <v>0</v>
      </c>
      <c r="J206" s="378">
        <f t="shared" si="15"/>
        <v>4.5679310344827595</v>
      </c>
    </row>
    <row r="207" spans="2:10">
      <c r="B207" s="234">
        <f>'Revenues &amp; Expenses'!K207</f>
        <v>42614</v>
      </c>
      <c r="C207" s="373">
        <f>'Fuel Curve'!F207</f>
        <v>4.6627586206896563</v>
      </c>
      <c r="D207" s="366">
        <f>'Fuel Curve'!D207</f>
        <v>0.17600000000000002</v>
      </c>
      <c r="E207" s="159">
        <f>VLOOKUP(B207,'PJM Curve Simulation'!$B$9:$F$258,4)</f>
        <v>7.4023984732284026E-2</v>
      </c>
      <c r="F207" s="220">
        <f>VLOOKUP(B207,'PJM Curve Simulation'!$B$9:$F$258,5)</f>
        <v>0.29886354668035636</v>
      </c>
      <c r="G207" s="220">
        <f t="shared" si="13"/>
        <v>16.495550992470911</v>
      </c>
      <c r="H207" s="220">
        <f t="shared" si="12"/>
        <v>4.0614715304272302</v>
      </c>
      <c r="I207" s="220">
        <f t="shared" si="14"/>
        <v>0</v>
      </c>
      <c r="J207" s="378">
        <f t="shared" si="15"/>
        <v>4.6627586206896563</v>
      </c>
    </row>
    <row r="208" spans="2:10">
      <c r="B208" s="234">
        <f>'Revenues &amp; Expenses'!K208</f>
        <v>42644</v>
      </c>
      <c r="C208" s="373">
        <f>'Fuel Curve'!F208</f>
        <v>4.7553448275862067</v>
      </c>
      <c r="D208" s="366">
        <f>'Fuel Curve'!D208</f>
        <v>0.17600000000000002</v>
      </c>
      <c r="E208" s="159">
        <f>VLOOKUP(B208,'PJM Curve Simulation'!$B$9:$F$258,4)</f>
        <v>7.4018978169484009E-2</v>
      </c>
      <c r="F208" s="220">
        <f>VLOOKUP(B208,'PJM Curve Simulation'!$B$9:$F$258,5)</f>
        <v>0.29710854294764383</v>
      </c>
      <c r="G208" s="220">
        <f t="shared" si="13"/>
        <v>16.577686516084874</v>
      </c>
      <c r="H208" s="220">
        <f t="shared" si="12"/>
        <v>4.0715705220571676</v>
      </c>
      <c r="I208" s="220">
        <f t="shared" si="14"/>
        <v>0</v>
      </c>
      <c r="J208" s="378">
        <f t="shared" si="15"/>
        <v>4.7553448275862067</v>
      </c>
    </row>
    <row r="209" spans="2:10">
      <c r="B209" s="234">
        <f>'Revenues &amp; Expenses'!K209</f>
        <v>42675</v>
      </c>
      <c r="C209" s="373">
        <f>'Fuel Curve'!F209</f>
        <v>4.8046551724137938</v>
      </c>
      <c r="D209" s="366">
        <f>'Fuel Curve'!D209</f>
        <v>0.17600000000000002</v>
      </c>
      <c r="E209" s="159">
        <f>VLOOKUP(B209,'PJM Curve Simulation'!$B$9:$F$258,4)</f>
        <v>7.4013804721266022E-2</v>
      </c>
      <c r="F209" s="220">
        <f>VLOOKUP(B209,'PJM Curve Simulation'!$B$9:$F$258,5)</f>
        <v>0.29530611133658613</v>
      </c>
      <c r="G209" s="220">
        <f t="shared" si="13"/>
        <v>16.662559890485969</v>
      </c>
      <c r="H209" s="220">
        <f t="shared" si="12"/>
        <v>4.0819798983441808</v>
      </c>
      <c r="I209" s="220">
        <f t="shared" si="14"/>
        <v>0</v>
      </c>
      <c r="J209" s="378">
        <f t="shared" si="15"/>
        <v>4.8046551724137938</v>
      </c>
    </row>
    <row r="210" spans="2:10">
      <c r="B210" s="234">
        <f>'Revenues &amp; Expenses'!K210</f>
        <v>42705</v>
      </c>
      <c r="C210" s="373">
        <f>'Fuel Curve'!F210</f>
        <v>4.8474137931034491</v>
      </c>
      <c r="D210" s="366">
        <f>'Fuel Curve'!D210</f>
        <v>0.17600000000000002</v>
      </c>
      <c r="E210" s="159">
        <f>VLOOKUP(B210,'PJM Curve Simulation'!$B$9:$F$258,4)</f>
        <v>7.4008798158483005E-2</v>
      </c>
      <c r="F210" s="220">
        <f>VLOOKUP(B210,'PJM Curve Simulation'!$B$9:$F$258,5)</f>
        <v>0.29357247131203396</v>
      </c>
      <c r="G210" s="220">
        <f t="shared" si="13"/>
        <v>16.744695414099933</v>
      </c>
      <c r="H210" s="220">
        <f t="shared" si="12"/>
        <v>4.0920282763074756</v>
      </c>
      <c r="I210" s="220">
        <f t="shared" si="14"/>
        <v>0</v>
      </c>
      <c r="J210" s="378">
        <f t="shared" si="15"/>
        <v>4.8474137931034491</v>
      </c>
    </row>
    <row r="211" spans="2:10">
      <c r="B211" s="234">
        <f>'Revenues &amp; Expenses'!K211</f>
        <v>42736</v>
      </c>
      <c r="C211" s="373">
        <f>'Fuel Curve'!F211</f>
        <v>4.7901724137931048</v>
      </c>
      <c r="D211" s="366">
        <f>'Fuel Curve'!D211</f>
        <v>0.17600000000000002</v>
      </c>
      <c r="E211" s="159">
        <f>VLOOKUP(B211,'PJM Curve Simulation'!$B$9:$F$258,4)</f>
        <v>7.4003624710283017E-2</v>
      </c>
      <c r="F211" s="220">
        <f>VLOOKUP(B211,'PJM Curve Simulation'!$B$9:$F$258,5)</f>
        <v>0.29179197789887656</v>
      </c>
      <c r="G211" s="220">
        <f t="shared" si="13"/>
        <v>16.829568788501028</v>
      </c>
      <c r="H211" s="220">
        <f t="shared" si="12"/>
        <v>4.1023857435035325</v>
      </c>
      <c r="I211" s="220">
        <f t="shared" si="14"/>
        <v>0</v>
      </c>
      <c r="J211" s="378">
        <f t="shared" si="15"/>
        <v>4.7901724137931048</v>
      </c>
    </row>
    <row r="212" spans="2:10">
      <c r="B212" s="234">
        <f>'Revenues &amp; Expenses'!K212</f>
        <v>42767</v>
      </c>
      <c r="C212" s="373">
        <f>'Fuel Curve'!F212</f>
        <v>4.6910344827586217</v>
      </c>
      <c r="D212" s="366">
        <f>'Fuel Curve'!D212</f>
        <v>0.17600000000000002</v>
      </c>
      <c r="E212" s="159">
        <f>VLOOKUP(B212,'PJM Curve Simulation'!$B$9:$F$258,4)</f>
        <v>7.3998451262091008E-2</v>
      </c>
      <c r="F212" s="220">
        <f>VLOOKUP(B212,'PJM Curve Simulation'!$B$9:$F$258,5)</f>
        <v>0.29002252869908596</v>
      </c>
      <c r="G212" s="220">
        <f t="shared" si="13"/>
        <v>16.914442162902123</v>
      </c>
      <c r="H212" s="220">
        <f t="shared" si="12"/>
        <v>4.1127171265359506</v>
      </c>
      <c r="I212" s="220">
        <f t="shared" si="14"/>
        <v>0</v>
      </c>
      <c r="J212" s="378">
        <f t="shared" si="15"/>
        <v>4.6910344827586217</v>
      </c>
    </row>
    <row r="213" spans="2:10">
      <c r="B213" s="234">
        <f>'Revenues &amp; Expenses'!K213</f>
        <v>42795</v>
      </c>
      <c r="C213" s="373">
        <f>'Fuel Curve'!F213</f>
        <v>4.5939655172413802</v>
      </c>
      <c r="D213" s="366">
        <f>'Fuel Curve'!D213</f>
        <v>0.17600000000000002</v>
      </c>
      <c r="E213" s="159">
        <f>VLOOKUP(B213,'PJM Curve Simulation'!$B$9:$F$258,4)</f>
        <v>7.3993778470185012E-2</v>
      </c>
      <c r="F213" s="220">
        <f>VLOOKUP(B213,'PJM Curve Simulation'!$B$9:$F$258,5)</f>
        <v>0.28843375105362712</v>
      </c>
      <c r="G213" s="220">
        <f t="shared" si="13"/>
        <v>16.991101984941821</v>
      </c>
      <c r="H213" s="220">
        <f t="shared" si="12"/>
        <v>4.1220264415626717</v>
      </c>
      <c r="I213" s="220">
        <f t="shared" si="14"/>
        <v>0</v>
      </c>
      <c r="J213" s="378">
        <f t="shared" si="15"/>
        <v>4.5939655172413802</v>
      </c>
    </row>
    <row r="214" spans="2:10">
      <c r="B214" s="234">
        <f>'Revenues &amp; Expenses'!K214</f>
        <v>42826</v>
      </c>
      <c r="C214" s="373">
        <f>'Fuel Curve'!F214</f>
        <v>4.4939655172413797</v>
      </c>
      <c r="D214" s="366">
        <f>'Fuel Curve'!D214</f>
        <v>0.17600000000000002</v>
      </c>
      <c r="E214" s="159">
        <f>VLOOKUP(B214,'PJM Curve Simulation'!$B$9:$F$258,4)</f>
        <v>7.3988605022010004E-2</v>
      </c>
      <c r="F214" s="220">
        <f>VLOOKUP(B214,'PJM Curve Simulation'!$B$9:$F$258,5)</f>
        <v>0.28668512857831097</v>
      </c>
      <c r="G214" s="220">
        <f t="shared" si="13"/>
        <v>17.075975359342916</v>
      </c>
      <c r="H214" s="220">
        <f t="shared" si="12"/>
        <v>4.1323087202365354</v>
      </c>
      <c r="I214" s="220">
        <f t="shared" si="14"/>
        <v>0</v>
      </c>
      <c r="J214" s="378">
        <f t="shared" si="15"/>
        <v>4.4939655172413797</v>
      </c>
    </row>
    <row r="215" spans="2:10">
      <c r="B215" s="234">
        <f>'Revenues &amp; Expenses'!K215</f>
        <v>42856</v>
      </c>
      <c r="C215" s="373">
        <f>'Fuel Curve'!F215</f>
        <v>4.4267241379310347</v>
      </c>
      <c r="D215" s="366">
        <f>'Fuel Curve'!D215</f>
        <v>0.17600000000000002</v>
      </c>
      <c r="E215" s="159">
        <f>VLOOKUP(B215,'PJM Curve Simulation'!$B$9:$F$258,4)</f>
        <v>7.3983598459267996E-2</v>
      </c>
      <c r="F215" s="220">
        <f>VLOOKUP(B215,'PJM Curve Simulation'!$B$9:$F$258,5)</f>
        <v>0.28500323734337329</v>
      </c>
      <c r="G215" s="220">
        <f t="shared" si="13"/>
        <v>17.15811088295688</v>
      </c>
      <c r="H215" s="220">
        <f t="shared" si="12"/>
        <v>4.1422350105899204</v>
      </c>
      <c r="I215" s="220">
        <f t="shared" si="14"/>
        <v>0</v>
      </c>
      <c r="J215" s="378">
        <f t="shared" si="15"/>
        <v>4.4267241379310347</v>
      </c>
    </row>
    <row r="216" spans="2:10">
      <c r="B216" s="234">
        <f>'Revenues &amp; Expenses'!K216</f>
        <v>42887</v>
      </c>
      <c r="C216" s="373">
        <f>'Fuel Curve'!F216</f>
        <v>4.4201724137931047</v>
      </c>
      <c r="D216" s="366">
        <f>'Fuel Curve'!D216</f>
        <v>0.17600000000000002</v>
      </c>
      <c r="E216" s="159">
        <f>VLOOKUP(B216,'PJM Curve Simulation'!$B$9:$F$258,4)</f>
        <v>7.3978425011111015E-2</v>
      </c>
      <c r="F216" s="220">
        <f>VLOOKUP(B216,'PJM Curve Simulation'!$B$9:$F$258,5)</f>
        <v>0.28327588443666513</v>
      </c>
      <c r="G216" s="220">
        <f t="shared" si="13"/>
        <v>17.242984257357975</v>
      </c>
      <c r="H216" s="220">
        <f t="shared" si="12"/>
        <v>4.1524672494022123</v>
      </c>
      <c r="I216" s="220">
        <f t="shared" si="14"/>
        <v>0</v>
      </c>
      <c r="J216" s="378">
        <f t="shared" si="15"/>
        <v>4.4201724137931047</v>
      </c>
    </row>
    <row r="217" spans="2:10">
      <c r="B217" s="234">
        <f>'Revenues &amp; Expenses'!K217</f>
        <v>42917</v>
      </c>
      <c r="C217" s="373">
        <f>'Fuel Curve'!F217</f>
        <v>4.477413793103449</v>
      </c>
      <c r="D217" s="366">
        <f>'Fuel Curve'!D217</f>
        <v>0.17600000000000002</v>
      </c>
      <c r="E217" s="159">
        <f>VLOOKUP(B217,'PJM Curve Simulation'!$B$9:$F$258,4)</f>
        <v>7.3973418448387021E-2</v>
      </c>
      <c r="F217" s="220">
        <f>VLOOKUP(B217,'PJM Curve Simulation'!$B$9:$F$258,5)</f>
        <v>0.28161444841669531</v>
      </c>
      <c r="G217" s="220">
        <f t="shared" si="13"/>
        <v>17.325119780971939</v>
      </c>
      <c r="H217" s="220">
        <f t="shared" si="12"/>
        <v>4.1623454663172712</v>
      </c>
      <c r="I217" s="220">
        <f t="shared" si="14"/>
        <v>0</v>
      </c>
      <c r="J217" s="378">
        <f t="shared" si="15"/>
        <v>4.477413793103449</v>
      </c>
    </row>
    <row r="218" spans="2:10">
      <c r="B218" s="234">
        <f>'Revenues &amp; Expenses'!K218</f>
        <v>42948</v>
      </c>
      <c r="C218" s="373">
        <f>'Fuel Curve'!F218</f>
        <v>4.5679310344827595</v>
      </c>
      <c r="D218" s="366">
        <f>'Fuel Curve'!D218</f>
        <v>0.17600000000000002</v>
      </c>
      <c r="E218" s="159">
        <f>VLOOKUP(B218,'PJM Curve Simulation'!$B$9:$F$258,4)</f>
        <v>7.3968245000246E-2</v>
      </c>
      <c r="F218" s="220">
        <f>VLOOKUP(B218,'PJM Curve Simulation'!$B$9:$F$258,5)</f>
        <v>0.27990810089895013</v>
      </c>
      <c r="G218" s="220">
        <f t="shared" si="13"/>
        <v>17.409993155373034</v>
      </c>
      <c r="H218" s="220">
        <f t="shared" si="12"/>
        <v>4.1725283888037277</v>
      </c>
      <c r="I218" s="220">
        <f t="shared" si="14"/>
        <v>0</v>
      </c>
      <c r="J218" s="378">
        <f t="shared" si="15"/>
        <v>4.5679310344827595</v>
      </c>
    </row>
    <row r="219" spans="2:10">
      <c r="B219" s="234">
        <f>'Revenues &amp; Expenses'!K219</f>
        <v>42979</v>
      </c>
      <c r="C219" s="373">
        <f>'Fuel Curve'!F219</f>
        <v>4.6627586206896563</v>
      </c>
      <c r="D219" s="366">
        <f>'Fuel Curve'!D219</f>
        <v>0.17600000000000002</v>
      </c>
      <c r="E219" s="159">
        <f>VLOOKUP(B219,'PJM Curve Simulation'!$B$9:$F$258,4)</f>
        <v>7.3963071552115012E-2</v>
      </c>
      <c r="F219" s="220">
        <f>VLOOKUP(B219,'PJM Curve Simulation'!$B$9:$F$258,5)</f>
        <v>0.27821232808322865</v>
      </c>
      <c r="G219" s="220">
        <f t="shared" si="13"/>
        <v>17.494866529774129</v>
      </c>
      <c r="H219" s="220">
        <f t="shared" si="12"/>
        <v>4.1826865206197477</v>
      </c>
      <c r="I219" s="220">
        <f t="shared" si="14"/>
        <v>0</v>
      </c>
      <c r="J219" s="378">
        <f t="shared" si="15"/>
        <v>4.6627586206896563</v>
      </c>
    </row>
    <row r="220" spans="2:10">
      <c r="B220" s="234">
        <f>'Revenues &amp; Expenses'!K220</f>
        <v>43009</v>
      </c>
      <c r="C220" s="373">
        <f>'Fuel Curve'!F220</f>
        <v>4.7553448275862067</v>
      </c>
      <c r="D220" s="366">
        <f>'Fuel Curve'!D220</f>
        <v>0.17600000000000002</v>
      </c>
      <c r="E220" s="159">
        <f>VLOOKUP(B220,'PJM Curve Simulation'!$B$9:$F$258,4)</f>
        <v>7.3958064989417011E-2</v>
      </c>
      <c r="F220" s="220">
        <f>VLOOKUP(B220,'PJM Curve Simulation'!$B$9:$F$258,5)</f>
        <v>0.27658126309854381</v>
      </c>
      <c r="G220" s="220">
        <f t="shared" si="13"/>
        <v>17.577002053388089</v>
      </c>
      <c r="H220" s="220">
        <f t="shared" si="12"/>
        <v>4.1924935364754097</v>
      </c>
      <c r="I220" s="220">
        <f t="shared" si="14"/>
        <v>0</v>
      </c>
      <c r="J220" s="378">
        <f t="shared" si="15"/>
        <v>4.7553448275862067</v>
      </c>
    </row>
    <row r="221" spans="2:10">
      <c r="B221" s="234">
        <f>'Revenues &amp; Expenses'!K221</f>
        <v>43040</v>
      </c>
      <c r="C221" s="373">
        <f>'Fuel Curve'!F221</f>
        <v>4.8046551724137938</v>
      </c>
      <c r="D221" s="366">
        <f>'Fuel Curve'!D221</f>
        <v>0.17600000000000002</v>
      </c>
      <c r="E221" s="159">
        <f>VLOOKUP(B221,'PJM Curve Simulation'!$B$9:$F$258,4)</f>
        <v>7.3952891541303009E-2</v>
      </c>
      <c r="F221" s="220">
        <f>VLOOKUP(B221,'PJM Curve Simulation'!$B$9:$F$258,5)</f>
        <v>0.27490610355232498</v>
      </c>
      <c r="G221" s="220">
        <f t="shared" si="13"/>
        <v>17.661875427789184</v>
      </c>
      <c r="H221" s="220">
        <f t="shared" si="12"/>
        <v>4.2026034107192629</v>
      </c>
      <c r="I221" s="220">
        <f t="shared" si="14"/>
        <v>0</v>
      </c>
      <c r="J221" s="378">
        <f t="shared" si="15"/>
        <v>4.8046551724137938</v>
      </c>
    </row>
    <row r="222" spans="2:10">
      <c r="B222" s="234">
        <f>'Revenues &amp; Expenses'!K222</f>
        <v>43070</v>
      </c>
      <c r="C222" s="373">
        <f>'Fuel Curve'!F222</f>
        <v>4.8474137931034491</v>
      </c>
      <c r="D222" s="366">
        <f>'Fuel Curve'!D222</f>
        <v>0.17600000000000002</v>
      </c>
      <c r="E222" s="159">
        <f>VLOOKUP(B222,'PJM Curve Simulation'!$B$9:$F$258,4)</f>
        <v>7.3947884978619996E-2</v>
      </c>
      <c r="F222" s="220">
        <f>VLOOKUP(B222,'PJM Curve Simulation'!$B$9:$F$258,5)</f>
        <v>0.2732948626893707</v>
      </c>
      <c r="G222" s="220">
        <f t="shared" si="13"/>
        <v>17.744010951403148</v>
      </c>
      <c r="H222" s="220">
        <f t="shared" si="12"/>
        <v>4.2123640573202064</v>
      </c>
      <c r="I222" s="220">
        <f t="shared" si="14"/>
        <v>0</v>
      </c>
      <c r="J222" s="378">
        <f t="shared" si="15"/>
        <v>4.8474137931034491</v>
      </c>
    </row>
    <row r="223" spans="2:10">
      <c r="B223" s="234">
        <f>'Revenues &amp; Expenses'!K223</f>
        <v>43101</v>
      </c>
      <c r="C223" s="373">
        <f>'Fuel Curve'!F223</f>
        <v>4.7901724137931048</v>
      </c>
      <c r="D223" s="366">
        <f>'Fuel Curve'!D223</f>
        <v>0.17600000000000002</v>
      </c>
      <c r="E223" s="159">
        <f>VLOOKUP(B223,'PJM Curve Simulation'!$B$9:$F$258,4)</f>
        <v>7.3942711530524022E-2</v>
      </c>
      <c r="F223" s="220">
        <f>VLOOKUP(B223,'PJM Curve Simulation'!$B$9:$F$258,5)</f>
        <v>0.27164006054469364</v>
      </c>
      <c r="G223" s="220">
        <f t="shared" si="13"/>
        <v>17.828884325804243</v>
      </c>
      <c r="H223" s="220">
        <f t="shared" si="12"/>
        <v>4.2224263552848669</v>
      </c>
      <c r="I223" s="220">
        <f t="shared" si="14"/>
        <v>0</v>
      </c>
      <c r="J223" s="378">
        <f t="shared" si="15"/>
        <v>4.7901724137931048</v>
      </c>
    </row>
    <row r="224" spans="2:10">
      <c r="B224" s="234">
        <f>'Revenues &amp; Expenses'!K224</f>
        <v>43132</v>
      </c>
      <c r="C224" s="373">
        <f>'Fuel Curve'!F224</f>
        <v>4.6910344827586217</v>
      </c>
      <c r="D224" s="366">
        <f>'Fuel Curve'!D224</f>
        <v>0.17600000000000002</v>
      </c>
      <c r="E224" s="159">
        <f>VLOOKUP(B224,'PJM Curve Simulation'!$B$9:$F$258,4)</f>
        <v>7.3937538082437013E-2</v>
      </c>
      <c r="F224" s="220">
        <f>VLOOKUP(B224,'PJM Curve Simulation'!$B$9:$F$258,5)</f>
        <v>0.26999550694784635</v>
      </c>
      <c r="G224" s="220">
        <f t="shared" si="13"/>
        <v>17.913757700205338</v>
      </c>
      <c r="H224" s="220">
        <f t="shared" si="12"/>
        <v>4.2324647311236197</v>
      </c>
      <c r="I224" s="220">
        <f t="shared" si="14"/>
        <v>0</v>
      </c>
      <c r="J224" s="378">
        <f t="shared" si="15"/>
        <v>4.6910344827586217</v>
      </c>
    </row>
    <row r="225" spans="2:10">
      <c r="B225" s="234">
        <f>'Revenues &amp; Expenses'!K225</f>
        <v>43160</v>
      </c>
      <c r="C225" s="373">
        <f>'Fuel Curve'!F225</f>
        <v>4.5939655172413802</v>
      </c>
      <c r="D225" s="366">
        <f>'Fuel Curve'!D225</f>
        <v>0.17600000000000002</v>
      </c>
      <c r="E225" s="159">
        <f>VLOOKUP(B225,'PJM Curve Simulation'!$B$9:$F$258,4)</f>
        <v>7.3932865290623012E-2</v>
      </c>
      <c r="F225" s="220">
        <f>VLOOKUP(B225,'PJM Curve Simulation'!$B$9:$F$258,5)</f>
        <v>0.26851885861647473</v>
      </c>
      <c r="G225" s="220">
        <f t="shared" si="13"/>
        <v>17.990417522245039</v>
      </c>
      <c r="H225" s="220">
        <f t="shared" si="12"/>
        <v>4.24151123094647</v>
      </c>
      <c r="I225" s="220">
        <f t="shared" si="14"/>
        <v>0</v>
      </c>
      <c r="J225" s="378">
        <f t="shared" si="15"/>
        <v>4.5939655172413802</v>
      </c>
    </row>
    <row r="226" spans="2:10">
      <c r="B226" s="234">
        <f>'Revenues &amp; Expenses'!K226</f>
        <v>43191</v>
      </c>
      <c r="C226" s="373">
        <f>'Fuel Curve'!F226</f>
        <v>4.4939655172413797</v>
      </c>
      <c r="D226" s="366">
        <f>'Fuel Curve'!D226</f>
        <v>0.17600000000000002</v>
      </c>
      <c r="E226" s="159">
        <f>VLOOKUP(B226,'PJM Curve Simulation'!$B$9:$F$258,4)</f>
        <v>7.3927691842552018E-2</v>
      </c>
      <c r="F226" s="220">
        <f>VLOOKUP(B226,'PJM Curve Simulation'!$B$9:$F$258,5)</f>
        <v>0.26689363157793511</v>
      </c>
      <c r="G226" s="220">
        <f t="shared" si="13"/>
        <v>18.075290896646134</v>
      </c>
      <c r="H226" s="220">
        <f t="shared" si="12"/>
        <v>4.2515045450576832</v>
      </c>
      <c r="I226" s="220">
        <f t="shared" si="14"/>
        <v>0</v>
      </c>
      <c r="J226" s="378">
        <f t="shared" si="15"/>
        <v>4.4939655172413797</v>
      </c>
    </row>
    <row r="227" spans="2:10">
      <c r="B227" s="234">
        <f>'Revenues &amp; Expenses'!K227</f>
        <v>43221</v>
      </c>
      <c r="C227" s="373">
        <f>'Fuel Curve'!F227</f>
        <v>4.4267241379310347</v>
      </c>
      <c r="D227" s="366">
        <f>'Fuel Curve'!D227</f>
        <v>0.17600000000000002</v>
      </c>
      <c r="E227" s="159">
        <f>VLOOKUP(B227,'PJM Curve Simulation'!$B$9:$F$258,4)</f>
        <v>7.3922685279911027E-2</v>
      </c>
      <c r="F227" s="220">
        <f>VLOOKUP(B227,'PJM Curve Simulation'!$B$9:$F$258,5)</f>
        <v>0.26533041176271788</v>
      </c>
      <c r="G227" s="220">
        <f t="shared" si="13"/>
        <v>18.157426420260094</v>
      </c>
      <c r="H227" s="220">
        <f t="shared" si="12"/>
        <v>4.261153179628737</v>
      </c>
      <c r="I227" s="220">
        <f t="shared" si="14"/>
        <v>0</v>
      </c>
      <c r="J227" s="378">
        <f t="shared" si="15"/>
        <v>4.4267241379310347</v>
      </c>
    </row>
    <row r="228" spans="2:10">
      <c r="B228" s="234">
        <f>'Revenues &amp; Expenses'!K228</f>
        <v>43252</v>
      </c>
      <c r="C228" s="373">
        <f>'Fuel Curve'!F228</f>
        <v>4.4201724137931047</v>
      </c>
      <c r="D228" s="366">
        <f>'Fuel Curve'!D228</f>
        <v>0.17600000000000002</v>
      </c>
      <c r="E228" s="159">
        <f>VLOOKUP(B228,'PJM Curve Simulation'!$B$9:$F$258,4)</f>
        <v>7.3917511831858004E-2</v>
      </c>
      <c r="F228" s="220">
        <f>VLOOKUP(B228,'PJM Curve Simulation'!$B$9:$F$258,5)</f>
        <v>0.26372492259240987</v>
      </c>
      <c r="G228" s="220">
        <f t="shared" si="13"/>
        <v>18.242299794661189</v>
      </c>
      <c r="H228" s="220">
        <f t="shared" si="12"/>
        <v>4.2711005367072774</v>
      </c>
      <c r="I228" s="220">
        <f t="shared" si="14"/>
        <v>0</v>
      </c>
      <c r="J228" s="378">
        <f t="shared" si="15"/>
        <v>4.4201724137931047</v>
      </c>
    </row>
    <row r="229" spans="2:10">
      <c r="B229" s="234">
        <f>'Revenues &amp; Expenses'!K229</f>
        <v>43282</v>
      </c>
      <c r="C229" s="373">
        <f>'Fuel Curve'!F229</f>
        <v>4.477413793103449</v>
      </c>
      <c r="D229" s="366">
        <f>'Fuel Curve'!D229</f>
        <v>0.17600000000000002</v>
      </c>
      <c r="E229" s="159">
        <f>VLOOKUP(B229,'PJM Curve Simulation'!$B$9:$F$258,4)</f>
        <v>7.3912505269234999E-2</v>
      </c>
      <c r="F229" s="220">
        <f>VLOOKUP(B229,'PJM Curve Simulation'!$B$9:$F$258,5)</f>
        <v>0.26218068511448367</v>
      </c>
      <c r="G229" s="220">
        <f t="shared" si="13"/>
        <v>18.324435318275153</v>
      </c>
      <c r="H229" s="220">
        <f t="shared" si="12"/>
        <v>4.2807050024820859</v>
      </c>
      <c r="I229" s="220">
        <f t="shared" si="14"/>
        <v>0</v>
      </c>
      <c r="J229" s="378">
        <f t="shared" si="15"/>
        <v>4.477413793103449</v>
      </c>
    </row>
    <row r="230" spans="2:10">
      <c r="B230" s="234">
        <f>'Revenues &amp; Expenses'!K230</f>
        <v>43313</v>
      </c>
      <c r="C230" s="373">
        <f>'Fuel Curve'!F230</f>
        <v>4.5679310344827595</v>
      </c>
      <c r="D230" s="366">
        <f>'Fuel Curve'!D230</f>
        <v>0.17600000000000002</v>
      </c>
      <c r="E230" s="159">
        <f>VLOOKUP(B230,'PJM Curve Simulation'!$B$9:$F$258,4)</f>
        <v>7.3907331821199018E-2</v>
      </c>
      <c r="F230" s="220">
        <f>VLOOKUP(B230,'PJM Curve Simulation'!$B$9:$F$258,5)</f>
        <v>0.26059468902303268</v>
      </c>
      <c r="G230" s="220">
        <f t="shared" si="13"/>
        <v>18.409308692676248</v>
      </c>
      <c r="H230" s="220">
        <f t="shared" si="12"/>
        <v>4.2906070307913593</v>
      </c>
      <c r="I230" s="220">
        <f t="shared" si="14"/>
        <v>0</v>
      </c>
      <c r="J230" s="378">
        <f t="shared" si="15"/>
        <v>4.5679310344827595</v>
      </c>
    </row>
    <row r="231" spans="2:10">
      <c r="B231" s="234">
        <f>'Revenues &amp; Expenses'!K231</f>
        <v>43344</v>
      </c>
      <c r="C231" s="373">
        <f>'Fuel Curve'!F231</f>
        <v>4.6627586206896563</v>
      </c>
      <c r="D231" s="366">
        <f>'Fuel Curve'!D231</f>
        <v>0.17600000000000002</v>
      </c>
      <c r="E231" s="159">
        <f>VLOOKUP(B231,'PJM Curve Simulation'!$B$9:$F$258,4)</f>
        <v>7.3902158373172017E-2</v>
      </c>
      <c r="F231" s="220">
        <f>VLOOKUP(B231,'PJM Curve Simulation'!$B$9:$F$258,5)</f>
        <v>0.25901850643326846</v>
      </c>
      <c r="G231" s="220">
        <f t="shared" si="13"/>
        <v>18.494182067077343</v>
      </c>
      <c r="H231" s="220">
        <f t="shared" si="12"/>
        <v>4.300486259375484</v>
      </c>
      <c r="I231" s="220">
        <f t="shared" si="14"/>
        <v>0</v>
      </c>
      <c r="J231" s="378">
        <f t="shared" si="15"/>
        <v>4.6627586206896563</v>
      </c>
    </row>
    <row r="232" spans="2:10">
      <c r="B232" s="234">
        <f>'Revenues &amp; Expenses'!K232</f>
        <v>43374</v>
      </c>
      <c r="C232" s="373">
        <f>'Fuel Curve'!F232</f>
        <v>4.7553448275862067</v>
      </c>
      <c r="D232" s="366">
        <f>'Fuel Curve'!D232</f>
        <v>0.17600000000000002</v>
      </c>
      <c r="E232" s="159">
        <f>VLOOKUP(B232,'PJM Curve Simulation'!$B$9:$F$258,4)</f>
        <v>7.3897151810572992E-2</v>
      </c>
      <c r="F232" s="220">
        <f>VLOOKUP(B232,'PJM Curve Simulation'!$B$9:$F$258,5)</f>
        <v>0.25750245378680087</v>
      </c>
      <c r="G232" s="220">
        <f t="shared" si="13"/>
        <v>18.576317590691307</v>
      </c>
      <c r="H232" s="220">
        <f t="shared" si="12"/>
        <v>4.3100252424656755</v>
      </c>
      <c r="I232" s="220">
        <f t="shared" si="14"/>
        <v>0</v>
      </c>
      <c r="J232" s="378">
        <f t="shared" si="15"/>
        <v>4.7553448275862067</v>
      </c>
    </row>
    <row r="233" spans="2:10">
      <c r="B233" s="234">
        <f>'Revenues &amp; Expenses'!K233</f>
        <v>43405</v>
      </c>
      <c r="C233" s="373">
        <f>'Fuel Curve'!F233</f>
        <v>4.8046551724137938</v>
      </c>
      <c r="D233" s="366">
        <f>'Fuel Curve'!D233</f>
        <v>0.17600000000000002</v>
      </c>
      <c r="E233" s="159">
        <f>VLOOKUP(B233,'PJM Curve Simulation'!$B$9:$F$258,4)</f>
        <v>7.3891978362564018E-2</v>
      </c>
      <c r="F233" s="220">
        <f>VLOOKUP(B233,'PJM Curve Simulation'!$B$9:$F$258,5)</f>
        <v>0.25594540092886636</v>
      </c>
      <c r="G233" s="220">
        <f t="shared" si="13"/>
        <v>18.661190965092402</v>
      </c>
      <c r="H233" s="220">
        <f t="shared" si="12"/>
        <v>4.3198600631377406</v>
      </c>
      <c r="I233" s="220">
        <f t="shared" si="14"/>
        <v>0</v>
      </c>
      <c r="J233" s="378">
        <f t="shared" si="15"/>
        <v>4.8046551724137938</v>
      </c>
    </row>
    <row r="234" spans="2:10">
      <c r="B234" s="234">
        <f>'Revenues &amp; Expenses'!K234</f>
        <v>43435</v>
      </c>
      <c r="C234" s="373">
        <f>'Fuel Curve'!F234</f>
        <v>4.8474137931034491</v>
      </c>
      <c r="D234" s="366">
        <f>'Fuel Curve'!D234</f>
        <v>0.17600000000000002</v>
      </c>
      <c r="E234" s="159">
        <f>VLOOKUP(B234,'PJM Curve Simulation'!$B$9:$F$258,4)</f>
        <v>7.3886971799982021E-2</v>
      </c>
      <c r="F234" s="220">
        <f>VLOOKUP(B234,'PJM Curve Simulation'!$B$9:$F$258,5)</f>
        <v>0.25444774583402968</v>
      </c>
      <c r="G234" s="220">
        <f t="shared" si="13"/>
        <v>18.743326488706366</v>
      </c>
      <c r="H234" s="220">
        <f t="shared" si="12"/>
        <v>4.329356359634347</v>
      </c>
      <c r="I234" s="220">
        <f t="shared" si="14"/>
        <v>0</v>
      </c>
      <c r="J234" s="378">
        <f t="shared" si="15"/>
        <v>4.8474137931034491</v>
      </c>
    </row>
    <row r="235" spans="2:10">
      <c r="B235" s="234">
        <f>'Revenues &amp; Expenses'!K235</f>
        <v>43466</v>
      </c>
      <c r="C235" s="373">
        <f>'Fuel Curve'!F235</f>
        <v>4.7901724137931048</v>
      </c>
      <c r="D235" s="366">
        <f>'Fuel Curve'!D235</f>
        <v>0.17600000000000002</v>
      </c>
      <c r="E235" s="159">
        <f>VLOOKUP(B235,'PJM Curve Simulation'!$B$9:$F$258,4)</f>
        <v>7.3881798351999997E-2</v>
      </c>
      <c r="F235" s="220">
        <f>VLOOKUP(B235,'PJM Curve Simulation'!$B$9:$F$258,5)</f>
        <v>0.25290958560919641</v>
      </c>
      <c r="G235" s="220">
        <f t="shared" si="13"/>
        <v>18.828199863107461</v>
      </c>
      <c r="H235" s="220">
        <f t="shared" si="12"/>
        <v>4.3391473659127389</v>
      </c>
      <c r="I235" s="220">
        <f t="shared" si="14"/>
        <v>0</v>
      </c>
      <c r="J235" s="378">
        <f t="shared" si="15"/>
        <v>4.7901724137931048</v>
      </c>
    </row>
    <row r="236" spans="2:10">
      <c r="B236" s="234">
        <f>'Revenues &amp; Expenses'!K236</f>
        <v>43497</v>
      </c>
      <c r="C236" s="373">
        <f>'Fuel Curve'!F236</f>
        <v>4.6910344827586217</v>
      </c>
      <c r="D236" s="366">
        <f>'Fuel Curve'!D236</f>
        <v>0.17600000000000002</v>
      </c>
      <c r="E236" s="159">
        <f>VLOOKUP(B236,'PJM Curve Simulation'!$B$9:$F$258,4)</f>
        <v>7.3876624904006025E-2</v>
      </c>
      <c r="F236" s="220">
        <f>VLOOKUP(B236,'PJM Curve Simulation'!$B$9:$F$258,5)</f>
        <v>0.25138093665711003</v>
      </c>
      <c r="G236" s="220">
        <f t="shared" si="13"/>
        <v>18.913073237508556</v>
      </c>
      <c r="H236" s="220">
        <f t="shared" si="12"/>
        <v>4.3489163290995325</v>
      </c>
      <c r="I236" s="220">
        <f t="shared" si="14"/>
        <v>0</v>
      </c>
      <c r="J236" s="378">
        <f t="shared" si="15"/>
        <v>4.6910344827586217</v>
      </c>
    </row>
    <row r="237" spans="2:10">
      <c r="B237" s="234">
        <f>'Revenues &amp; Expenses'!K237</f>
        <v>43525</v>
      </c>
      <c r="C237" s="373">
        <f>'Fuel Curve'!F237</f>
        <v>4.5939655172413802</v>
      </c>
      <c r="D237" s="366">
        <f>'Fuel Curve'!D237</f>
        <v>0.17600000000000002</v>
      </c>
      <c r="E237" s="159">
        <f>VLOOKUP(B237,'PJM Curve Simulation'!$B$9:$F$258,4)</f>
        <v>7.3871952112287018E-2</v>
      </c>
      <c r="F237" s="220">
        <f>VLOOKUP(B237,'PJM Curve Simulation'!$B$9:$F$258,5)</f>
        <v>0.25000834664270966</v>
      </c>
      <c r="G237" s="220">
        <f t="shared" si="13"/>
        <v>18.989733059548254</v>
      </c>
      <c r="H237" s="220">
        <f t="shared" si="12"/>
        <v>4.35772108556161</v>
      </c>
      <c r="I237" s="220">
        <f t="shared" si="14"/>
        <v>0</v>
      </c>
      <c r="J237" s="378">
        <f t="shared" si="15"/>
        <v>4.5939655172413802</v>
      </c>
    </row>
    <row r="238" spans="2:10">
      <c r="B238" s="234">
        <f>'Revenues &amp; Expenses'!K238</f>
        <v>43556</v>
      </c>
      <c r="C238" s="373">
        <f>'Fuel Curve'!F238</f>
        <v>4.4939655172413797</v>
      </c>
      <c r="D238" s="366">
        <f>'Fuel Curve'!D238</f>
        <v>0.17600000000000002</v>
      </c>
      <c r="E238" s="159">
        <f>VLOOKUP(B238,'PJM Curve Simulation'!$B$9:$F$258,4)</f>
        <v>7.386677866432001E-2</v>
      </c>
      <c r="F238" s="220">
        <f>VLOOKUP(B238,'PJM Curve Simulation'!$B$9:$F$258,5)</f>
        <v>0.24849763415436113</v>
      </c>
      <c r="G238" s="220">
        <f t="shared" si="13"/>
        <v>19.074606433949349</v>
      </c>
      <c r="H238" s="220">
        <f t="shared" si="12"/>
        <v>4.3674485038692037</v>
      </c>
      <c r="I238" s="220">
        <f t="shared" si="14"/>
        <v>0</v>
      </c>
      <c r="J238" s="378">
        <f t="shared" si="15"/>
        <v>4.4939655172413797</v>
      </c>
    </row>
    <row r="239" spans="2:10">
      <c r="B239" s="234">
        <f>'Revenues &amp; Expenses'!K239</f>
        <v>43586</v>
      </c>
      <c r="C239" s="373">
        <f>'Fuel Curve'!F239</f>
        <v>4.4267241379310347</v>
      </c>
      <c r="D239" s="366">
        <f>'Fuel Curve'!D239</f>
        <v>0.17600000000000002</v>
      </c>
      <c r="E239" s="159">
        <f>VLOOKUP(B239,'PJM Curve Simulation'!$B$9:$F$258,4)</f>
        <v>7.3861772101780007E-2</v>
      </c>
      <c r="F239" s="220">
        <f>VLOOKUP(B239,'PJM Curve Simulation'!$B$9:$F$258,5)</f>
        <v>0.24704454589740477</v>
      </c>
      <c r="G239" s="220">
        <f t="shared" si="13"/>
        <v>19.156741957563312</v>
      </c>
      <c r="H239" s="220">
        <f t="shared" si="12"/>
        <v>4.3768415504291802</v>
      </c>
      <c r="I239" s="220">
        <f t="shared" si="14"/>
        <v>0</v>
      </c>
      <c r="J239" s="378">
        <f t="shared" si="15"/>
        <v>4.4267241379310347</v>
      </c>
    </row>
    <row r="240" spans="2:10">
      <c r="B240" s="234">
        <f>'Revenues &amp; Expenses'!K240</f>
        <v>43617</v>
      </c>
      <c r="C240" s="373">
        <f>'Fuel Curve'!F240</f>
        <v>4.4201724137931047</v>
      </c>
      <c r="D240" s="366">
        <f>'Fuel Curve'!D240</f>
        <v>0.17600000000000002</v>
      </c>
      <c r="E240" s="159">
        <f>VLOOKUP(B240,'PJM Curve Simulation'!$B$9:$F$258,4)</f>
        <v>7.3856598653831013E-2</v>
      </c>
      <c r="F240" s="220">
        <f>VLOOKUP(B240,'PJM Curve Simulation'!$B$9:$F$258,5)</f>
        <v>0.24555215193662452</v>
      </c>
      <c r="G240" s="220">
        <f t="shared" si="13"/>
        <v>19.241615331964407</v>
      </c>
      <c r="H240" s="220">
        <f t="shared" si="12"/>
        <v>4.3865265680221759</v>
      </c>
      <c r="I240" s="220">
        <f t="shared" si="14"/>
        <v>0</v>
      </c>
      <c r="J240" s="378">
        <f t="shared" si="15"/>
        <v>4.4201724137931047</v>
      </c>
    </row>
    <row r="241" spans="2:10">
      <c r="B241" s="234">
        <f>'Revenues &amp; Expenses'!K241</f>
        <v>43647</v>
      </c>
      <c r="C241" s="373">
        <f>'Fuel Curve'!F241</f>
        <v>4.477413793103449</v>
      </c>
      <c r="D241" s="366">
        <f>'Fuel Curve'!D241</f>
        <v>0.17600000000000002</v>
      </c>
      <c r="E241" s="159">
        <f>VLOOKUP(B241,'PJM Curve Simulation'!$B$9:$F$258,4)</f>
        <v>7.3851592091307025E-2</v>
      </c>
      <c r="F241" s="220">
        <f>VLOOKUP(B241,'PJM Curve Simulation'!$B$9:$F$258,5)</f>
        <v>0.24411668117143231</v>
      </c>
      <c r="G241" s="220">
        <f t="shared" si="13"/>
        <v>19.323750855578371</v>
      </c>
      <c r="H241" s="220">
        <f t="shared" si="12"/>
        <v>4.3958788490560536</v>
      </c>
      <c r="I241" s="220">
        <f t="shared" si="14"/>
        <v>0</v>
      </c>
      <c r="J241" s="378">
        <f t="shared" si="15"/>
        <v>4.477413793103449</v>
      </c>
    </row>
    <row r="242" spans="2:10">
      <c r="B242" s="234">
        <f>'Revenues &amp; Expenses'!K242</f>
        <v>43678</v>
      </c>
      <c r="C242" s="373">
        <f>'Fuel Curve'!F242</f>
        <v>4.5679310344827595</v>
      </c>
      <c r="D242" s="366">
        <f>'Fuel Curve'!D242</f>
        <v>0.17600000000000002</v>
      </c>
      <c r="E242" s="159">
        <f>VLOOKUP(B242,'PJM Curve Simulation'!$B$9:$F$258,4)</f>
        <v>7.3846418643376002E-2</v>
      </c>
      <c r="F242" s="220">
        <f>VLOOKUP(B242,'PJM Curve Simulation'!$B$9:$F$258,5)</f>
        <v>0.24264237889092974</v>
      </c>
      <c r="G242" s="220">
        <f t="shared" si="13"/>
        <v>19.408624229979466</v>
      </c>
      <c r="H242" s="220">
        <f t="shared" si="12"/>
        <v>4.4055220156049009</v>
      </c>
      <c r="I242" s="220">
        <f t="shared" si="14"/>
        <v>0</v>
      </c>
      <c r="J242" s="378">
        <f t="shared" si="15"/>
        <v>4.5679310344827595</v>
      </c>
    </row>
    <row r="243" spans="2:10">
      <c r="B243" s="234">
        <f>'Revenues &amp; Expenses'!K243</f>
        <v>43709</v>
      </c>
      <c r="C243" s="373">
        <f>'Fuel Curve'!F243</f>
        <v>4.6627586206896563</v>
      </c>
      <c r="D243" s="366">
        <f>'Fuel Curve'!D243</f>
        <v>0.17600000000000002</v>
      </c>
      <c r="E243" s="159">
        <f>VLOOKUP(B243,'PJM Curve Simulation'!$B$9:$F$258,4)</f>
        <v>7.3841245195453001E-2</v>
      </c>
      <c r="F243" s="220">
        <f>VLOOKUP(B243,'PJM Curve Simulation'!$B$9:$F$258,5)</f>
        <v>0.24117718472774979</v>
      </c>
      <c r="G243" s="220">
        <f t="shared" si="13"/>
        <v>19.493497604380561</v>
      </c>
      <c r="H243" s="220">
        <f t="shared" si="12"/>
        <v>4.4151441204541175</v>
      </c>
      <c r="I243" s="220">
        <f t="shared" si="14"/>
        <v>0</v>
      </c>
      <c r="J243" s="378">
        <f t="shared" si="15"/>
        <v>4.6627586206896563</v>
      </c>
    </row>
    <row r="244" spans="2:10">
      <c r="B244" s="234">
        <f>'Revenues &amp; Expenses'!K244</f>
        <v>43739</v>
      </c>
      <c r="C244" s="373">
        <f>'Fuel Curve'!F244</f>
        <v>4.7553448275862067</v>
      </c>
      <c r="D244" s="366">
        <f>'Fuel Curve'!D244</f>
        <v>0.17600000000000002</v>
      </c>
      <c r="E244" s="159">
        <f>VLOOKUP(B244,'PJM Curve Simulation'!$B$9:$F$258,4)</f>
        <v>7.3836238632955006E-2</v>
      </c>
      <c r="F244" s="220">
        <f>VLOOKUP(B244,'PJM Curve Simulation'!$B$9:$F$258,5)</f>
        <v>0.23976787289641061</v>
      </c>
      <c r="G244" s="220">
        <f t="shared" si="13"/>
        <v>19.575633127994525</v>
      </c>
      <c r="H244" s="220">
        <f t="shared" si="12"/>
        <v>4.4244359107116153</v>
      </c>
      <c r="I244" s="220">
        <f t="shared" si="14"/>
        <v>0</v>
      </c>
      <c r="J244" s="378">
        <f t="shared" si="15"/>
        <v>4.7553448275862067</v>
      </c>
    </row>
    <row r="245" spans="2:10">
      <c r="B245" s="234">
        <f>'Revenues &amp; Expenses'!K245</f>
        <v>43770</v>
      </c>
      <c r="C245" s="373">
        <f>'Fuel Curve'!F245</f>
        <v>4.8046551724137938</v>
      </c>
      <c r="D245" s="366">
        <f>'Fuel Curve'!D245</f>
        <v>0.17600000000000002</v>
      </c>
      <c r="E245" s="159">
        <f>VLOOKUP(B245,'PJM Curve Simulation'!$B$9:$F$258,4)</f>
        <v>7.3831065185049005E-2</v>
      </c>
      <c r="F245" s="220">
        <f>VLOOKUP(B245,'PJM Curve Simulation'!$B$9:$F$258,5)</f>
        <v>0.23832043369061071</v>
      </c>
      <c r="G245" s="220">
        <f t="shared" si="13"/>
        <v>19.66050650239562</v>
      </c>
      <c r="H245" s="220">
        <f t="shared" si="12"/>
        <v>4.4340169713698234</v>
      </c>
      <c r="I245" s="220">
        <f t="shared" si="14"/>
        <v>0</v>
      </c>
      <c r="J245" s="378">
        <f t="shared" si="15"/>
        <v>4.8046551724137938</v>
      </c>
    </row>
    <row r="246" spans="2:10">
      <c r="B246" s="234">
        <f>'Revenues &amp; Expenses'!K246</f>
        <v>43800</v>
      </c>
      <c r="C246" s="373">
        <f>'Fuel Curve'!F246</f>
        <v>4.8474137931034491</v>
      </c>
      <c r="D246" s="366">
        <f>'Fuel Curve'!D246</f>
        <v>0.17600000000000002</v>
      </c>
      <c r="E246" s="159">
        <f>VLOOKUP(B246,'PJM Curve Simulation'!$B$9:$F$258,4)</f>
        <v>7.3826058622568011E-2</v>
      </c>
      <c r="F246" s="220">
        <f>VLOOKUP(B246,'PJM Curve Simulation'!$B$9:$F$258,5)</f>
        <v>0.2369281974153673</v>
      </c>
      <c r="G246" s="220">
        <f t="shared" si="13"/>
        <v>19.742642026009584</v>
      </c>
      <c r="H246" s="220">
        <f t="shared" si="12"/>
        <v>4.4432692947884203</v>
      </c>
      <c r="I246" s="220">
        <f t="shared" si="14"/>
        <v>0</v>
      </c>
      <c r="J246" s="378">
        <f t="shared" si="15"/>
        <v>4.8474137931034491</v>
      </c>
    </row>
    <row r="247" spans="2:10">
      <c r="B247" s="234">
        <f>'Revenues &amp; Expenses'!K247</f>
        <v>43831</v>
      </c>
      <c r="C247" s="373">
        <f>'Fuel Curve'!F247</f>
        <v>4.7901724137931048</v>
      </c>
      <c r="D247" s="366">
        <f>'Fuel Curve'!D247</f>
        <v>0.17600000000000002</v>
      </c>
      <c r="E247" s="159">
        <f>VLOOKUP(B247,'PJM Curve Simulation'!$B$9:$F$258,4)</f>
        <v>7.3820885174680009E-2</v>
      </c>
      <c r="F247" s="220">
        <f>VLOOKUP(B247,'PJM Curve Simulation'!$B$9:$F$258,5)</f>
        <v>0.23549829343649725</v>
      </c>
      <c r="G247" s="220">
        <f t="shared" ref="G247:G257" si="16">(B247-$B$1)/365.25</f>
        <v>19.827515400410679</v>
      </c>
      <c r="H247" s="220">
        <f t="shared" ref="H247:H258" si="17">SQRT(G247)</f>
        <v>4.4528098320510701</v>
      </c>
      <c r="I247" s="220">
        <f t="shared" ref="I247:I257" si="18">IF($I$2=0,0,-(D247^2)/2)</f>
        <v>0</v>
      </c>
      <c r="J247" s="378">
        <f t="shared" si="15"/>
        <v>4.7901724137931048</v>
      </c>
    </row>
    <row r="248" spans="2:10">
      <c r="B248" s="234">
        <f>'Revenues &amp; Expenses'!K248</f>
        <v>43862</v>
      </c>
      <c r="C248" s="373">
        <f>'Fuel Curve'!F248</f>
        <v>4.6910344827586217</v>
      </c>
      <c r="D248" s="366">
        <f>'Fuel Curve'!D248</f>
        <v>0.17600000000000002</v>
      </c>
      <c r="E248" s="159">
        <f>VLOOKUP(B248,'PJM Curve Simulation'!$B$9:$F$258,4)</f>
        <v>7.3815711726800001E-2</v>
      </c>
      <c r="F248" s="220">
        <f>VLOOKUP(B248,'PJM Curve Simulation'!$B$9:$F$258,5)</f>
        <v>0.23407721748519347</v>
      </c>
      <c r="G248" s="220">
        <f t="shared" si="16"/>
        <v>19.912388774811774</v>
      </c>
      <c r="H248" s="220">
        <f t="shared" si="17"/>
        <v>4.4623299715296465</v>
      </c>
      <c r="I248" s="220">
        <f t="shared" si="18"/>
        <v>0</v>
      </c>
      <c r="J248" s="378">
        <f t="shared" si="15"/>
        <v>4.6910344827586217</v>
      </c>
    </row>
    <row r="249" spans="2:10">
      <c r="B249" s="234">
        <f>'Revenues &amp; Expenses'!K249</f>
        <v>43891</v>
      </c>
      <c r="C249" s="373">
        <f>'Fuel Curve'!F249</f>
        <v>4.5939655172413802</v>
      </c>
      <c r="D249" s="366">
        <f>'Fuel Curve'!D249</f>
        <v>0.17600000000000002</v>
      </c>
      <c r="E249" s="159">
        <f>VLOOKUP(B249,'PJM Curve Simulation'!$B$9:$F$258,4)</f>
        <v>7.3810872049760001E-2</v>
      </c>
      <c r="F249" s="220">
        <f>VLOOKUP(B249,'PJM Curve Simulation'!$B$9:$F$258,5)</f>
        <v>0.23275576660755912</v>
      </c>
      <c r="G249" s="220">
        <f t="shared" si="16"/>
        <v>19.991786447638603</v>
      </c>
      <c r="H249" s="220">
        <f t="shared" si="17"/>
        <v>4.4712175576277433</v>
      </c>
      <c r="I249" s="220">
        <f t="shared" si="18"/>
        <v>0</v>
      </c>
      <c r="J249" s="378">
        <f t="shared" si="15"/>
        <v>4.5939655172413802</v>
      </c>
    </row>
    <row r="250" spans="2:10">
      <c r="B250" s="234">
        <f>'Revenues &amp; Expenses'!K250</f>
        <v>43922</v>
      </c>
      <c r="C250" s="373">
        <f>'Fuel Curve'!F250</f>
        <v>4.4939655172413797</v>
      </c>
      <c r="D250" s="366">
        <f>'Fuel Curve'!D250</f>
        <v>0.17600000000000002</v>
      </c>
      <c r="E250" s="159">
        <f>VLOOKUP(B250,'PJM Curve Simulation'!$B$9:$F$258,4)</f>
        <v>7.3799890656808004E-2</v>
      </c>
      <c r="F250" s="220">
        <f>VLOOKUP(B250,'PJM Curve Simulation'!$B$9:$F$258,5)</f>
        <v>0.23137779342582865</v>
      </c>
      <c r="G250" s="220">
        <f t="shared" si="16"/>
        <v>20.076659822039698</v>
      </c>
      <c r="H250" s="220">
        <f t="shared" si="17"/>
        <v>4.4806985863857989</v>
      </c>
      <c r="I250" s="220">
        <f t="shared" si="18"/>
        <v>0</v>
      </c>
      <c r="J250" s="378">
        <f t="shared" si="15"/>
        <v>4.4939655172413797</v>
      </c>
    </row>
    <row r="251" spans="2:10">
      <c r="B251" s="234">
        <f>'Revenues &amp; Expenses'!K251</f>
        <v>43952</v>
      </c>
      <c r="C251" s="373">
        <f>'Fuel Curve'!F251</f>
        <v>4.4267241379310347</v>
      </c>
      <c r="D251" s="366">
        <f>'Fuel Curve'!D251</f>
        <v>0.17600000000000002</v>
      </c>
      <c r="E251" s="159">
        <f>VLOOKUP(B251,'PJM Curve Simulation'!$B$9:$F$258,4)</f>
        <v>7.3788182619301007E-2</v>
      </c>
      <c r="F251" s="220">
        <f>VLOOKUP(B251,'PJM Curve Simulation'!$B$9:$F$258,5)</f>
        <v>0.23005729622688018</v>
      </c>
      <c r="G251" s="220">
        <f t="shared" si="16"/>
        <v>20.158795345653662</v>
      </c>
      <c r="H251" s="220">
        <f t="shared" si="17"/>
        <v>4.4898547132010478</v>
      </c>
      <c r="I251" s="220">
        <f t="shared" si="18"/>
        <v>0</v>
      </c>
      <c r="J251" s="378">
        <f t="shared" si="15"/>
        <v>4.4267241379310347</v>
      </c>
    </row>
    <row r="252" spans="2:10">
      <c r="B252" s="234">
        <f>'Revenues &amp; Expenses'!K252</f>
        <v>43983</v>
      </c>
      <c r="C252" s="373">
        <f>'Fuel Curve'!F252</f>
        <v>4.4201724137931047</v>
      </c>
      <c r="D252" s="366">
        <f>'Fuel Curve'!D252</f>
        <v>0.17600000000000002</v>
      </c>
      <c r="E252" s="159">
        <f>VLOOKUP(B252,'PJM Curve Simulation'!$B$9:$F$258,4)</f>
        <v>7.3776084313925003E-2</v>
      </c>
      <c r="F252" s="220">
        <f>VLOOKUP(B252,'PJM Curve Simulation'!$B$9:$F$258,5)</f>
        <v>0.22870114512896697</v>
      </c>
      <c r="G252" s="220">
        <f t="shared" si="16"/>
        <v>20.243668720054757</v>
      </c>
      <c r="H252" s="220">
        <f t="shared" si="17"/>
        <v>4.4992964694555031</v>
      </c>
      <c r="I252" s="220">
        <f t="shared" si="18"/>
        <v>0</v>
      </c>
      <c r="J252" s="378">
        <f t="shared" si="15"/>
        <v>4.4201724137931047</v>
      </c>
    </row>
    <row r="253" spans="2:10">
      <c r="B253" s="234">
        <f>'Revenues &amp; Expenses'!K253</f>
        <v>44013</v>
      </c>
      <c r="C253" s="373">
        <f>'Fuel Curve'!F253</f>
        <v>4.477413793103449</v>
      </c>
      <c r="D253" s="366">
        <f>'Fuel Curve'!D253</f>
        <v>0.17600000000000002</v>
      </c>
      <c r="E253" s="159">
        <f>VLOOKUP(B253,'PJM Curve Simulation'!$B$9:$F$258,4)</f>
        <v>7.3764376276510016E-2</v>
      </c>
      <c r="F253" s="220">
        <f>VLOOKUP(B253,'PJM Curve Simulation'!$B$9:$F$258,5)</f>
        <v>0.22739678207770891</v>
      </c>
      <c r="G253" s="220">
        <f t="shared" si="16"/>
        <v>20.325804243668721</v>
      </c>
      <c r="H253" s="220">
        <f t="shared" si="17"/>
        <v>4.5084148260412684</v>
      </c>
      <c r="I253" s="220">
        <f t="shared" si="18"/>
        <v>0</v>
      </c>
      <c r="J253" s="378">
        <f t="shared" si="15"/>
        <v>4.477413793103449</v>
      </c>
    </row>
    <row r="254" spans="2:10">
      <c r="B254" s="234">
        <f>'Revenues &amp; Expenses'!K254</f>
        <v>44044</v>
      </c>
      <c r="C254" s="373">
        <f>'Fuel Curve'!F254</f>
        <v>4.5679310344827595</v>
      </c>
      <c r="D254" s="366">
        <f>'Fuel Curve'!D254</f>
        <v>0.17600000000000002</v>
      </c>
      <c r="E254" s="159">
        <f>VLOOKUP(B254,'PJM Curve Simulation'!$B$9:$F$258,4)</f>
        <v>7.3752277971228006E-2</v>
      </c>
      <c r="F254" s="220">
        <f>VLOOKUP(B254,'PJM Curve Simulation'!$B$9:$F$258,5)</f>
        <v>0.22605719591446294</v>
      </c>
      <c r="G254" s="220">
        <f t="shared" si="16"/>
        <v>20.410677618069816</v>
      </c>
      <c r="H254" s="220">
        <f t="shared" si="17"/>
        <v>4.5178177938103943</v>
      </c>
      <c r="I254" s="220">
        <f t="shared" si="18"/>
        <v>0</v>
      </c>
      <c r="J254" s="378">
        <f t="shared" si="15"/>
        <v>4.5679310344827595</v>
      </c>
    </row>
    <row r="255" spans="2:10">
      <c r="B255" s="234">
        <f>'Revenues &amp; Expenses'!K255</f>
        <v>44075</v>
      </c>
      <c r="C255" s="373">
        <f>'Fuel Curve'!F255</f>
        <v>4.6627586206896563</v>
      </c>
      <c r="D255" s="366">
        <f>'Fuel Curve'!D255</f>
        <v>0.17600000000000002</v>
      </c>
      <c r="E255" s="159">
        <f>VLOOKUP(B255,'PJM Curve Simulation'!$B$9:$F$258,4)</f>
        <v>7.3740179665999994E-2</v>
      </c>
      <c r="F255" s="220">
        <f>VLOOKUP(B255,'PJM Curve Simulation'!$B$9:$F$258,5)</f>
        <v>0.22472594661253503</v>
      </c>
      <c r="G255" s="220">
        <f t="shared" si="16"/>
        <v>20.495550992470911</v>
      </c>
      <c r="H255" s="220">
        <f t="shared" si="17"/>
        <v>4.5272012317182133</v>
      </c>
      <c r="I255" s="220">
        <f t="shared" si="18"/>
        <v>0</v>
      </c>
      <c r="J255" s="378">
        <f t="shared" si="15"/>
        <v>4.6627586206896563</v>
      </c>
    </row>
    <row r="256" spans="2:10">
      <c r="B256" s="234">
        <f>'Revenues &amp; Expenses'!K256</f>
        <v>44105</v>
      </c>
      <c r="C256" s="373">
        <f>'Fuel Curve'!F256</f>
        <v>4.7553448275862067</v>
      </c>
      <c r="D256" s="366">
        <f>'Fuel Curve'!D256</f>
        <v>0.17600000000000002</v>
      </c>
      <c r="E256" s="159">
        <f>VLOOKUP(B256,'PJM Curve Simulation'!$B$9:$F$258,4)</f>
        <v>7.3728471628718012E-2</v>
      </c>
      <c r="F256" s="220">
        <f>VLOOKUP(B256,'PJM Curve Simulation'!$B$9:$F$258,5)</f>
        <v>0.22344552744093005</v>
      </c>
      <c r="G256" s="220">
        <f t="shared" si="16"/>
        <v>20.577686516084874</v>
      </c>
      <c r="H256" s="220">
        <f t="shared" si="17"/>
        <v>4.5362634972061393</v>
      </c>
      <c r="I256" s="220">
        <f t="shared" si="18"/>
        <v>0</v>
      </c>
      <c r="J256" s="378">
        <f t="shared" si="15"/>
        <v>4.7553448275862067</v>
      </c>
    </row>
    <row r="257" spans="2:10">
      <c r="B257" s="234">
        <f>'Revenues &amp; Expenses'!K257</f>
        <v>44136</v>
      </c>
      <c r="C257" s="373">
        <f>'Fuel Curve'!F257</f>
        <v>4.8046551724137938</v>
      </c>
      <c r="D257" s="366">
        <f>'Fuel Curve'!D257</f>
        <v>0.17600000000000002</v>
      </c>
      <c r="E257" s="159">
        <f>VLOOKUP(B257,'PJM Curve Simulation'!$B$9:$F$258,4)</f>
        <v>7.3716373323580012E-2</v>
      </c>
      <c r="F257" s="220">
        <f>VLOOKUP(B257,'PJM Curve Simulation'!$B$9:$F$258,5)</f>
        <v>0.22213052457318713</v>
      </c>
      <c r="G257" s="220">
        <f t="shared" si="16"/>
        <v>20.662559890485969</v>
      </c>
      <c r="H257" s="220">
        <f t="shared" si="17"/>
        <v>4.5456088580613674</v>
      </c>
      <c r="I257" s="220">
        <f t="shared" si="18"/>
        <v>0</v>
      </c>
      <c r="J257" s="378">
        <f t="shared" si="15"/>
        <v>4.8046551724137938</v>
      </c>
    </row>
    <row r="258" spans="2:10">
      <c r="B258" s="234">
        <f>'Revenues &amp; Expenses'!K258</f>
        <v>44166</v>
      </c>
      <c r="C258" s="373">
        <f>'Fuel Curve'!F258</f>
        <v>4.8474137931034491</v>
      </c>
      <c r="D258" s="366">
        <f>'Fuel Curve'!D258</f>
        <v>0.17600000000000002</v>
      </c>
      <c r="E258" s="159">
        <f>VLOOKUP(B258,'PJM Curve Simulation'!$B$9:$F$258,4)</f>
        <v>7.3704665286396021E-2</v>
      </c>
      <c r="F258" s="220">
        <f>VLOOKUP(B258,'PJM Curve Simulation'!$B$9:$F$258,5)</f>
        <v>0.22086572693958989</v>
      </c>
      <c r="G258" s="220">
        <f>(B258-$B$1)/365.25</f>
        <v>20.744695414099933</v>
      </c>
      <c r="H258" s="220">
        <f t="shared" si="17"/>
        <v>4.5546344984092775</v>
      </c>
      <c r="I258" s="220">
        <f>IF($I$2=0,0,-(D258^2)/2)</f>
        <v>0</v>
      </c>
      <c r="J258" s="378">
        <f t="shared" si="15"/>
        <v>4.8474137931034491</v>
      </c>
    </row>
    <row r="259" spans="2:10">
      <c r="B259" s="234">
        <f>'Revenues &amp; Expenses'!K259</f>
        <v>44197</v>
      </c>
    </row>
    <row r="260" spans="2:10">
      <c r="B260" s="234"/>
    </row>
    <row r="261" spans="2:10">
      <c r="B261" s="234"/>
    </row>
    <row r="262" spans="2:10">
      <c r="B262" s="234"/>
    </row>
    <row r="263" spans="2:10">
      <c r="B263" s="234"/>
    </row>
    <row r="264" spans="2:10">
      <c r="B264" s="234"/>
    </row>
    <row r="265" spans="2:10">
      <c r="B265" s="234"/>
    </row>
    <row r="266" spans="2:10">
      <c r="B266" s="234"/>
    </row>
    <row r="267" spans="2:10">
      <c r="B267" s="234"/>
    </row>
    <row r="268" spans="2:10">
      <c r="B268" s="234"/>
    </row>
    <row r="269" spans="2:10">
      <c r="B269" s="234"/>
    </row>
    <row r="270" spans="2:10">
      <c r="B270" s="234"/>
    </row>
    <row r="271" spans="2:10">
      <c r="B271" s="234"/>
    </row>
    <row r="272" spans="2:10">
      <c r="B272" s="234"/>
    </row>
    <row r="273" spans="2:2">
      <c r="B273" s="234"/>
    </row>
    <row r="274" spans="2:2">
      <c r="B274" s="234"/>
    </row>
    <row r="275" spans="2:2">
      <c r="B275" s="234"/>
    </row>
    <row r="276" spans="2:2">
      <c r="B276" s="234"/>
    </row>
    <row r="277" spans="2:2">
      <c r="B277" s="234"/>
    </row>
    <row r="278" spans="2:2">
      <c r="B278" s="234"/>
    </row>
    <row r="279" spans="2:2">
      <c r="B279" s="234"/>
    </row>
    <row r="280" spans="2:2">
      <c r="B280" s="234"/>
    </row>
    <row r="281" spans="2:2">
      <c r="B281" s="234"/>
    </row>
    <row r="282" spans="2:2">
      <c r="B282" s="234"/>
    </row>
    <row r="283" spans="2:2">
      <c r="B283" s="234"/>
    </row>
    <row r="284" spans="2:2">
      <c r="B284" s="234"/>
    </row>
    <row r="285" spans="2:2">
      <c r="B285" s="234"/>
    </row>
    <row r="286" spans="2:2">
      <c r="B286" s="234"/>
    </row>
    <row r="287" spans="2:2">
      <c r="B287" s="234"/>
    </row>
    <row r="288" spans="2:2">
      <c r="B288" s="234"/>
    </row>
    <row r="289" spans="2:2">
      <c r="B289" s="234"/>
    </row>
    <row r="290" spans="2:2">
      <c r="B290" s="234"/>
    </row>
    <row r="291" spans="2:2">
      <c r="B291" s="234"/>
    </row>
    <row r="292" spans="2:2">
      <c r="B292" s="234"/>
    </row>
    <row r="293" spans="2:2">
      <c r="B293" s="234"/>
    </row>
    <row r="294" spans="2:2">
      <c r="B294" s="234"/>
    </row>
    <row r="295" spans="2:2">
      <c r="B295" s="234"/>
    </row>
    <row r="296" spans="2:2">
      <c r="B296" s="234"/>
    </row>
    <row r="297" spans="2:2">
      <c r="B297" s="234"/>
    </row>
    <row r="298" spans="2:2">
      <c r="B298" s="234"/>
    </row>
    <row r="299" spans="2:2">
      <c r="B299" s="234"/>
    </row>
    <row r="300" spans="2:2">
      <c r="B300" s="234"/>
    </row>
    <row r="301" spans="2:2">
      <c r="B301" s="234"/>
    </row>
    <row r="302" spans="2:2">
      <c r="B302" s="234"/>
    </row>
    <row r="303" spans="2:2">
      <c r="B303" s="234"/>
    </row>
    <row r="304" spans="2:2">
      <c r="B304" s="234"/>
    </row>
    <row r="305" spans="2:2">
      <c r="B305" s="234"/>
    </row>
    <row r="306" spans="2:2">
      <c r="B306" s="234"/>
    </row>
    <row r="307" spans="2:2">
      <c r="B307" s="234"/>
    </row>
    <row r="308" spans="2:2">
      <c r="B308" s="234"/>
    </row>
    <row r="309" spans="2:2">
      <c r="B309" s="234"/>
    </row>
    <row r="310" spans="2:2">
      <c r="B310" s="234"/>
    </row>
    <row r="311" spans="2:2">
      <c r="B311" s="234"/>
    </row>
    <row r="312" spans="2:2">
      <c r="B312" s="234"/>
    </row>
    <row r="313" spans="2:2">
      <c r="B313" s="234"/>
    </row>
    <row r="314" spans="2:2">
      <c r="B314" s="234"/>
    </row>
    <row r="315" spans="2:2">
      <c r="B315" s="234"/>
    </row>
    <row r="316" spans="2:2">
      <c r="B316" s="234"/>
    </row>
    <row r="317" spans="2:2">
      <c r="B317" s="234"/>
    </row>
    <row r="318" spans="2:2">
      <c r="B318" s="234"/>
    </row>
    <row r="319" spans="2:2">
      <c r="B319" s="234"/>
    </row>
    <row r="320" spans="2:2">
      <c r="B320" s="234"/>
    </row>
    <row r="321" spans="2:2">
      <c r="B321" s="234"/>
    </row>
    <row r="322" spans="2:2">
      <c r="B322" s="234"/>
    </row>
    <row r="323" spans="2:2">
      <c r="B323" s="234"/>
    </row>
    <row r="324" spans="2:2">
      <c r="B324" s="234"/>
    </row>
    <row r="325" spans="2:2">
      <c r="B325" s="234"/>
    </row>
    <row r="326" spans="2:2">
      <c r="B326" s="234"/>
    </row>
    <row r="327" spans="2:2">
      <c r="B327" s="234"/>
    </row>
    <row r="328" spans="2:2">
      <c r="B328" s="234"/>
    </row>
    <row r="329" spans="2:2">
      <c r="B329" s="234"/>
    </row>
    <row r="330" spans="2:2">
      <c r="B330" s="234"/>
    </row>
    <row r="331" spans="2:2">
      <c r="B331" s="234"/>
    </row>
    <row r="332" spans="2:2">
      <c r="B332" s="234"/>
    </row>
    <row r="333" spans="2:2">
      <c r="B333" s="234"/>
    </row>
    <row r="334" spans="2:2">
      <c r="B334" s="234"/>
    </row>
    <row r="335" spans="2:2">
      <c r="B335" s="234"/>
    </row>
    <row r="336" spans="2:2">
      <c r="B336" s="234"/>
    </row>
    <row r="337" spans="2:2">
      <c r="B337" s="234"/>
    </row>
    <row r="338" spans="2:2">
      <c r="B338" s="234"/>
    </row>
    <row r="339" spans="2:2">
      <c r="B339" s="234"/>
    </row>
    <row r="340" spans="2:2">
      <c r="B340" s="234"/>
    </row>
    <row r="341" spans="2:2">
      <c r="B341" s="234"/>
    </row>
    <row r="342" spans="2:2">
      <c r="B342" s="234"/>
    </row>
    <row r="343" spans="2:2">
      <c r="B343" s="234"/>
    </row>
    <row r="344" spans="2:2">
      <c r="B344" s="234"/>
    </row>
    <row r="345" spans="2:2">
      <c r="B345" s="234"/>
    </row>
    <row r="346" spans="2:2">
      <c r="B346" s="234"/>
    </row>
    <row r="347" spans="2:2">
      <c r="B347" s="234"/>
    </row>
    <row r="348" spans="2:2">
      <c r="B348" s="234"/>
    </row>
    <row r="349" spans="2:2">
      <c r="B349" s="234"/>
    </row>
    <row r="350" spans="2:2">
      <c r="B350" s="234"/>
    </row>
    <row r="351" spans="2:2">
      <c r="B351" s="234"/>
    </row>
    <row r="352" spans="2:2">
      <c r="B352" s="234"/>
    </row>
    <row r="353" spans="2:2">
      <c r="B353" s="234"/>
    </row>
    <row r="354" spans="2:2">
      <c r="B354" s="234"/>
    </row>
    <row r="355" spans="2:2">
      <c r="B355" s="234"/>
    </row>
    <row r="356" spans="2:2">
      <c r="B356" s="234"/>
    </row>
    <row r="357" spans="2:2">
      <c r="B357" s="234"/>
    </row>
    <row r="358" spans="2:2">
      <c r="B358" s="234"/>
    </row>
    <row r="359" spans="2:2">
      <c r="B359" s="234"/>
    </row>
  </sheetData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778"/>
  <sheetViews>
    <sheetView topLeftCell="K1" workbookViewId="0">
      <selection activeCell="K2" sqref="K2"/>
    </sheetView>
  </sheetViews>
  <sheetFormatPr defaultColWidth="0" defaultRowHeight="13.8"/>
  <cols>
    <col min="1" max="1" width="11.33203125" style="78" hidden="1" customWidth="1"/>
    <col min="2" max="2" width="0.88671875" style="78" hidden="1" customWidth="1"/>
    <col min="3" max="3" width="10.33203125" style="78" hidden="1" customWidth="1"/>
    <col min="4" max="8" width="0" style="78" hidden="1" customWidth="1"/>
    <col min="9" max="9" width="0.88671875" style="78" hidden="1" customWidth="1"/>
    <col min="10" max="10" width="3" style="78" hidden="1" customWidth="1"/>
    <col min="11" max="11" width="9.6640625" style="93" customWidth="1"/>
    <col min="12" max="13" width="9.109375" style="78" bestFit="1" customWidth="1"/>
    <col min="14" max="14" width="12" style="78" bestFit="1" customWidth="1"/>
    <col min="15" max="15" width="10" style="82" bestFit="1" customWidth="1"/>
    <col min="16" max="16" width="0.88671875" style="79" customWidth="1"/>
    <col min="17" max="17" width="10.109375" style="78" customWidth="1"/>
    <col min="18" max="18" width="15" style="78" bestFit="1" customWidth="1"/>
    <col min="19" max="19" width="16.88671875" style="78" customWidth="1"/>
    <col min="20" max="20" width="3.33203125" style="78" bestFit="1" customWidth="1"/>
    <col min="21" max="21" width="0.6640625" style="79" customWidth="1"/>
    <col min="22" max="22" width="12" style="78" customWidth="1"/>
    <col min="23" max="23" width="0.88671875" style="78" customWidth="1"/>
    <col min="24" max="24" width="12" style="78" customWidth="1"/>
    <col min="25" max="25" width="0.88671875" style="79" customWidth="1"/>
    <col min="26" max="26" width="0.6640625" style="79" customWidth="1"/>
    <col min="27" max="27" width="6.6640625" style="78" customWidth="1"/>
    <col min="28" max="28" width="11" style="85" bestFit="1" customWidth="1"/>
    <col min="29" max="29" width="12.109375" style="85" bestFit="1" customWidth="1"/>
    <col min="30" max="30" width="12.6640625" style="78" customWidth="1"/>
    <col min="31" max="31" width="0.88671875" style="83" customWidth="1"/>
    <col min="32" max="35" width="12.6640625" style="83" customWidth="1"/>
    <col min="36" max="36" width="15.44140625" style="83" bestFit="1" customWidth="1"/>
    <col min="37" max="37" width="12.109375" style="78" bestFit="1" customWidth="1"/>
    <col min="38" max="39" width="11" style="78" bestFit="1" customWidth="1"/>
    <col min="40" max="40" width="12.109375" style="78" bestFit="1" customWidth="1"/>
    <col min="41" max="41" width="10" style="78" bestFit="1" customWidth="1"/>
    <col min="42" max="42" width="11" style="78" bestFit="1" customWidth="1"/>
    <col min="43" max="43" width="12" style="78" bestFit="1" customWidth="1"/>
    <col min="44" max="44" width="10" style="78" bestFit="1" customWidth="1"/>
    <col min="45" max="45" width="13" style="78" bestFit="1" customWidth="1"/>
    <col min="46" max="46" width="10" style="78" bestFit="1" customWidth="1"/>
    <col min="47" max="48" width="12" style="78" bestFit="1" customWidth="1"/>
    <col min="49" max="49" width="1.6640625" style="449" customWidth="1"/>
    <col min="50" max="50" width="9.33203125" style="78" customWidth="1"/>
    <col min="51" max="51" width="12.44140625" style="85" bestFit="1" customWidth="1"/>
    <col min="52" max="52" width="14" style="85" bestFit="1" customWidth="1"/>
    <col min="53" max="58" width="9.109375" style="78" customWidth="1"/>
    <col min="59" max="59" width="12.6640625" style="78" bestFit="1" customWidth="1"/>
    <col min="60" max="60" width="11.6640625" style="78" bestFit="1" customWidth="1"/>
    <col min="61" max="61" width="9.109375" style="78" customWidth="1"/>
    <col min="62" max="62" width="12" style="85" bestFit="1" customWidth="1"/>
    <col min="63" max="63" width="12" style="78" bestFit="1" customWidth="1"/>
    <col min="64" max="64" width="10" style="78" bestFit="1" customWidth="1"/>
    <col min="65" max="65" width="11.5546875" style="78" bestFit="1" customWidth="1"/>
    <col min="66" max="69" width="9.109375" style="78" customWidth="1"/>
    <col min="70" max="110" width="0" style="80" hidden="1" customWidth="1"/>
    <col min="111" max="16384" width="0" style="78" hidden="1"/>
  </cols>
  <sheetData>
    <row r="1" spans="1:69" ht="14.4" thickBot="1">
      <c r="A1" s="89"/>
      <c r="C1" s="79"/>
      <c r="D1" s="80"/>
      <c r="E1" s="80"/>
      <c r="F1" s="81"/>
      <c r="K1" s="90">
        <v>36589</v>
      </c>
      <c r="S1" s="91" t="s">
        <v>91</v>
      </c>
      <c r="T1" s="92">
        <v>44</v>
      </c>
      <c r="U1" s="88"/>
      <c r="AB1" s="88"/>
      <c r="AC1" s="88"/>
      <c r="AF1" s="148">
        <v>1</v>
      </c>
      <c r="AS1" s="84"/>
    </row>
    <row r="2" spans="1:69">
      <c r="A2" s="80"/>
      <c r="B2" s="80"/>
      <c r="C2" s="80"/>
      <c r="D2" s="80"/>
      <c r="E2" s="80"/>
      <c r="F2" s="85"/>
      <c r="R2" s="94" t="s">
        <v>0</v>
      </c>
      <c r="S2" s="95">
        <v>9579</v>
      </c>
      <c r="AB2" s="88"/>
      <c r="AC2" s="88"/>
      <c r="AY2" s="757" t="s">
        <v>229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7"/>
      <c r="BL2" s="534"/>
      <c r="BM2" s="534"/>
      <c r="BN2" s="757" t="s">
        <v>238</v>
      </c>
      <c r="BO2" s="757"/>
      <c r="BP2" s="757"/>
      <c r="BQ2" s="757"/>
    </row>
    <row r="3" spans="1:69">
      <c r="A3" s="80"/>
      <c r="B3" s="80"/>
      <c r="C3" s="80"/>
      <c r="D3" s="96"/>
      <c r="E3" s="96"/>
      <c r="F3" s="85"/>
      <c r="G3" s="86"/>
      <c r="H3" s="86"/>
      <c r="I3" s="86"/>
      <c r="J3" s="80"/>
      <c r="K3" s="97"/>
      <c r="L3" s="80"/>
      <c r="M3" s="80"/>
      <c r="N3" s="80"/>
      <c r="O3" s="87"/>
      <c r="P3" s="80"/>
      <c r="Q3" s="80"/>
      <c r="R3" s="98" t="s">
        <v>105</v>
      </c>
      <c r="S3" s="98">
        <v>310.66000000000003</v>
      </c>
      <c r="T3" s="80"/>
      <c r="U3" s="80"/>
      <c r="V3" s="80"/>
      <c r="W3" s="80"/>
      <c r="X3" s="446"/>
      <c r="Y3" s="80"/>
      <c r="Z3" s="80"/>
      <c r="AA3" s="80"/>
      <c r="AB3" s="88"/>
      <c r="AC3" s="88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518">
        <v>250000</v>
      </c>
      <c r="AT3" s="80"/>
      <c r="AU3" s="80"/>
      <c r="AV3" s="80"/>
      <c r="AW3" s="450"/>
      <c r="AX3" s="80"/>
      <c r="AY3" s="88"/>
      <c r="AZ3" s="88"/>
      <c r="BA3" s="80"/>
      <c r="BB3" s="80"/>
      <c r="BC3" s="80"/>
      <c r="BD3" s="80"/>
      <c r="BE3" s="80"/>
      <c r="BF3" s="80"/>
      <c r="BG3" s="80"/>
      <c r="BH3" s="80"/>
      <c r="BI3" s="80"/>
      <c r="BJ3" s="88"/>
      <c r="BK3" s="80"/>
      <c r="BL3" s="80"/>
      <c r="BM3" s="80"/>
      <c r="BN3" s="80"/>
      <c r="BO3" s="80"/>
      <c r="BP3" s="80"/>
      <c r="BQ3" s="80"/>
    </row>
    <row r="4" spans="1:69">
      <c r="A4" s="80"/>
      <c r="B4" s="80"/>
      <c r="C4" s="80"/>
      <c r="D4" s="96"/>
      <c r="E4" s="96"/>
      <c r="F4" s="85"/>
      <c r="J4" s="80"/>
      <c r="K4" s="97"/>
      <c r="L4" s="80"/>
      <c r="M4" s="80"/>
      <c r="N4" s="80"/>
      <c r="O4" s="87"/>
      <c r="P4" s="80"/>
      <c r="Q4" s="80"/>
      <c r="R4" s="98" t="s">
        <v>104</v>
      </c>
      <c r="S4" s="99">
        <v>0.98</v>
      </c>
      <c r="T4" s="80"/>
      <c r="U4" s="80"/>
      <c r="V4" s="80"/>
      <c r="W4" s="80"/>
      <c r="X4" s="446"/>
      <c r="Y4" s="80"/>
      <c r="Z4" s="80"/>
      <c r="AA4" s="80"/>
      <c r="AB4" s="100"/>
      <c r="AC4" s="80"/>
      <c r="AD4" s="239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517">
        <v>124666000</v>
      </c>
      <c r="AT4" s="80"/>
      <c r="AU4" s="80"/>
      <c r="AV4" s="80"/>
      <c r="AW4" s="450"/>
      <c r="AX4" s="80"/>
      <c r="AY4" s="88"/>
      <c r="AZ4" s="88"/>
      <c r="BA4" s="80"/>
      <c r="BB4" s="80"/>
      <c r="BC4" s="80"/>
      <c r="BD4" s="80"/>
      <c r="BE4" s="80"/>
      <c r="BF4" s="80"/>
      <c r="BG4" s="80"/>
      <c r="BH4" s="80"/>
      <c r="BI4" s="80"/>
      <c r="BJ4" s="88"/>
      <c r="BK4" s="80"/>
      <c r="BL4" s="80"/>
      <c r="BM4" s="80"/>
      <c r="BN4" s="80"/>
      <c r="BO4" s="80"/>
      <c r="BP4" s="80"/>
      <c r="BQ4" s="80"/>
    </row>
    <row r="5" spans="1:69" s="103" customFormat="1" ht="14.4" thickBot="1">
      <c r="A5" s="78"/>
      <c r="B5" s="78"/>
      <c r="C5" s="78"/>
      <c r="D5" s="78"/>
      <c r="E5" s="78"/>
      <c r="F5" s="101" t="s">
        <v>18</v>
      </c>
      <c r="G5" s="102" t="s">
        <v>57</v>
      </c>
      <c r="H5" s="102"/>
      <c r="I5" s="78"/>
      <c r="K5" s="89"/>
      <c r="O5" s="104">
        <v>2.7E-2</v>
      </c>
      <c r="R5" s="447"/>
      <c r="X5" s="447"/>
      <c r="AB5" s="105"/>
      <c r="AC5" s="105" t="s">
        <v>8</v>
      </c>
      <c r="AK5" s="513">
        <f>0.6*1000000</f>
        <v>600000</v>
      </c>
      <c r="AL5" s="514">
        <f>1.53*1000000</f>
        <v>1530000</v>
      </c>
      <c r="AM5" s="515">
        <v>2E-3</v>
      </c>
      <c r="AN5" s="514">
        <f>1.4*1000000</f>
        <v>1400000</v>
      </c>
      <c r="AO5" s="514">
        <f>0.3*1000000</f>
        <v>300000</v>
      </c>
      <c r="AP5" s="516">
        <f>558000/12+PMT(0.07/12,20*12,-6000000)*12/10^6</f>
        <v>46500.558215233643</v>
      </c>
      <c r="AR5" s="517">
        <f>0.15*1000000</f>
        <v>150000</v>
      </c>
      <c r="AS5" s="519">
        <v>2.9099999999999998E-3</v>
      </c>
      <c r="AV5" s="105"/>
      <c r="AW5" s="451"/>
      <c r="AY5" s="105"/>
      <c r="AZ5" s="105"/>
      <c r="BB5" s="521">
        <f>SUM(BB12:BB258)-SUM('Curve Analysis - Base Case'!C4:C250)</f>
        <v>0</v>
      </c>
      <c r="BC5" s="505">
        <f>SUM(BC12:BC258)-SUM('Curve Analysis - Base Case'!D4:D250)</f>
        <v>0</v>
      </c>
      <c r="BJ5" s="105"/>
    </row>
    <row r="6" spans="1:69" s="103" customFormat="1">
      <c r="A6" s="106" t="s">
        <v>58</v>
      </c>
      <c r="B6" s="78"/>
      <c r="C6" s="107" t="s">
        <v>59</v>
      </c>
      <c r="D6" s="78"/>
      <c r="E6" s="108" t="s">
        <v>60</v>
      </c>
      <c r="F6" s="109" t="s">
        <v>61</v>
      </c>
      <c r="G6" s="108" t="s">
        <v>61</v>
      </c>
      <c r="H6" s="108" t="s">
        <v>3</v>
      </c>
      <c r="I6" s="78"/>
      <c r="K6" s="89"/>
      <c r="L6" s="756">
        <v>36199</v>
      </c>
      <c r="M6" s="756"/>
      <c r="N6" s="103" t="s">
        <v>54</v>
      </c>
      <c r="O6" s="110" t="s">
        <v>95</v>
      </c>
      <c r="Q6" s="505"/>
      <c r="R6" s="119" t="s">
        <v>115</v>
      </c>
      <c r="S6" s="103" t="s">
        <v>1</v>
      </c>
      <c r="V6" s="103" t="s">
        <v>11</v>
      </c>
      <c r="X6" s="119" t="s">
        <v>115</v>
      </c>
      <c r="AB6" s="105" t="s">
        <v>78</v>
      </c>
      <c r="AC6" s="105" t="s">
        <v>92</v>
      </c>
      <c r="AD6" s="152" t="s">
        <v>8</v>
      </c>
      <c r="AE6" s="105"/>
      <c r="AF6" s="105" t="s">
        <v>2</v>
      </c>
      <c r="AG6" s="105" t="s">
        <v>111</v>
      </c>
      <c r="AH6" s="105" t="s">
        <v>114</v>
      </c>
      <c r="AI6" s="105" t="s">
        <v>3</v>
      </c>
      <c r="AJ6" s="105" t="s">
        <v>117</v>
      </c>
      <c r="AL6" s="103" t="s">
        <v>223</v>
      </c>
      <c r="AM6" s="103" t="s">
        <v>90</v>
      </c>
      <c r="AN6" s="103" t="s">
        <v>98</v>
      </c>
      <c r="AO6" s="103" t="s">
        <v>99</v>
      </c>
      <c r="AP6" s="103" t="s">
        <v>100</v>
      </c>
      <c r="AQ6" s="103" t="s">
        <v>3</v>
      </c>
      <c r="AS6" s="519">
        <v>7.4999999999999997E-3</v>
      </c>
      <c r="AT6" s="520">
        <v>0.6</v>
      </c>
      <c r="AU6" s="103" t="s">
        <v>3</v>
      </c>
      <c r="AV6" s="105"/>
      <c r="AW6" s="451"/>
      <c r="AY6" s="105" t="s">
        <v>225</v>
      </c>
      <c r="AZ6" s="105" t="s">
        <v>227</v>
      </c>
      <c r="BB6" s="103" t="s">
        <v>180</v>
      </c>
      <c r="BF6" s="103" t="s">
        <v>180</v>
      </c>
      <c r="BG6" s="103" t="s">
        <v>231</v>
      </c>
      <c r="BH6" s="103" t="s">
        <v>234</v>
      </c>
      <c r="BJ6" s="535" t="s">
        <v>235</v>
      </c>
      <c r="BK6" s="103" t="s">
        <v>213</v>
      </c>
    </row>
    <row r="7" spans="1:69" s="103" customFormat="1" ht="14.4" thickBot="1">
      <c r="A7" s="78">
        <v>1</v>
      </c>
      <c r="B7" s="78"/>
      <c r="C7" s="111">
        <v>31</v>
      </c>
      <c r="D7" s="112" t="s">
        <v>62</v>
      </c>
      <c r="E7" s="113">
        <v>36526</v>
      </c>
      <c r="F7" s="85">
        <v>21</v>
      </c>
      <c r="G7" s="84">
        <f>C7-F7</f>
        <v>10</v>
      </c>
      <c r="H7" s="84"/>
      <c r="I7" s="78"/>
      <c r="K7" s="114"/>
      <c r="L7" s="115" t="s">
        <v>52</v>
      </c>
      <c r="M7" s="115" t="s">
        <v>53</v>
      </c>
      <c r="N7" s="115" t="s">
        <v>9</v>
      </c>
      <c r="O7" s="116" t="s">
        <v>27</v>
      </c>
      <c r="Q7" s="115" t="s">
        <v>10</v>
      </c>
      <c r="R7" s="120" t="s">
        <v>10</v>
      </c>
      <c r="S7" s="115" t="s">
        <v>4</v>
      </c>
      <c r="T7" s="115"/>
      <c r="V7" s="115" t="s">
        <v>6</v>
      </c>
      <c r="W7" s="115"/>
      <c r="X7" s="120" t="s">
        <v>116</v>
      </c>
      <c r="AA7" s="115" t="s">
        <v>7</v>
      </c>
      <c r="AB7" s="117" t="s">
        <v>8</v>
      </c>
      <c r="AC7" s="117" t="s">
        <v>93</v>
      </c>
      <c r="AD7" s="120" t="s">
        <v>94</v>
      </c>
      <c r="AE7" s="115"/>
      <c r="AF7" s="115" t="s">
        <v>110</v>
      </c>
      <c r="AG7" s="115" t="s">
        <v>112</v>
      </c>
      <c r="AH7" s="115" t="s">
        <v>112</v>
      </c>
      <c r="AI7" s="115" t="s">
        <v>112</v>
      </c>
      <c r="AJ7" s="115" t="s">
        <v>110</v>
      </c>
      <c r="AK7" s="115" t="s">
        <v>102</v>
      </c>
      <c r="AL7" s="115" t="s">
        <v>97</v>
      </c>
      <c r="AM7" s="115" t="s">
        <v>89</v>
      </c>
      <c r="AN7" s="115" t="s">
        <v>106</v>
      </c>
      <c r="AO7" s="115" t="s">
        <v>96</v>
      </c>
      <c r="AP7" s="115" t="s">
        <v>101</v>
      </c>
      <c r="AQ7" s="115" t="s">
        <v>99</v>
      </c>
      <c r="AR7" s="115" t="s">
        <v>107</v>
      </c>
      <c r="AS7" s="115" t="s">
        <v>108</v>
      </c>
      <c r="AT7" s="115" t="s">
        <v>109</v>
      </c>
      <c r="AU7" s="115" t="s">
        <v>118</v>
      </c>
      <c r="AV7" s="115" t="s">
        <v>119</v>
      </c>
      <c r="AW7" s="452"/>
      <c r="AX7" s="115"/>
      <c r="AY7" s="117" t="s">
        <v>226</v>
      </c>
      <c r="AZ7" s="117" t="s">
        <v>228</v>
      </c>
      <c r="BA7" s="115"/>
      <c r="BB7" s="115" t="s">
        <v>170</v>
      </c>
      <c r="BC7" s="115" t="s">
        <v>208</v>
      </c>
      <c r="BD7" s="115" t="s">
        <v>171</v>
      </c>
      <c r="BE7" s="115" t="s">
        <v>230</v>
      </c>
      <c r="BF7" s="115" t="s">
        <v>5</v>
      </c>
      <c r="BG7" s="115" t="s">
        <v>232</v>
      </c>
      <c r="BH7" s="115" t="s">
        <v>233</v>
      </c>
      <c r="BI7" s="115"/>
      <c r="BJ7" s="536" t="s">
        <v>236</v>
      </c>
      <c r="BK7" s="115" t="s">
        <v>237</v>
      </c>
      <c r="BL7" s="115"/>
      <c r="BM7" s="115" t="s">
        <v>179</v>
      </c>
      <c r="BN7" s="115"/>
      <c r="BO7" s="115"/>
      <c r="BP7" s="115"/>
      <c r="BQ7" s="115"/>
    </row>
    <row r="8" spans="1:69">
      <c r="A8" s="78">
        <f>A7+1</f>
        <v>2</v>
      </c>
      <c r="C8" s="129">
        <v>29</v>
      </c>
      <c r="D8" s="130" t="s">
        <v>63</v>
      </c>
      <c r="E8" s="113">
        <f>E7+C7</f>
        <v>36557</v>
      </c>
      <c r="F8" s="85">
        <v>21</v>
      </c>
      <c r="G8" s="84">
        <f t="shared" ref="G8:G18" si="0">C8-F8</f>
        <v>8</v>
      </c>
      <c r="H8" s="84"/>
      <c r="J8" s="78">
        <f>K9-K8</f>
        <v>29</v>
      </c>
      <c r="K8" s="149">
        <v>36557</v>
      </c>
      <c r="L8" s="131"/>
      <c r="M8" s="131"/>
      <c r="N8" s="132"/>
      <c r="O8" s="133"/>
      <c r="P8" s="132"/>
      <c r="Q8" s="134"/>
      <c r="R8" s="238"/>
      <c r="S8" s="135"/>
      <c r="T8" s="136"/>
      <c r="U8" s="137"/>
      <c r="V8" s="135"/>
      <c r="W8" s="135"/>
      <c r="X8" s="118"/>
      <c r="Y8" s="137"/>
      <c r="Z8" s="137"/>
      <c r="AD8" s="153"/>
      <c r="AE8" s="150"/>
      <c r="AF8" s="150"/>
      <c r="AG8" s="150"/>
      <c r="AH8" s="150"/>
      <c r="AI8" s="150"/>
      <c r="AJ8" s="150"/>
      <c r="AM8" s="85"/>
      <c r="AX8" s="93">
        <f>K8</f>
        <v>36557</v>
      </c>
      <c r="BJ8" s="537"/>
    </row>
    <row r="9" spans="1:69" ht="16.5" customHeight="1">
      <c r="A9" s="78">
        <f t="shared" ref="A9:A72" si="1">A8+1</f>
        <v>3</v>
      </c>
      <c r="C9" s="129">
        <v>31</v>
      </c>
      <c r="D9" s="130" t="s">
        <v>64</v>
      </c>
      <c r="E9" s="113">
        <f t="shared" ref="E9:E72" si="2">E8+C8</f>
        <v>36586</v>
      </c>
      <c r="F9" s="85">
        <v>23</v>
      </c>
      <c r="G9" s="84">
        <f t="shared" si="0"/>
        <v>8</v>
      </c>
      <c r="H9" s="84"/>
      <c r="I9" s="102"/>
      <c r="J9" s="78">
        <f t="shared" ref="J9:J72" si="3">K10-K9</f>
        <v>31</v>
      </c>
      <c r="K9" s="149">
        <v>36586</v>
      </c>
      <c r="L9" s="506">
        <v>5.9499514528595018E-2</v>
      </c>
      <c r="M9" s="507">
        <v>5.8667181517753013E-2</v>
      </c>
      <c r="N9" s="132">
        <f>(1+L9/2)^(-2*((K9+$T$1)-$K$1)/365.25)</f>
        <v>0.99344009907245145</v>
      </c>
      <c r="O9" s="133">
        <f>VLOOKUP(K9,Inflation!$B$8:$C$266,2)</f>
        <v>1.0066827130792793</v>
      </c>
      <c r="P9" s="132"/>
      <c r="Q9" s="134"/>
      <c r="R9" s="238"/>
      <c r="S9" s="135"/>
      <c r="T9" s="136"/>
      <c r="U9" s="137"/>
      <c r="V9" s="135"/>
      <c r="W9" s="135"/>
      <c r="X9" s="118"/>
      <c r="Y9" s="512"/>
      <c r="Z9" s="137"/>
      <c r="AD9" s="153"/>
      <c r="AE9" s="150"/>
      <c r="AF9" s="150"/>
      <c r="AG9" s="150"/>
      <c r="AH9" s="150"/>
      <c r="AI9" s="150"/>
      <c r="AJ9" s="150"/>
      <c r="AM9" s="85"/>
      <c r="AX9" s="93">
        <f t="shared" ref="AX9:AX72" si="4">K9</f>
        <v>36586</v>
      </c>
      <c r="BJ9" s="537"/>
    </row>
    <row r="10" spans="1:69" ht="16.5" customHeight="1">
      <c r="A10" s="78">
        <f t="shared" si="1"/>
        <v>4</v>
      </c>
      <c r="C10" s="129">
        <v>30</v>
      </c>
      <c r="D10" s="130" t="s">
        <v>65</v>
      </c>
      <c r="E10" s="113">
        <f t="shared" si="2"/>
        <v>36617</v>
      </c>
      <c r="F10" s="85">
        <v>20</v>
      </c>
      <c r="G10" s="84">
        <f t="shared" si="0"/>
        <v>10</v>
      </c>
      <c r="H10" s="84"/>
      <c r="I10" s="151"/>
      <c r="J10" s="78">
        <f t="shared" si="3"/>
        <v>30</v>
      </c>
      <c r="K10" s="149">
        <v>36617</v>
      </c>
      <c r="L10" s="508">
        <v>6.0428152685413017E-2</v>
      </c>
      <c r="M10" s="509">
        <v>5.8863659044766009E-2</v>
      </c>
      <c r="N10" s="132">
        <f t="shared" ref="N10:N71" si="5">(1+L10/2)^(-2*((K10+$T$1)-$K$1)/365.25)</f>
        <v>0.98833308655731011</v>
      </c>
      <c r="O10" s="133">
        <f>VLOOKUP(K10,Inflation!$B$8:$C$266,2)</f>
        <v>1.0089201935541268</v>
      </c>
      <c r="P10" s="132"/>
      <c r="Q10" s="134"/>
      <c r="R10" s="238"/>
      <c r="S10" s="135"/>
      <c r="T10" s="136"/>
      <c r="U10" s="137"/>
      <c r="V10" s="135"/>
      <c r="W10" s="135"/>
      <c r="X10" s="118"/>
      <c r="Y10" s="512"/>
      <c r="Z10" s="137"/>
      <c r="AD10" s="153"/>
      <c r="AE10" s="150"/>
      <c r="AF10" s="150"/>
      <c r="AG10" s="150"/>
      <c r="AH10" s="150"/>
      <c r="AI10" s="150"/>
      <c r="AJ10" s="150"/>
      <c r="AM10" s="85"/>
      <c r="AU10" s="84"/>
      <c r="AX10" s="93">
        <f t="shared" si="4"/>
        <v>36617</v>
      </c>
      <c r="BJ10" s="537"/>
    </row>
    <row r="11" spans="1:69" ht="16.5" customHeight="1">
      <c r="A11" s="78">
        <f t="shared" si="1"/>
        <v>5</v>
      </c>
      <c r="C11" s="129">
        <v>31</v>
      </c>
      <c r="D11" s="130" t="s">
        <v>38</v>
      </c>
      <c r="E11" s="113">
        <f t="shared" si="2"/>
        <v>36647</v>
      </c>
      <c r="F11" s="85">
        <v>23</v>
      </c>
      <c r="G11" s="84">
        <f t="shared" si="0"/>
        <v>8</v>
      </c>
      <c r="H11" s="84"/>
      <c r="I11" s="84"/>
      <c r="J11" s="78">
        <f t="shared" si="3"/>
        <v>31</v>
      </c>
      <c r="K11" s="149">
        <v>36647</v>
      </c>
      <c r="L11" s="508">
        <v>6.1278503814639021E-2</v>
      </c>
      <c r="M11" s="509">
        <v>5.8863659044765003E-2</v>
      </c>
      <c r="N11" s="132">
        <f t="shared" si="5"/>
        <v>0.9832855057683797</v>
      </c>
      <c r="O11" s="133">
        <f>VLOOKUP(K11,Inflation!$B$8:$C$266,2)</f>
        <v>1.0111626471141484</v>
      </c>
      <c r="P11" s="132"/>
      <c r="Q11" s="134"/>
      <c r="R11" s="238"/>
      <c r="S11" s="135"/>
      <c r="T11" s="136"/>
      <c r="U11" s="137"/>
      <c r="V11" s="135"/>
      <c r="W11" s="135"/>
      <c r="X11" s="118"/>
      <c r="Y11" s="512"/>
      <c r="Z11" s="137"/>
      <c r="AD11" s="153"/>
      <c r="AE11" s="150"/>
      <c r="AF11" s="150"/>
      <c r="AG11" s="150"/>
      <c r="AH11" s="150"/>
      <c r="AI11" s="150"/>
      <c r="AJ11" s="150"/>
      <c r="AK11" s="84"/>
      <c r="AL11" s="84"/>
      <c r="AM11" s="85"/>
      <c r="AN11" s="84"/>
      <c r="AO11" s="84"/>
      <c r="AP11" s="84"/>
      <c r="AQ11" s="84"/>
      <c r="AR11" s="84"/>
      <c r="AS11" s="84"/>
      <c r="AT11" s="84"/>
      <c r="AU11" s="84"/>
      <c r="AX11" s="93">
        <f t="shared" si="4"/>
        <v>36647</v>
      </c>
      <c r="BJ11" s="537"/>
    </row>
    <row r="12" spans="1:69" ht="16.5" customHeight="1">
      <c r="A12" s="78">
        <f t="shared" si="1"/>
        <v>6</v>
      </c>
      <c r="C12" s="129">
        <v>30</v>
      </c>
      <c r="D12" s="130" t="s">
        <v>66</v>
      </c>
      <c r="E12" s="113">
        <f t="shared" si="2"/>
        <v>36678</v>
      </c>
      <c r="F12" s="85">
        <v>22</v>
      </c>
      <c r="G12" s="84">
        <f t="shared" si="0"/>
        <v>8</v>
      </c>
      <c r="H12" s="84"/>
      <c r="I12" s="84"/>
      <c r="J12" s="78">
        <f t="shared" si="3"/>
        <v>30</v>
      </c>
      <c r="K12" s="149">
        <v>36678</v>
      </c>
      <c r="L12" s="508">
        <v>6.217794615986301E-2</v>
      </c>
      <c r="M12" s="509">
        <v>5.8863659044765003E-2</v>
      </c>
      <c r="N12" s="132">
        <f t="shared" si="5"/>
        <v>0.97795042754617267</v>
      </c>
      <c r="O12" s="133">
        <f>VLOOKUP(K12,Inflation!$B$8:$C$266,2)</f>
        <v>1.0134100848126586</v>
      </c>
      <c r="P12" s="132"/>
      <c r="Q12" s="134">
        <f>VLOOKUP(K12,'Fuel Curve'!$B$11:$F$268,5)</f>
        <v>5.4570689655172417</v>
      </c>
      <c r="R12" s="238">
        <f>VLOOKUP(K12,'Fuel Curve Simulation'!$B$12:$J$258,9)</f>
        <v>5.4570689655172417</v>
      </c>
      <c r="S12" s="134">
        <f t="shared" ref="S12:S75" si="6">(R12*$S$2)/1000</f>
        <v>52.273263620689654</v>
      </c>
      <c r="T12" s="136"/>
      <c r="V12" s="135">
        <f>VLOOKUP(K12,PJM_01212000!$A$7:$C$259,3)</f>
        <v>58.075000762939453</v>
      </c>
      <c r="W12" s="486"/>
      <c r="X12" s="118">
        <f>'PJM Curve Simulation'!J12</f>
        <v>58.075000762939453</v>
      </c>
      <c r="Y12" s="512"/>
      <c r="AA12" s="78">
        <v>315</v>
      </c>
      <c r="AB12" s="85">
        <f>AA12*F12*16</f>
        <v>110880</v>
      </c>
      <c r="AC12" s="85">
        <f>VLOOKUP(K12,'Company Volumes'!$B$20:$C$259,2)</f>
        <v>12539.362295873016</v>
      </c>
      <c r="AD12" s="153">
        <f>IF(X12&gt;S12+($AM$5*1000*O12),AA12*F12*16,0)</f>
        <v>110880</v>
      </c>
      <c r="AE12" s="150"/>
      <c r="AF12" s="150">
        <v>0</v>
      </c>
      <c r="AG12" s="150">
        <v>0</v>
      </c>
      <c r="AH12" s="150">
        <f>X12*AD12</f>
        <v>6439356.0845947266</v>
      </c>
      <c r="AI12" s="150">
        <f>SUM(AF12:AH12)</f>
        <v>6439356.0845947266</v>
      </c>
      <c r="AJ12" s="150">
        <f>(AD12*1000*$S$2)/1000000*R12</f>
        <v>5796059.4702620693</v>
      </c>
      <c r="AK12" s="85">
        <f>($AK$5*O12)/12</f>
        <v>50670.50424063293</v>
      </c>
      <c r="AL12" s="85">
        <f>($AL$5*O12)/12</f>
        <v>129209.78581361397</v>
      </c>
      <c r="AM12" s="85">
        <f>AD12*$AM$5*1000*O12</f>
        <v>224733.82040805518</v>
      </c>
      <c r="AN12" s="85">
        <f t="shared" ref="AN12:AN75" si="7">(($AN$5*O12)/12)*$S$4</f>
        <v>115866.55303024731</v>
      </c>
      <c r="AO12" s="85">
        <f>($AO$5*O12)/12</f>
        <v>25335.252120316465</v>
      </c>
      <c r="AP12" s="84">
        <f>AP5</f>
        <v>46500.558215233643</v>
      </c>
      <c r="AQ12" s="499">
        <f>SUM(AK12:AP12)</f>
        <v>592316.47382809955</v>
      </c>
      <c r="AR12" s="85">
        <f>($AR$5*O12)/12</f>
        <v>12667.626060158233</v>
      </c>
      <c r="AS12" s="78">
        <v>0</v>
      </c>
      <c r="AT12" s="85">
        <f>(AI12/100)*$AT$6*O12</f>
        <v>39154.250374968302</v>
      </c>
      <c r="AU12" s="84">
        <f>SUM(AJ12:AT12)-AQ12</f>
        <v>6440197.8205252942</v>
      </c>
      <c r="AV12" s="84">
        <f t="shared" ref="AV12:AV75" si="8">AI12-AU12</f>
        <v>-841.73593056760728</v>
      </c>
      <c r="AW12" s="453"/>
      <c r="AX12" s="93">
        <f t="shared" si="4"/>
        <v>36678</v>
      </c>
      <c r="BA12" s="315"/>
      <c r="BB12" s="134">
        <f>X12</f>
        <v>58.075000762939453</v>
      </c>
      <c r="BC12" s="134">
        <f>'Curve Analysis - Base Case'!D4</f>
        <v>54.300083790314972</v>
      </c>
      <c r="BD12" s="131">
        <f>L12</f>
        <v>6.217794615986301E-2</v>
      </c>
      <c r="BE12" s="131">
        <f>L12</f>
        <v>6.217794615986301E-2</v>
      </c>
      <c r="BF12" s="365">
        <f>PJM_01212000!X12</f>
        <v>0.42849999999999999</v>
      </c>
      <c r="BG12" s="85">
        <f>(AX12+15)-$K$1</f>
        <v>104</v>
      </c>
      <c r="BH12" s="84">
        <f>AD12</f>
        <v>110880</v>
      </c>
      <c r="BJ12" s="537">
        <f>_xll.EURO(BB12,BC12,BD12,BE12,BF12,BG12,1,0)*BH12</f>
        <v>786499.8398978886</v>
      </c>
      <c r="BK12" s="84">
        <f>(AI12-AJ12)*N12</f>
        <v>629112.19902562757</v>
      </c>
      <c r="BM12" s="84">
        <f>BJ12-BK12</f>
        <v>157387.64087226102</v>
      </c>
    </row>
    <row r="13" spans="1:69" ht="16.5" customHeight="1">
      <c r="A13" s="78">
        <f t="shared" si="1"/>
        <v>7</v>
      </c>
      <c r="C13" s="129">
        <v>31</v>
      </c>
      <c r="D13" s="130" t="s">
        <v>67</v>
      </c>
      <c r="E13" s="113">
        <f t="shared" si="2"/>
        <v>36708</v>
      </c>
      <c r="F13" s="85">
        <v>21</v>
      </c>
      <c r="G13" s="84">
        <f t="shared" si="0"/>
        <v>10</v>
      </c>
      <c r="H13" s="84"/>
      <c r="I13" s="84"/>
      <c r="J13" s="78">
        <f t="shared" si="3"/>
        <v>31</v>
      </c>
      <c r="K13" s="149">
        <v>36708</v>
      </c>
      <c r="L13" s="508">
        <v>6.3156630597147004E-2</v>
      </c>
      <c r="M13" s="509">
        <v>5.9501889247316024E-2</v>
      </c>
      <c r="N13" s="132">
        <f t="shared" si="5"/>
        <v>0.97263244191561848</v>
      </c>
      <c r="O13" s="133">
        <f>VLOOKUP(K13,Inflation!$B$8:$C$266,2)</f>
        <v>1.01566251772754</v>
      </c>
      <c r="P13" s="132"/>
      <c r="Q13" s="134">
        <f>VLOOKUP(K13,'Fuel Curve'!$B$11:$F$268,5)</f>
        <v>5.3846551724137939</v>
      </c>
      <c r="R13" s="238">
        <f>VLOOKUP(K13,'Fuel Curve Simulation'!$B$12:$J$258,9)</f>
        <v>5.3846551724137939</v>
      </c>
      <c r="S13" s="134">
        <f t="shared" si="6"/>
        <v>51.579611896551732</v>
      </c>
      <c r="T13" s="136"/>
      <c r="V13" s="135">
        <f>VLOOKUP(K13,PJM_01212000!$A$7:$C$259,3)</f>
        <v>103.75</v>
      </c>
      <c r="W13" s="486"/>
      <c r="X13" s="118">
        <f>'PJM Curve Simulation'!J13</f>
        <v>103.75</v>
      </c>
      <c r="Y13" s="512"/>
      <c r="Z13" s="137"/>
      <c r="AA13" s="78">
        <f t="shared" ref="AA13:AA73" si="9">AA12</f>
        <v>315</v>
      </c>
      <c r="AB13" s="85">
        <f t="shared" ref="AB13:AB75" si="10">AA13*F13*16</f>
        <v>105840</v>
      </c>
      <c r="AC13" s="85">
        <f>VLOOKUP(K13,'Company Volumes'!$B$20:$C$259,2)</f>
        <v>19621.499977539683</v>
      </c>
      <c r="AD13" s="153">
        <f t="shared" ref="AD13:AD76" si="11">IF(V13&gt;S13+($AM$5*1000*O13),AA13*F13*16,0)</f>
        <v>105840</v>
      </c>
      <c r="AE13" s="150"/>
      <c r="AF13" s="150">
        <v>0</v>
      </c>
      <c r="AG13" s="150">
        <v>0</v>
      </c>
      <c r="AH13" s="150">
        <f t="shared" ref="AH13:AH76" si="12">X13*AD13</f>
        <v>10980900</v>
      </c>
      <c r="AI13" s="150">
        <f t="shared" ref="AI13:AI76" si="13">SUM(AF13:AH13)</f>
        <v>10980900</v>
      </c>
      <c r="AJ13" s="150">
        <f t="shared" ref="AJ13:AJ76" si="14">(AD13*1000*$S$2)/1000000*R13</f>
        <v>5459186.1231310349</v>
      </c>
      <c r="AK13" s="85">
        <f t="shared" ref="AK13:AK76" si="15">($AK$5*O13)/12</f>
        <v>50783.125886377005</v>
      </c>
      <c r="AL13" s="85">
        <f t="shared" ref="AL13:AL76" si="16">($AL$5*O13)/12</f>
        <v>129496.97101026135</v>
      </c>
      <c r="AM13" s="85">
        <f t="shared" ref="AM13:AM75" si="17">AD13*$AM$5*1000*O13</f>
        <v>214995.44175256568</v>
      </c>
      <c r="AN13" s="85">
        <f t="shared" si="7"/>
        <v>116124.08119351539</v>
      </c>
      <c r="AO13" s="85">
        <f t="shared" ref="AO13:AO76" si="18">($AO$5*O13)/12</f>
        <v>25391.562943188503</v>
      </c>
      <c r="AP13" s="85">
        <f>AP12</f>
        <v>46500.558215233643</v>
      </c>
      <c r="AQ13" s="84">
        <f t="shared" ref="AQ13:AQ76" si="19">SUM(AK13:AP13)</f>
        <v>583291.74100114149</v>
      </c>
      <c r="AR13" s="85">
        <f t="shared" ref="AR13:AR76" si="20">($AR$5*O13)/12</f>
        <v>12695.781471594251</v>
      </c>
      <c r="AS13" s="78">
        <v>0</v>
      </c>
      <c r="AT13" s="85">
        <f t="shared" ref="AT13:AT76" si="21">(AI13/100)*$AT$6*O13</f>
        <v>66917.331245486057</v>
      </c>
      <c r="AU13" s="84">
        <f t="shared" ref="AU13:AU76" si="22">SUM(AJ13:AT13)-AQ13</f>
        <v>6122090.9768492561</v>
      </c>
      <c r="AV13" s="84">
        <f t="shared" si="8"/>
        <v>4858809.0231507439</v>
      </c>
      <c r="AW13" s="453"/>
      <c r="AX13" s="93">
        <f t="shared" si="4"/>
        <v>36708</v>
      </c>
      <c r="BA13" s="315"/>
      <c r="BB13" s="134">
        <f t="shared" ref="BB13:BB76" si="23">X13</f>
        <v>103.75</v>
      </c>
      <c r="BC13" s="134">
        <f>'Curve Analysis - Base Case'!D5</f>
        <v>53.610936932006815</v>
      </c>
      <c r="BD13" s="131">
        <f t="shared" ref="BD13:BD76" si="24">L13</f>
        <v>6.3156630597147004E-2</v>
      </c>
      <c r="BE13" s="131">
        <f t="shared" ref="BE13:BE76" si="25">L13</f>
        <v>6.3156630597147004E-2</v>
      </c>
      <c r="BF13" s="365">
        <f>PJM_01212000!X13</f>
        <v>0.55000000000000004</v>
      </c>
      <c r="BG13" s="85">
        <f t="shared" ref="BG13:BG76" si="26">(AX13+15)-$K$1</f>
        <v>134</v>
      </c>
      <c r="BH13" s="84">
        <f t="shared" ref="BH13:BH76" si="27">AD13</f>
        <v>105840</v>
      </c>
      <c r="BJ13" s="537">
        <f>_xll.EURO(BB13,BC13,BD13,BE13,BF13,BG13,1,0)*BH13</f>
        <v>5207824.1956702992</v>
      </c>
      <c r="BK13" s="84">
        <f t="shared" ref="BK13:BK76" si="28">(AI13-AJ13)*N13</f>
        <v>5370598.0516184187</v>
      </c>
      <c r="BM13" s="84">
        <f t="shared" ref="BM13:BM76" si="29">BJ13-BK13</f>
        <v>-162773.85594811942</v>
      </c>
    </row>
    <row r="14" spans="1:69" ht="16.5" customHeight="1">
      <c r="A14" s="78">
        <f t="shared" si="1"/>
        <v>8</v>
      </c>
      <c r="C14" s="129">
        <v>31</v>
      </c>
      <c r="D14" s="130" t="s">
        <v>68</v>
      </c>
      <c r="E14" s="113">
        <f t="shared" si="2"/>
        <v>36739</v>
      </c>
      <c r="F14" s="85">
        <v>23</v>
      </c>
      <c r="G14" s="84">
        <f t="shared" si="0"/>
        <v>8</v>
      </c>
      <c r="H14" s="84"/>
      <c r="I14" s="84"/>
      <c r="J14" s="78">
        <f t="shared" si="3"/>
        <v>31</v>
      </c>
      <c r="K14" s="149">
        <v>36739</v>
      </c>
      <c r="L14" s="508">
        <v>6.3794910183085002E-2</v>
      </c>
      <c r="M14" s="509">
        <v>6.0184138469651018E-2</v>
      </c>
      <c r="N14" s="132">
        <f t="shared" si="5"/>
        <v>0.96719510875054593</v>
      </c>
      <c r="O14" s="133">
        <f>VLOOKUP(K14,Inflation!$B$8:$C$266,2)</f>
        <v>1.0179199569612967</v>
      </c>
      <c r="P14" s="132"/>
      <c r="Q14" s="134">
        <f>VLOOKUP(K14,'Fuel Curve'!$B$11:$F$268,5)</f>
        <v>5.3918965517241384</v>
      </c>
      <c r="R14" s="238">
        <f>VLOOKUP(K14,'Fuel Curve Simulation'!$B$12:$J$258,9)</f>
        <v>5.3918965517241384</v>
      </c>
      <c r="S14" s="134">
        <f t="shared" si="6"/>
        <v>51.648977068965522</v>
      </c>
      <c r="T14" s="136"/>
      <c r="V14" s="135">
        <f>VLOOKUP(K14,PJM_01212000!$A$7:$C$259,3)</f>
        <v>90.75</v>
      </c>
      <c r="W14" s="486"/>
      <c r="X14" s="118">
        <f>'PJM Curve Simulation'!J14</f>
        <v>90.75</v>
      </c>
      <c r="Y14" s="512"/>
      <c r="Z14" s="137"/>
      <c r="AA14" s="78">
        <f t="shared" si="9"/>
        <v>315</v>
      </c>
      <c r="AB14" s="85">
        <f>AA14*F14*16</f>
        <v>115920</v>
      </c>
      <c r="AC14" s="85">
        <f>VLOOKUP(K14,'Company Volumes'!$B$20:$C$259,2)</f>
        <v>13080.999985361907</v>
      </c>
      <c r="AD14" s="153">
        <f t="shared" si="11"/>
        <v>115920</v>
      </c>
      <c r="AE14" s="150"/>
      <c r="AF14" s="150">
        <v>0</v>
      </c>
      <c r="AG14" s="150">
        <v>0</v>
      </c>
      <c r="AH14" s="150">
        <f t="shared" si="12"/>
        <v>10519740</v>
      </c>
      <c r="AI14" s="150">
        <f t="shared" si="13"/>
        <v>10519740</v>
      </c>
      <c r="AJ14" s="150">
        <f t="shared" si="14"/>
        <v>5987149.4218344828</v>
      </c>
      <c r="AK14" s="85">
        <f t="shared" si="15"/>
        <v>50895.997848064835</v>
      </c>
      <c r="AL14" s="85">
        <f t="shared" si="16"/>
        <v>129784.79451256532</v>
      </c>
      <c r="AM14" s="85">
        <f t="shared" si="17"/>
        <v>235994.56282190702</v>
      </c>
      <c r="AN14" s="85">
        <f t="shared" si="7"/>
        <v>116382.18174590824</v>
      </c>
      <c r="AO14" s="85">
        <f t="shared" si="18"/>
        <v>25447.998924032418</v>
      </c>
      <c r="AP14" s="85">
        <f t="shared" ref="AP14:AP77" si="30">AP13</f>
        <v>46500.558215233643</v>
      </c>
      <c r="AQ14" s="84">
        <f t="shared" si="19"/>
        <v>605006.0940677115</v>
      </c>
      <c r="AR14" s="85">
        <f t="shared" si="20"/>
        <v>12723.999462016209</v>
      </c>
      <c r="AS14" s="78">
        <v>0</v>
      </c>
      <c r="AT14" s="85">
        <f t="shared" si="21"/>
        <v>64249.519728264182</v>
      </c>
      <c r="AU14" s="84">
        <f t="shared" si="22"/>
        <v>6669129.035092474</v>
      </c>
      <c r="AV14" s="84">
        <f t="shared" si="8"/>
        <v>3850610.964907526</v>
      </c>
      <c r="AW14" s="453"/>
      <c r="AX14" s="93">
        <f t="shared" si="4"/>
        <v>36739</v>
      </c>
      <c r="BA14" s="315"/>
      <c r="BB14" s="134">
        <f t="shared" si="23"/>
        <v>90.75</v>
      </c>
      <c r="BC14" s="134">
        <f>'Curve Analysis - Base Case'!D6</f>
        <v>53.684816982888115</v>
      </c>
      <c r="BD14" s="131">
        <f t="shared" si="24"/>
        <v>6.3794910183085002E-2</v>
      </c>
      <c r="BE14" s="131">
        <f t="shared" si="25"/>
        <v>6.3794910183085002E-2</v>
      </c>
      <c r="BF14" s="365">
        <f>PJM_01212000!X14</f>
        <v>0.52</v>
      </c>
      <c r="BG14" s="85">
        <f t="shared" si="26"/>
        <v>165</v>
      </c>
      <c r="BH14" s="84">
        <f t="shared" si="27"/>
        <v>115920</v>
      </c>
      <c r="BJ14" s="537">
        <f>_xll.EURO(BB14,BC14,BD14,BE14,BF14,BG14,1,0)*BH14</f>
        <v>4253801.3508058088</v>
      </c>
      <c r="BK14" s="84">
        <f t="shared" si="28"/>
        <v>4383899.4371704971</v>
      </c>
      <c r="BM14" s="84">
        <f t="shared" si="29"/>
        <v>-130098.08636468835</v>
      </c>
    </row>
    <row r="15" spans="1:69" ht="16.5" customHeight="1">
      <c r="A15" s="78">
        <f t="shared" si="1"/>
        <v>9</v>
      </c>
      <c r="C15" s="129">
        <v>30</v>
      </c>
      <c r="D15" s="130" t="s">
        <v>69</v>
      </c>
      <c r="E15" s="113">
        <f t="shared" si="2"/>
        <v>36770</v>
      </c>
      <c r="F15" s="85">
        <v>21</v>
      </c>
      <c r="G15" s="84">
        <f t="shared" si="0"/>
        <v>9</v>
      </c>
      <c r="H15" s="84"/>
      <c r="I15" s="84"/>
      <c r="J15" s="78">
        <f t="shared" si="3"/>
        <v>30</v>
      </c>
      <c r="K15" s="149">
        <v>36770</v>
      </c>
      <c r="L15" s="508">
        <v>6.4433189904138016E-2</v>
      </c>
      <c r="M15" s="509">
        <v>6.0866390939501018E-2</v>
      </c>
      <c r="N15" s="132">
        <f t="shared" si="5"/>
        <v>0.96168729035349487</v>
      </c>
      <c r="O15" s="133">
        <f>VLOOKUP(K15,Inflation!$B$8:$C$266,2)</f>
        <v>1.0201824136411097</v>
      </c>
      <c r="P15" s="132"/>
      <c r="Q15" s="134">
        <f>VLOOKUP(K15,'Fuel Curve'!$B$11:$F$268,5)</f>
        <v>5.4027586206896556</v>
      </c>
      <c r="R15" s="238">
        <f>VLOOKUP(K15,'Fuel Curve Simulation'!$B$12:$J$258,9)</f>
        <v>5.4027586206896556</v>
      </c>
      <c r="S15" s="134">
        <f t="shared" si="6"/>
        <v>51.753024827586209</v>
      </c>
      <c r="T15" s="136"/>
      <c r="V15" s="135">
        <f>VLOOKUP(K15,PJM_01212000!$A$7:$C$259,3)</f>
        <v>35.549999237060547</v>
      </c>
      <c r="W15" s="486"/>
      <c r="X15" s="118">
        <f>'PJM Curve Simulation'!J15</f>
        <v>35.549999237060547</v>
      </c>
      <c r="Y15" s="512"/>
      <c r="Z15" s="137"/>
      <c r="AA15" s="78">
        <f t="shared" si="9"/>
        <v>315</v>
      </c>
      <c r="AB15" s="85">
        <f t="shared" si="10"/>
        <v>105840</v>
      </c>
      <c r="AC15" s="85">
        <f>VLOOKUP(K15,'Company Volumes'!$B$20:$C$259,2)</f>
        <v>6674.2400329238098</v>
      </c>
      <c r="AD15" s="153">
        <f t="shared" si="11"/>
        <v>0</v>
      </c>
      <c r="AE15" s="150"/>
      <c r="AF15" s="150">
        <v>0</v>
      </c>
      <c r="AG15" s="150">
        <v>0</v>
      </c>
      <c r="AH15" s="150">
        <f t="shared" si="12"/>
        <v>0</v>
      </c>
      <c r="AI15" s="150">
        <f t="shared" si="13"/>
        <v>0</v>
      </c>
      <c r="AJ15" s="150">
        <f t="shared" si="14"/>
        <v>0</v>
      </c>
      <c r="AK15" s="85">
        <f t="shared" si="15"/>
        <v>51009.120682055487</v>
      </c>
      <c r="AL15" s="85">
        <f t="shared" si="16"/>
        <v>130073.25773924148</v>
      </c>
      <c r="AM15" s="85">
        <f t="shared" si="17"/>
        <v>0</v>
      </c>
      <c r="AN15" s="85">
        <f t="shared" si="7"/>
        <v>116640.85595963354</v>
      </c>
      <c r="AO15" s="85">
        <f t="shared" si="18"/>
        <v>25504.560341027744</v>
      </c>
      <c r="AP15" s="85">
        <f t="shared" si="30"/>
        <v>46500.558215233643</v>
      </c>
      <c r="AQ15" s="84">
        <f t="shared" si="19"/>
        <v>369728.35293719196</v>
      </c>
      <c r="AR15" s="85">
        <f t="shared" si="20"/>
        <v>12752.280170513872</v>
      </c>
      <c r="AS15" s="78">
        <v>0</v>
      </c>
      <c r="AT15" s="85">
        <f t="shared" si="21"/>
        <v>0</v>
      </c>
      <c r="AU15" s="84">
        <f t="shared" si="22"/>
        <v>382480.63310770586</v>
      </c>
      <c r="AV15" s="84">
        <f t="shared" si="8"/>
        <v>-382480.63310770586</v>
      </c>
      <c r="AW15" s="453"/>
      <c r="AX15" s="93">
        <f t="shared" si="4"/>
        <v>36770</v>
      </c>
      <c r="BA15" s="315"/>
      <c r="BB15" s="134">
        <f t="shared" si="23"/>
        <v>35.549999237060547</v>
      </c>
      <c r="BC15" s="134">
        <f>'Curve Analysis - Base Case'!D7</f>
        <v>53.793389654868427</v>
      </c>
      <c r="BD15" s="131">
        <f t="shared" si="24"/>
        <v>6.4433189904138016E-2</v>
      </c>
      <c r="BE15" s="131">
        <f t="shared" si="25"/>
        <v>6.4433189904138016E-2</v>
      </c>
      <c r="BF15" s="365">
        <f>PJM_01212000!X15</f>
        <v>0.32</v>
      </c>
      <c r="BG15" s="85">
        <f t="shared" si="26"/>
        <v>196</v>
      </c>
      <c r="BH15" s="84">
        <f t="shared" si="27"/>
        <v>0</v>
      </c>
      <c r="BJ15" s="537">
        <f>_xll.EURO(BB15,BC15,BD15,BE15,BF15,BG15,1,0)*BH15</f>
        <v>0</v>
      </c>
      <c r="BK15" s="84">
        <f t="shared" si="28"/>
        <v>0</v>
      </c>
      <c r="BM15" s="84">
        <f t="shared" si="29"/>
        <v>0</v>
      </c>
    </row>
    <row r="16" spans="1:69" ht="16.5" customHeight="1">
      <c r="A16" s="78">
        <f t="shared" si="1"/>
        <v>10</v>
      </c>
      <c r="C16" s="129">
        <v>31</v>
      </c>
      <c r="D16" s="130" t="s">
        <v>70</v>
      </c>
      <c r="E16" s="113">
        <f t="shared" si="2"/>
        <v>36800</v>
      </c>
      <c r="F16" s="85">
        <v>22</v>
      </c>
      <c r="G16" s="84">
        <f t="shared" si="0"/>
        <v>9</v>
      </c>
      <c r="H16" s="84"/>
      <c r="I16" s="84"/>
      <c r="J16" s="78">
        <f t="shared" si="3"/>
        <v>31</v>
      </c>
      <c r="K16" s="149">
        <v>36800</v>
      </c>
      <c r="L16" s="508">
        <v>6.5011694486706018E-2</v>
      </c>
      <c r="M16" s="509">
        <v>6.1056155646000011E-2</v>
      </c>
      <c r="N16" s="132">
        <f t="shared" si="5"/>
        <v>0.9563168773240901</v>
      </c>
      <c r="O16" s="133">
        <f>VLOOKUP(K16,Inflation!$B$8:$C$266,2)</f>
        <v>1.0224498989188915</v>
      </c>
      <c r="P16" s="132"/>
      <c r="Q16" s="134">
        <f>VLOOKUP(K16,'Fuel Curve'!$B$11:$F$268,5)</f>
        <v>5.4172413793103456</v>
      </c>
      <c r="R16" s="238">
        <f>VLOOKUP(K16,'Fuel Curve Simulation'!$B$12:$J$258,9)</f>
        <v>5.4172413793103456</v>
      </c>
      <c r="S16" s="134">
        <f t="shared" si="6"/>
        <v>51.891755172413802</v>
      </c>
      <c r="T16" s="136"/>
      <c r="V16" s="135">
        <f>VLOOKUP(K16,PJM_01212000!$A$7:$C$259,3)</f>
        <v>25.450000762939453</v>
      </c>
      <c r="W16" s="486"/>
      <c r="X16" s="118">
        <f>'PJM Curve Simulation'!J16</f>
        <v>25.450000762939453</v>
      </c>
      <c r="Y16" s="512"/>
      <c r="Z16" s="137"/>
      <c r="AA16" s="78">
        <f t="shared" si="9"/>
        <v>315</v>
      </c>
      <c r="AB16" s="85">
        <f t="shared" si="10"/>
        <v>110880</v>
      </c>
      <c r="AC16" s="85">
        <f>VLOOKUP(K16,'Company Volumes'!$B$20:$C$259,2)</f>
        <v>1294.1987357079365</v>
      </c>
      <c r="AD16" s="153">
        <f t="shared" si="11"/>
        <v>0</v>
      </c>
      <c r="AE16" s="150"/>
      <c r="AF16" s="150">
        <v>0</v>
      </c>
      <c r="AG16" s="150">
        <v>0</v>
      </c>
      <c r="AH16" s="150">
        <f t="shared" si="12"/>
        <v>0</v>
      </c>
      <c r="AI16" s="150">
        <f t="shared" si="13"/>
        <v>0</v>
      </c>
      <c r="AJ16" s="150">
        <f t="shared" si="14"/>
        <v>0</v>
      </c>
      <c r="AK16" s="85">
        <f t="shared" si="15"/>
        <v>51122.494945944578</v>
      </c>
      <c r="AL16" s="85">
        <f t="shared" si="16"/>
        <v>130362.36211215866</v>
      </c>
      <c r="AM16" s="85">
        <f t="shared" si="17"/>
        <v>0</v>
      </c>
      <c r="AN16" s="85">
        <f t="shared" si="7"/>
        <v>116900.1051097266</v>
      </c>
      <c r="AO16" s="85">
        <f t="shared" si="18"/>
        <v>25561.247472972289</v>
      </c>
      <c r="AP16" s="85">
        <f t="shared" si="30"/>
        <v>46500.558215233643</v>
      </c>
      <c r="AQ16" s="84">
        <f t="shared" si="19"/>
        <v>370446.76785603573</v>
      </c>
      <c r="AR16" s="85">
        <f t="shared" si="20"/>
        <v>12780.623736486144</v>
      </c>
      <c r="AS16" s="78">
        <v>0</v>
      </c>
      <c r="AT16" s="85">
        <f t="shared" si="21"/>
        <v>0</v>
      </c>
      <c r="AU16" s="84">
        <f t="shared" si="22"/>
        <v>383227.39159252192</v>
      </c>
      <c r="AV16" s="84">
        <f t="shared" si="8"/>
        <v>-383227.39159252192</v>
      </c>
      <c r="AW16" s="453"/>
      <c r="AX16" s="93">
        <f t="shared" si="4"/>
        <v>36800</v>
      </c>
      <c r="BA16" s="315"/>
      <c r="BB16" s="134">
        <f t="shared" si="23"/>
        <v>25.450000762939453</v>
      </c>
      <c r="BC16" s="134">
        <f>'Curve Analysis - Base Case'!D8</f>
        <v>53.936654970251588</v>
      </c>
      <c r="BD16" s="131">
        <f t="shared" si="24"/>
        <v>6.5011694486706018E-2</v>
      </c>
      <c r="BE16" s="131">
        <f t="shared" si="25"/>
        <v>6.5011694486706018E-2</v>
      </c>
      <c r="BF16" s="365">
        <f>PJM_01212000!X16</f>
        <v>0.21</v>
      </c>
      <c r="BG16" s="85">
        <f t="shared" si="26"/>
        <v>226</v>
      </c>
      <c r="BH16" s="84">
        <f t="shared" si="27"/>
        <v>0</v>
      </c>
      <c r="BJ16" s="537">
        <f>_xll.EURO(BB16,BC16,BD16,BE16,BF16,BG16,1,0)*BH16</f>
        <v>0</v>
      </c>
      <c r="BK16" s="84">
        <f t="shared" si="28"/>
        <v>0</v>
      </c>
      <c r="BM16" s="84">
        <f t="shared" si="29"/>
        <v>0</v>
      </c>
    </row>
    <row r="17" spans="1:65">
      <c r="A17" s="78">
        <f t="shared" si="1"/>
        <v>11</v>
      </c>
      <c r="C17" s="129">
        <v>30</v>
      </c>
      <c r="D17" s="130" t="s">
        <v>71</v>
      </c>
      <c r="E17" s="113">
        <f t="shared" si="2"/>
        <v>36831</v>
      </c>
      <c r="F17" s="85">
        <v>22</v>
      </c>
      <c r="G17" s="84">
        <f t="shared" si="0"/>
        <v>8</v>
      </c>
      <c r="H17" s="84"/>
      <c r="I17" s="84"/>
      <c r="J17" s="78">
        <f t="shared" si="3"/>
        <v>30</v>
      </c>
      <c r="K17" s="149">
        <v>36831</v>
      </c>
      <c r="L17" s="508">
        <v>6.5536848233941014E-2</v>
      </c>
      <c r="M17" s="509">
        <v>6.1177451459186009E-2</v>
      </c>
      <c r="N17" s="132">
        <f t="shared" si="5"/>
        <v>0.95075948988363446</v>
      </c>
      <c r="O17" s="133">
        <f>VLOOKUP(K17,Inflation!$B$8:$C$266,2)</f>
        <v>1.0247224239713415</v>
      </c>
      <c r="P17" s="132"/>
      <c r="Q17" s="134">
        <f>VLOOKUP(K17,'Fuel Curve'!$B$11:$F$268,5)</f>
        <v>5.4281034482758628</v>
      </c>
      <c r="R17" s="238">
        <f>VLOOKUP(K17,'Fuel Curve Simulation'!$B$12:$J$258,9)</f>
        <v>5.4281034482758628</v>
      </c>
      <c r="S17" s="134">
        <f t="shared" si="6"/>
        <v>51.99580293103449</v>
      </c>
      <c r="T17" s="136"/>
      <c r="V17" s="135">
        <f>VLOOKUP(K17,PJM_01212000!$A$7:$C$259,3)</f>
        <v>25.149999618530273</v>
      </c>
      <c r="W17" s="486"/>
      <c r="X17" s="118">
        <f>'PJM Curve Simulation'!J17</f>
        <v>25.149999618530273</v>
      </c>
      <c r="Y17" s="512"/>
      <c r="Z17" s="137"/>
      <c r="AA17" s="78">
        <f t="shared" si="9"/>
        <v>315</v>
      </c>
      <c r="AB17" s="85">
        <f t="shared" si="10"/>
        <v>110880</v>
      </c>
      <c r="AC17" s="85">
        <f>VLOOKUP(K17,'Company Volumes'!$B$20:$C$259,2)</f>
        <v>2668.217281431746</v>
      </c>
      <c r="AD17" s="153">
        <f t="shared" si="11"/>
        <v>0</v>
      </c>
      <c r="AE17" s="150"/>
      <c r="AF17" s="150">
        <v>0</v>
      </c>
      <c r="AG17" s="150">
        <v>0</v>
      </c>
      <c r="AH17" s="150">
        <f t="shared" si="12"/>
        <v>0</v>
      </c>
      <c r="AI17" s="150">
        <f t="shared" si="13"/>
        <v>0</v>
      </c>
      <c r="AJ17" s="150">
        <f t="shared" si="14"/>
        <v>0</v>
      </c>
      <c r="AK17" s="85">
        <f t="shared" si="15"/>
        <v>51236.121198567074</v>
      </c>
      <c r="AL17" s="85">
        <f t="shared" si="16"/>
        <v>130652.10905634605</v>
      </c>
      <c r="AM17" s="85">
        <f t="shared" si="17"/>
        <v>0</v>
      </c>
      <c r="AN17" s="85">
        <f t="shared" si="7"/>
        <v>117159.9304740567</v>
      </c>
      <c r="AO17" s="85">
        <f t="shared" si="18"/>
        <v>25618.060599283537</v>
      </c>
      <c r="AP17" s="85">
        <f t="shared" si="30"/>
        <v>46500.558215233643</v>
      </c>
      <c r="AQ17" s="84">
        <f t="shared" si="19"/>
        <v>371166.77954348701</v>
      </c>
      <c r="AR17" s="85">
        <f t="shared" si="20"/>
        <v>12809.030299641769</v>
      </c>
      <c r="AS17" s="78">
        <v>0</v>
      </c>
      <c r="AT17" s="85">
        <f t="shared" si="21"/>
        <v>0</v>
      </c>
      <c r="AU17" s="84">
        <f t="shared" si="22"/>
        <v>383975.80984312878</v>
      </c>
      <c r="AV17" s="84">
        <f t="shared" si="8"/>
        <v>-383975.80984312878</v>
      </c>
      <c r="AW17" s="453"/>
      <c r="AX17" s="93">
        <f t="shared" si="4"/>
        <v>36831</v>
      </c>
      <c r="BA17" s="315"/>
      <c r="BB17" s="134">
        <f t="shared" si="23"/>
        <v>25.149999618530273</v>
      </c>
      <c r="BC17" s="134">
        <f>'Curve Analysis - Base Case'!D9</f>
        <v>54.045247778977171</v>
      </c>
      <c r="BD17" s="131">
        <f t="shared" si="24"/>
        <v>6.5536848233941014E-2</v>
      </c>
      <c r="BE17" s="131">
        <f t="shared" si="25"/>
        <v>6.5536848233941014E-2</v>
      </c>
      <c r="BF17" s="365">
        <f>PJM_01212000!X17</f>
        <v>0.2</v>
      </c>
      <c r="BG17" s="85">
        <f t="shared" si="26"/>
        <v>257</v>
      </c>
      <c r="BH17" s="84">
        <f t="shared" si="27"/>
        <v>0</v>
      </c>
      <c r="BJ17" s="537">
        <f>_xll.EURO(BB17,BC17,BD17,BE17,BF17,BG17,1,0)*BH17</f>
        <v>0</v>
      </c>
      <c r="BK17" s="84">
        <f t="shared" si="28"/>
        <v>0</v>
      </c>
      <c r="BM17" s="84">
        <f t="shared" si="29"/>
        <v>0</v>
      </c>
    </row>
    <row r="18" spans="1:65">
      <c r="A18" s="78">
        <f t="shared" si="1"/>
        <v>12</v>
      </c>
      <c r="C18" s="138">
        <v>31</v>
      </c>
      <c r="D18" s="139" t="s">
        <v>72</v>
      </c>
      <c r="E18" s="113">
        <f t="shared" si="2"/>
        <v>36861</v>
      </c>
      <c r="F18" s="85">
        <v>21</v>
      </c>
      <c r="G18" s="84">
        <f t="shared" si="0"/>
        <v>10</v>
      </c>
      <c r="H18" s="84">
        <f>SUM(F7:G18)</f>
        <v>366</v>
      </c>
      <c r="I18" s="84"/>
      <c r="J18" s="78">
        <f t="shared" si="3"/>
        <v>31</v>
      </c>
      <c r="K18" s="149">
        <v>36861</v>
      </c>
      <c r="L18" s="508">
        <v>6.6045061624730006E-2</v>
      </c>
      <c r="M18" s="509">
        <v>6.1294834601901008E-2</v>
      </c>
      <c r="N18" s="132">
        <f t="shared" si="5"/>
        <v>0.94533452136269336</v>
      </c>
      <c r="O18" s="133">
        <f>VLOOKUP(K18,Inflation!$B$8:$C$266,2)</f>
        <v>1.0269999999999999</v>
      </c>
      <c r="P18" s="132"/>
      <c r="Q18" s="134">
        <f>VLOOKUP(K18,'Fuel Curve'!$B$11:$F$268,5)</f>
        <v>5.410000000000001</v>
      </c>
      <c r="R18" s="238">
        <f>VLOOKUP(K18,'Fuel Curve Simulation'!$B$12:$J$258,9)</f>
        <v>5.410000000000001</v>
      </c>
      <c r="S18" s="134">
        <f t="shared" si="6"/>
        <v>51.822390000000006</v>
      </c>
      <c r="T18" s="136"/>
      <c r="V18" s="135">
        <f>VLOOKUP(K18,PJM_01212000!$A$7:$C$259,3)</f>
        <v>27.375</v>
      </c>
      <c r="W18" s="486"/>
      <c r="X18" s="118">
        <f>'PJM Curve Simulation'!J18</f>
        <v>27.375</v>
      </c>
      <c r="Y18" s="512"/>
      <c r="Z18" s="137"/>
      <c r="AA18" s="78">
        <f t="shared" si="9"/>
        <v>315</v>
      </c>
      <c r="AB18" s="85">
        <f>AA18*F18*16</f>
        <v>105840</v>
      </c>
      <c r="AC18" s="85">
        <f>VLOOKUP(K18,'Company Volumes'!$B$20:$C$259,2)</f>
        <v>2668.217281431746</v>
      </c>
      <c r="AD18" s="153">
        <f t="shared" si="11"/>
        <v>0</v>
      </c>
      <c r="AE18" s="150"/>
      <c r="AF18" s="150">
        <v>0</v>
      </c>
      <c r="AG18" s="150">
        <v>0</v>
      </c>
      <c r="AH18" s="150">
        <f t="shared" si="12"/>
        <v>0</v>
      </c>
      <c r="AI18" s="150">
        <f t="shared" si="13"/>
        <v>0</v>
      </c>
      <c r="AJ18" s="150">
        <f t="shared" si="14"/>
        <v>0</v>
      </c>
      <c r="AK18" s="85">
        <f t="shared" si="15"/>
        <v>51350</v>
      </c>
      <c r="AL18" s="85">
        <f t="shared" si="16"/>
        <v>130942.49999999999</v>
      </c>
      <c r="AM18" s="85">
        <f t="shared" si="17"/>
        <v>0</v>
      </c>
      <c r="AN18" s="85">
        <f t="shared" si="7"/>
        <v>117420.33333333331</v>
      </c>
      <c r="AO18" s="85">
        <f t="shared" si="18"/>
        <v>25675</v>
      </c>
      <c r="AP18" s="85">
        <f t="shared" si="30"/>
        <v>46500.558215233643</v>
      </c>
      <c r="AQ18" s="84">
        <f t="shared" si="19"/>
        <v>371888.39154856699</v>
      </c>
      <c r="AR18" s="85">
        <f t="shared" si="20"/>
        <v>12837.5</v>
      </c>
      <c r="AS18" s="78">
        <v>0</v>
      </c>
      <c r="AT18" s="85">
        <f t="shared" si="21"/>
        <v>0</v>
      </c>
      <c r="AU18" s="84">
        <f t="shared" si="22"/>
        <v>384725.89154856699</v>
      </c>
      <c r="AV18" s="84">
        <f t="shared" si="8"/>
        <v>-384725.89154856699</v>
      </c>
      <c r="AW18" s="453"/>
      <c r="AX18" s="93">
        <f t="shared" si="4"/>
        <v>36861</v>
      </c>
      <c r="AY18" s="85">
        <f>'Revenues &amp; Expenses'!H8</f>
        <v>0</v>
      </c>
      <c r="AZ18" s="85">
        <f>AY18*N18</f>
        <v>0</v>
      </c>
      <c r="BA18" s="315"/>
      <c r="BB18" s="134">
        <f t="shared" si="23"/>
        <v>27.375</v>
      </c>
      <c r="BC18" s="134">
        <f>'Curve Analysis - Base Case'!D10</f>
        <v>53.876390000000008</v>
      </c>
      <c r="BD18" s="131">
        <f t="shared" si="24"/>
        <v>6.6045061624730006E-2</v>
      </c>
      <c r="BE18" s="131">
        <f t="shared" si="25"/>
        <v>6.6045061624730006E-2</v>
      </c>
      <c r="BF18" s="365">
        <f>PJM_01212000!X18</f>
        <v>0.2</v>
      </c>
      <c r="BG18" s="85">
        <f t="shared" si="26"/>
        <v>287</v>
      </c>
      <c r="BH18" s="84">
        <f t="shared" si="27"/>
        <v>0</v>
      </c>
      <c r="BJ18" s="537">
        <f>_xll.EURO(BB18,BC18,BD18,BE18,BF18,BG18,1,0)*BH18</f>
        <v>0</v>
      </c>
      <c r="BK18" s="84">
        <f t="shared" si="28"/>
        <v>0</v>
      </c>
      <c r="BM18" s="84">
        <f t="shared" si="29"/>
        <v>0</v>
      </c>
    </row>
    <row r="19" spans="1:65">
      <c r="A19" s="78">
        <f t="shared" si="1"/>
        <v>13</v>
      </c>
      <c r="C19" s="78">
        <v>31</v>
      </c>
      <c r="D19" s="78" t="s">
        <v>62</v>
      </c>
      <c r="E19" s="113">
        <f t="shared" si="2"/>
        <v>36892</v>
      </c>
      <c r="F19" s="85">
        <v>23</v>
      </c>
      <c r="G19" s="84">
        <f>C19-F19</f>
        <v>8</v>
      </c>
      <c r="H19" s="84"/>
      <c r="I19" s="84"/>
      <c r="J19" s="78">
        <f t="shared" si="3"/>
        <v>31</v>
      </c>
      <c r="K19" s="149">
        <v>36892</v>
      </c>
      <c r="L19" s="508">
        <v>6.6545865575547994E-2</v>
      </c>
      <c r="M19" s="509">
        <v>6.141613061697801E-2</v>
      </c>
      <c r="N19" s="132">
        <f t="shared" si="5"/>
        <v>0.93970259564566427</v>
      </c>
      <c r="O19" s="133">
        <f>VLOOKUP(K19,Inflation!$B$8:$C$266,2)</f>
        <v>1.0292826382313047</v>
      </c>
      <c r="P19" s="132"/>
      <c r="Q19" s="134">
        <f>VLOOKUP(K19,'Fuel Curve'!$B$11:$F$268,5)</f>
        <v>5.3375862068965532</v>
      </c>
      <c r="R19" s="238">
        <f>VLOOKUP(K19,'Fuel Curve Simulation'!$B$12:$J$258,9)</f>
        <v>5.3375862068965532</v>
      </c>
      <c r="S19" s="134">
        <f t="shared" si="6"/>
        <v>51.128738275862084</v>
      </c>
      <c r="T19" s="136"/>
      <c r="V19" s="135">
        <f>VLOOKUP(K19,PJM_01212000!$A$7:$C$259,3)</f>
        <v>35.224998474121094</v>
      </c>
      <c r="W19" s="486"/>
      <c r="X19" s="118">
        <f>'PJM Curve Simulation'!J19</f>
        <v>35.224998474121094</v>
      </c>
      <c r="Y19" s="512"/>
      <c r="Z19" s="137"/>
      <c r="AA19" s="78">
        <f t="shared" si="9"/>
        <v>315</v>
      </c>
      <c r="AB19" s="85">
        <f t="shared" si="10"/>
        <v>115920</v>
      </c>
      <c r="AC19" s="85">
        <f>VLOOKUP(K19,'Company Volumes'!$B$20:$C$259,2)</f>
        <v>8959.6774722186638</v>
      </c>
      <c r="AD19" s="153">
        <f t="shared" si="11"/>
        <v>0</v>
      </c>
      <c r="AE19" s="150"/>
      <c r="AF19" s="150">
        <v>0</v>
      </c>
      <c r="AG19" s="150">
        <v>0</v>
      </c>
      <c r="AH19" s="150">
        <f t="shared" si="12"/>
        <v>0</v>
      </c>
      <c r="AI19" s="150">
        <f t="shared" si="13"/>
        <v>0</v>
      </c>
      <c r="AJ19" s="150">
        <f t="shared" si="14"/>
        <v>0</v>
      </c>
      <c r="AK19" s="85">
        <f t="shared" si="15"/>
        <v>51464.131911565237</v>
      </c>
      <c r="AL19" s="85">
        <f t="shared" si="16"/>
        <v>131233.53637449135</v>
      </c>
      <c r="AM19" s="85">
        <f t="shared" si="17"/>
        <v>0</v>
      </c>
      <c r="AN19" s="85">
        <f t="shared" si="7"/>
        <v>117681.3149711125</v>
      </c>
      <c r="AO19" s="85">
        <f t="shared" si="18"/>
        <v>25732.065955782618</v>
      </c>
      <c r="AP19" s="85">
        <f t="shared" si="30"/>
        <v>46500.558215233643</v>
      </c>
      <c r="AQ19" s="84">
        <f t="shared" si="19"/>
        <v>372611.60742818529</v>
      </c>
      <c r="AR19" s="85">
        <f t="shared" si="20"/>
        <v>12866.032977891309</v>
      </c>
      <c r="AS19" s="84">
        <f>((AS4*0.0049)/12)+((AS3*AS6)/12)</f>
        <v>51061.533333333333</v>
      </c>
      <c r="AT19" s="85">
        <f t="shared" si="21"/>
        <v>0</v>
      </c>
      <c r="AU19" s="84">
        <f t="shared" si="22"/>
        <v>436539.17373940989</v>
      </c>
      <c r="AV19" s="84">
        <f t="shared" si="8"/>
        <v>-436539.17373940989</v>
      </c>
      <c r="AW19" s="453"/>
      <c r="AX19" s="93">
        <f t="shared" si="4"/>
        <v>36892</v>
      </c>
      <c r="BA19" s="315"/>
      <c r="BB19" s="134">
        <f t="shared" si="23"/>
        <v>35.224998474121094</v>
      </c>
      <c r="BC19" s="134">
        <f>'Curve Analysis - Base Case'!D11</f>
        <v>53.187303552324693</v>
      </c>
      <c r="BD19" s="131">
        <f t="shared" si="24"/>
        <v>6.6545865575547994E-2</v>
      </c>
      <c r="BE19" s="131">
        <f t="shared" si="25"/>
        <v>6.6545865575547994E-2</v>
      </c>
      <c r="BF19" s="365">
        <f>PJM_01212000!X19</f>
        <v>0.24</v>
      </c>
      <c r="BG19" s="85">
        <f t="shared" si="26"/>
        <v>318</v>
      </c>
      <c r="BH19" s="84">
        <f t="shared" si="27"/>
        <v>0</v>
      </c>
      <c r="BJ19" s="537">
        <f>_xll.EURO(BB19,BC19,BD19,BE19,BF19,BG19,1,0)*BH19</f>
        <v>0</v>
      </c>
      <c r="BK19" s="84">
        <f t="shared" si="28"/>
        <v>0</v>
      </c>
      <c r="BM19" s="84">
        <f t="shared" si="29"/>
        <v>0</v>
      </c>
    </row>
    <row r="20" spans="1:65">
      <c r="A20" s="78">
        <f t="shared" si="1"/>
        <v>14</v>
      </c>
      <c r="C20" s="78">
        <v>28</v>
      </c>
      <c r="D20" s="78" t="s">
        <v>63</v>
      </c>
      <c r="E20" s="113">
        <f t="shared" si="2"/>
        <v>36923</v>
      </c>
      <c r="F20" s="85">
        <v>20</v>
      </c>
      <c r="G20" s="84">
        <f t="shared" ref="G20:G30" si="31">C20-F20</f>
        <v>8</v>
      </c>
      <c r="H20" s="84"/>
      <c r="I20" s="84"/>
      <c r="J20" s="78">
        <f t="shared" si="3"/>
        <v>28</v>
      </c>
      <c r="K20" s="149">
        <v>36923</v>
      </c>
      <c r="L20" s="508">
        <v>6.7008115474421009E-2</v>
      </c>
      <c r="M20" s="509">
        <v>6.1537426734644012E-2</v>
      </c>
      <c r="N20" s="132">
        <f t="shared" si="5"/>
        <v>0.93406353889189453</v>
      </c>
      <c r="O20" s="133">
        <f>VLOOKUP(K20,Inflation!$B$8:$C$266,2)</f>
        <v>1.0315703499166455</v>
      </c>
      <c r="P20" s="132"/>
      <c r="Q20" s="134">
        <f>VLOOKUP(K20,'Fuel Curve'!$B$11:$F$268,5)</f>
        <v>5.1818965517241384</v>
      </c>
      <c r="R20" s="238">
        <f>VLOOKUP(K20,'Fuel Curve Simulation'!$B$12:$J$258,9)</f>
        <v>5.1818965517241384</v>
      </c>
      <c r="S20" s="134">
        <f t="shared" si="6"/>
        <v>49.637387068965523</v>
      </c>
      <c r="T20" s="136"/>
      <c r="V20" s="135">
        <f>VLOOKUP(K20,PJM_01212000!$A$7:$C$259,3)</f>
        <v>35.224998474121094</v>
      </c>
      <c r="W20" s="486"/>
      <c r="X20" s="118">
        <f>'PJM Curve Simulation'!J20</f>
        <v>35.224998474121094</v>
      </c>
      <c r="Y20" s="512"/>
      <c r="Z20" s="137"/>
      <c r="AA20" s="78">
        <f t="shared" si="9"/>
        <v>315</v>
      </c>
      <c r="AB20" s="85">
        <f t="shared" si="10"/>
        <v>100800</v>
      </c>
      <c r="AC20" s="85">
        <f>VLOOKUP(K20,'Company Volumes'!$B$20:$C$259,2)</f>
        <v>462.11481927022209</v>
      </c>
      <c r="AD20" s="153">
        <f t="shared" si="11"/>
        <v>0</v>
      </c>
      <c r="AE20" s="150"/>
      <c r="AF20" s="150">
        <v>0</v>
      </c>
      <c r="AG20" s="150">
        <v>0</v>
      </c>
      <c r="AH20" s="150">
        <f t="shared" si="12"/>
        <v>0</v>
      </c>
      <c r="AI20" s="150">
        <f t="shared" si="13"/>
        <v>0</v>
      </c>
      <c r="AJ20" s="150">
        <f t="shared" si="14"/>
        <v>0</v>
      </c>
      <c r="AK20" s="85">
        <f t="shared" si="15"/>
        <v>51578.517495832282</v>
      </c>
      <c r="AL20" s="85">
        <f t="shared" si="16"/>
        <v>131525.2196143723</v>
      </c>
      <c r="AM20" s="85">
        <f t="shared" si="17"/>
        <v>0</v>
      </c>
      <c r="AN20" s="85">
        <f t="shared" si="7"/>
        <v>117942.87667380313</v>
      </c>
      <c r="AO20" s="85">
        <f t="shared" si="18"/>
        <v>25789.258747916141</v>
      </c>
      <c r="AP20" s="85">
        <f t="shared" si="30"/>
        <v>46500.558215233643</v>
      </c>
      <c r="AQ20" s="84">
        <f t="shared" si="19"/>
        <v>373336.43074715754</v>
      </c>
      <c r="AR20" s="85">
        <f t="shared" si="20"/>
        <v>12894.629373958071</v>
      </c>
      <c r="AS20" s="84">
        <f>AS19</f>
        <v>51061.533333333333</v>
      </c>
      <c r="AT20" s="85">
        <f t="shared" si="21"/>
        <v>0</v>
      </c>
      <c r="AU20" s="84">
        <f t="shared" si="22"/>
        <v>437292.59345444897</v>
      </c>
      <c r="AV20" s="84">
        <f t="shared" si="8"/>
        <v>-437292.59345444897</v>
      </c>
      <c r="AW20" s="453"/>
      <c r="AX20" s="93">
        <f t="shared" si="4"/>
        <v>36923</v>
      </c>
      <c r="BA20" s="315"/>
      <c r="BB20" s="134">
        <f t="shared" si="23"/>
        <v>35.224998474121094</v>
      </c>
      <c r="BC20" s="134">
        <f>'Curve Analysis - Base Case'!D12</f>
        <v>51.700527768798814</v>
      </c>
      <c r="BD20" s="131">
        <f t="shared" si="24"/>
        <v>6.7008115474421009E-2</v>
      </c>
      <c r="BE20" s="131">
        <f t="shared" si="25"/>
        <v>6.7008115474421009E-2</v>
      </c>
      <c r="BF20" s="365">
        <f>PJM_01212000!X20</f>
        <v>0.24</v>
      </c>
      <c r="BG20" s="85">
        <f t="shared" si="26"/>
        <v>349</v>
      </c>
      <c r="BH20" s="84">
        <f t="shared" si="27"/>
        <v>0</v>
      </c>
      <c r="BJ20" s="537">
        <f>_xll.EURO(BB20,BC20,BD20,BE20,BF20,BG20,1,0)*BH20</f>
        <v>0</v>
      </c>
      <c r="BK20" s="84">
        <f t="shared" si="28"/>
        <v>0</v>
      </c>
      <c r="BM20" s="84">
        <f t="shared" si="29"/>
        <v>0</v>
      </c>
    </row>
    <row r="21" spans="1:65">
      <c r="A21" s="78">
        <f t="shared" si="1"/>
        <v>15</v>
      </c>
      <c r="C21" s="78">
        <v>31</v>
      </c>
      <c r="D21" s="78" t="s">
        <v>64</v>
      </c>
      <c r="E21" s="113">
        <f t="shared" si="2"/>
        <v>36951</v>
      </c>
      <c r="F21" s="85">
        <v>22</v>
      </c>
      <c r="G21" s="84">
        <f t="shared" si="31"/>
        <v>9</v>
      </c>
      <c r="H21" s="84"/>
      <c r="I21" s="84"/>
      <c r="J21" s="78">
        <f t="shared" si="3"/>
        <v>31</v>
      </c>
      <c r="K21" s="149">
        <v>36951</v>
      </c>
      <c r="L21" s="508">
        <v>6.7425631572931022E-2</v>
      </c>
      <c r="M21" s="509">
        <v>6.1646984606513008E-2</v>
      </c>
      <c r="N21" s="132">
        <f t="shared" si="5"/>
        <v>0.92893874943489496</v>
      </c>
      <c r="O21" s="133">
        <f>VLOOKUP(K21,Inflation!$B$8:$C$266,2)</f>
        <v>1.0338631463324197</v>
      </c>
      <c r="P21" s="132"/>
      <c r="Q21" s="134">
        <f>VLOOKUP(K21,'Fuel Curve'!$B$11:$F$268,5)</f>
        <v>5.0262068965517255</v>
      </c>
      <c r="R21" s="238">
        <f>VLOOKUP(K21,'Fuel Curve Simulation'!$B$12:$J$258,9)</f>
        <v>5.0262068965517255</v>
      </c>
      <c r="S21" s="134">
        <f t="shared" si="6"/>
        <v>48.146035862068977</v>
      </c>
      <c r="T21" s="136"/>
      <c r="V21" s="135">
        <f>VLOOKUP(K21,PJM_01212000!$A$7:$C$259,3)</f>
        <v>25.575000762939453</v>
      </c>
      <c r="W21" s="486"/>
      <c r="X21" s="118">
        <f>'PJM Curve Simulation'!J21</f>
        <v>25.575000762939453</v>
      </c>
      <c r="Y21" s="512"/>
      <c r="Z21" s="137"/>
      <c r="AA21" s="78">
        <f t="shared" si="9"/>
        <v>315</v>
      </c>
      <c r="AB21" s="85">
        <f t="shared" si="10"/>
        <v>110880</v>
      </c>
      <c r="AC21" s="85">
        <f>VLOOKUP(K21,'Company Volumes'!$B$20:$C$259,2)</f>
        <v>462.11481927022209</v>
      </c>
      <c r="AD21" s="153">
        <f t="shared" si="11"/>
        <v>0</v>
      </c>
      <c r="AE21" s="150"/>
      <c r="AF21" s="150">
        <v>0</v>
      </c>
      <c r="AG21" s="150">
        <v>0</v>
      </c>
      <c r="AH21" s="150">
        <f t="shared" si="12"/>
        <v>0</v>
      </c>
      <c r="AI21" s="150">
        <f t="shared" si="13"/>
        <v>0</v>
      </c>
      <c r="AJ21" s="150">
        <f t="shared" si="14"/>
        <v>0</v>
      </c>
      <c r="AK21" s="85">
        <f t="shared" si="15"/>
        <v>51693.157316620986</v>
      </c>
      <c r="AL21" s="85">
        <f>($AL$5*O21)/12</f>
        <v>131817.55115738351</v>
      </c>
      <c r="AM21" s="85">
        <f>AD21*$AM$5*1000*O21</f>
        <v>0</v>
      </c>
      <c r="AN21" s="85">
        <f t="shared" si="7"/>
        <v>118205.01973067332</v>
      </c>
      <c r="AO21" s="85">
        <f t="shared" si="18"/>
        <v>25846.578658310493</v>
      </c>
      <c r="AP21" s="85">
        <f t="shared" si="30"/>
        <v>46500.558215233643</v>
      </c>
      <c r="AQ21" s="84">
        <f t="shared" si="19"/>
        <v>374062.86507822189</v>
      </c>
      <c r="AR21" s="85">
        <f t="shared" si="20"/>
        <v>12923.289329155246</v>
      </c>
      <c r="AS21" s="84">
        <f t="shared" ref="AS21:AS42" si="32">AS20</f>
        <v>51061.533333333333</v>
      </c>
      <c r="AT21" s="85">
        <f t="shared" si="21"/>
        <v>0</v>
      </c>
      <c r="AU21" s="84">
        <f t="shared" si="22"/>
        <v>438047.68774071045</v>
      </c>
      <c r="AV21" s="84">
        <f t="shared" si="8"/>
        <v>-438047.68774071045</v>
      </c>
      <c r="AW21" s="453"/>
      <c r="AX21" s="93">
        <f t="shared" si="4"/>
        <v>36951</v>
      </c>
      <c r="BA21" s="315"/>
      <c r="BB21" s="134">
        <f t="shared" si="23"/>
        <v>25.575000762939453</v>
      </c>
      <c r="BC21" s="134">
        <f>'Curve Analysis - Base Case'!D13</f>
        <v>50.213762154733814</v>
      </c>
      <c r="BD21" s="131">
        <f t="shared" si="24"/>
        <v>6.7425631572931022E-2</v>
      </c>
      <c r="BE21" s="131">
        <f t="shared" si="25"/>
        <v>6.7425631572931022E-2</v>
      </c>
      <c r="BF21" s="365">
        <f>PJM_01212000!X21</f>
        <v>0.2</v>
      </c>
      <c r="BG21" s="85">
        <f t="shared" si="26"/>
        <v>377</v>
      </c>
      <c r="BH21" s="84">
        <f t="shared" si="27"/>
        <v>0</v>
      </c>
      <c r="BJ21" s="537">
        <f>_xll.EURO(BB21,BC21,BD21,BE21,BF21,BG21,1,0)*BH21</f>
        <v>0</v>
      </c>
      <c r="BK21" s="84">
        <f t="shared" si="28"/>
        <v>0</v>
      </c>
      <c r="BM21" s="84">
        <f t="shared" si="29"/>
        <v>0</v>
      </c>
    </row>
    <row r="22" spans="1:65">
      <c r="A22" s="78">
        <f t="shared" si="1"/>
        <v>16</v>
      </c>
      <c r="C22" s="78">
        <v>30</v>
      </c>
      <c r="D22" s="78" t="s">
        <v>65</v>
      </c>
      <c r="E22" s="113">
        <f t="shared" si="2"/>
        <v>36982</v>
      </c>
      <c r="F22" s="85">
        <v>21</v>
      </c>
      <c r="G22" s="84">
        <f t="shared" si="31"/>
        <v>9</v>
      </c>
      <c r="H22" s="84"/>
      <c r="I22" s="84"/>
      <c r="J22" s="78">
        <f t="shared" si="3"/>
        <v>30</v>
      </c>
      <c r="K22" s="149">
        <v>36982</v>
      </c>
      <c r="L22" s="508">
        <v>6.7843658533167012E-2</v>
      </c>
      <c r="M22" s="509">
        <v>6.1949688268952009E-2</v>
      </c>
      <c r="N22" s="132">
        <f t="shared" si="5"/>
        <v>0.92327832077127103</v>
      </c>
      <c r="O22" s="133">
        <f>VLOOKUP(K22,Inflation!$B$8:$C$266,2)</f>
        <v>1.0361610387800881</v>
      </c>
      <c r="P22" s="132"/>
      <c r="Q22" s="134">
        <f>VLOOKUP(K22,'Fuel Curve'!$B$11:$F$268,5)</f>
        <v>4.8777586206896553</v>
      </c>
      <c r="R22" s="238">
        <f>VLOOKUP(K22,'Fuel Curve Simulation'!$B$12:$J$258,9)</f>
        <v>4.8777586206896553</v>
      </c>
      <c r="S22" s="134">
        <f t="shared" si="6"/>
        <v>46.724049827586207</v>
      </c>
      <c r="T22" s="136"/>
      <c r="V22" s="135">
        <f>VLOOKUP(K22,PJM_01212000!$A$7:$C$259,3)</f>
        <v>25.575000762939453</v>
      </c>
      <c r="W22" s="486"/>
      <c r="X22" s="118">
        <f>'PJM Curve Simulation'!J22</f>
        <v>25.575000762939453</v>
      </c>
      <c r="Y22" s="512"/>
      <c r="Z22" s="137"/>
      <c r="AA22" s="78">
        <f t="shared" si="9"/>
        <v>315</v>
      </c>
      <c r="AB22" s="85">
        <f t="shared" si="10"/>
        <v>105840</v>
      </c>
      <c r="AC22" s="85">
        <f>VLOOKUP(K22,'Company Volumes'!$B$20:$C$259,2)</f>
        <v>5959.7515085297764</v>
      </c>
      <c r="AD22" s="153">
        <f t="shared" si="11"/>
        <v>0</v>
      </c>
      <c r="AE22" s="150"/>
      <c r="AF22" s="150">
        <v>0</v>
      </c>
      <c r="AG22" s="150">
        <v>0</v>
      </c>
      <c r="AH22" s="150">
        <f t="shared" si="12"/>
        <v>0</v>
      </c>
      <c r="AI22" s="150">
        <f t="shared" si="13"/>
        <v>0</v>
      </c>
      <c r="AJ22" s="150">
        <f t="shared" si="14"/>
        <v>0</v>
      </c>
      <c r="AK22" s="85">
        <f t="shared" si="15"/>
        <v>51808.051939004414</v>
      </c>
      <c r="AL22" s="85">
        <f t="shared" si="16"/>
        <v>132110.53244446122</v>
      </c>
      <c r="AM22" s="85">
        <f t="shared" si="17"/>
        <v>0</v>
      </c>
      <c r="AN22" s="85">
        <f t="shared" si="7"/>
        <v>118467.74543385675</v>
      </c>
      <c r="AO22" s="85">
        <f t="shared" si="18"/>
        <v>25904.025969502207</v>
      </c>
      <c r="AP22" s="85">
        <f t="shared" si="30"/>
        <v>46500.558215233643</v>
      </c>
      <c r="AQ22" s="84">
        <f t="shared" si="19"/>
        <v>374790.91400205821</v>
      </c>
      <c r="AR22" s="85">
        <f t="shared" si="20"/>
        <v>12952.012984751103</v>
      </c>
      <c r="AS22" s="84">
        <f t="shared" si="32"/>
        <v>51061.533333333333</v>
      </c>
      <c r="AT22" s="85">
        <f t="shared" si="21"/>
        <v>0</v>
      </c>
      <c r="AU22" s="84">
        <f t="shared" si="22"/>
        <v>438804.46032014268</v>
      </c>
      <c r="AV22" s="84">
        <f t="shared" si="8"/>
        <v>-438804.46032014268</v>
      </c>
      <c r="AW22" s="453"/>
      <c r="AX22" s="93">
        <f t="shared" si="4"/>
        <v>36982</v>
      </c>
      <c r="BA22" s="315"/>
      <c r="BB22" s="134">
        <f t="shared" si="23"/>
        <v>25.575000762939453</v>
      </c>
      <c r="BC22" s="134">
        <f>'Curve Analysis - Base Case'!D14</f>
        <v>48.79637190514638</v>
      </c>
      <c r="BD22" s="131">
        <f t="shared" si="24"/>
        <v>6.7843658533167012E-2</v>
      </c>
      <c r="BE22" s="131">
        <f t="shared" si="25"/>
        <v>6.7843658533167012E-2</v>
      </c>
      <c r="BF22" s="365">
        <f>PJM_01212000!X22</f>
        <v>0.19</v>
      </c>
      <c r="BG22" s="85">
        <f t="shared" si="26"/>
        <v>408</v>
      </c>
      <c r="BH22" s="84">
        <f t="shared" si="27"/>
        <v>0</v>
      </c>
      <c r="BJ22" s="537">
        <f>_xll.EURO(BB22,BC22,BD22,BE22,BF22,BG22,1,0)*BH22</f>
        <v>0</v>
      </c>
      <c r="BK22" s="84">
        <f t="shared" si="28"/>
        <v>0</v>
      </c>
      <c r="BM22" s="84">
        <f t="shared" si="29"/>
        <v>0</v>
      </c>
    </row>
    <row r="23" spans="1:65">
      <c r="A23" s="78">
        <f t="shared" si="1"/>
        <v>17</v>
      </c>
      <c r="C23" s="78">
        <v>31</v>
      </c>
      <c r="D23" s="78" t="s">
        <v>38</v>
      </c>
      <c r="E23" s="113">
        <f t="shared" si="2"/>
        <v>37012</v>
      </c>
      <c r="F23" s="85">
        <v>23</v>
      </c>
      <c r="G23" s="84">
        <f t="shared" si="31"/>
        <v>8</v>
      </c>
      <c r="H23" s="84"/>
      <c r="I23" s="84"/>
      <c r="J23" s="78">
        <f t="shared" si="3"/>
        <v>31</v>
      </c>
      <c r="K23" s="149">
        <v>37012</v>
      </c>
      <c r="L23" s="508">
        <v>6.8169636069557019E-2</v>
      </c>
      <c r="M23" s="509">
        <v>6.2248479771043003E-2</v>
      </c>
      <c r="N23" s="132">
        <f t="shared" si="5"/>
        <v>0.91786259522657809</v>
      </c>
      <c r="O23" s="133">
        <f>VLOOKUP(K23,Inflation!$B$8:$C$266,2)</f>
        <v>1.0384640385862303</v>
      </c>
      <c r="P23" s="132"/>
      <c r="Q23" s="134">
        <f>VLOOKUP(K23,'Fuel Curve'!$B$11:$F$268,5)</f>
        <v>4.7655172413793103</v>
      </c>
      <c r="R23" s="238">
        <f>VLOOKUP(K23,'Fuel Curve Simulation'!$B$12:$J$258,9)</f>
        <v>4.7655172413793103</v>
      </c>
      <c r="S23" s="134">
        <f t="shared" si="6"/>
        <v>45.648889655172411</v>
      </c>
      <c r="T23" s="136"/>
      <c r="V23" s="135">
        <f>VLOOKUP(K23,PJM_01212000!$A$7:$C$259,3)</f>
        <v>30.875</v>
      </c>
      <c r="W23" s="486"/>
      <c r="X23" s="118">
        <f>'PJM Curve Simulation'!J23</f>
        <v>30.875</v>
      </c>
      <c r="Y23" s="512"/>
      <c r="Z23" s="137"/>
      <c r="AA23" s="78">
        <f t="shared" si="9"/>
        <v>315</v>
      </c>
      <c r="AB23" s="85">
        <f t="shared" si="10"/>
        <v>115920</v>
      </c>
      <c r="AC23" s="85">
        <f>VLOOKUP(K23,'Company Volumes'!$B$20:$C$259,2)</f>
        <v>13502.435285655552</v>
      </c>
      <c r="AD23" s="153">
        <f t="shared" si="11"/>
        <v>0</v>
      </c>
      <c r="AE23" s="150"/>
      <c r="AF23" s="150">
        <v>0</v>
      </c>
      <c r="AG23" s="150">
        <v>0</v>
      </c>
      <c r="AH23" s="150">
        <f t="shared" si="12"/>
        <v>0</v>
      </c>
      <c r="AI23" s="150">
        <f t="shared" si="13"/>
        <v>0</v>
      </c>
      <c r="AJ23" s="150">
        <f t="shared" si="14"/>
        <v>0</v>
      </c>
      <c r="AK23" s="85">
        <f t="shared" si="15"/>
        <v>51923.201929311508</v>
      </c>
      <c r="AL23" s="85">
        <f t="shared" si="16"/>
        <v>132404.16491974436</v>
      </c>
      <c r="AM23" s="85">
        <f t="shared" si="17"/>
        <v>0</v>
      </c>
      <c r="AN23" s="85">
        <f t="shared" si="7"/>
        <v>118731.05507835899</v>
      </c>
      <c r="AO23" s="85">
        <f t="shared" si="18"/>
        <v>25961.600964655754</v>
      </c>
      <c r="AP23" s="85">
        <f t="shared" si="30"/>
        <v>46500.558215233643</v>
      </c>
      <c r="AQ23" s="84">
        <f t="shared" si="19"/>
        <v>375520.5811073042</v>
      </c>
      <c r="AR23" s="85">
        <f t="shared" si="20"/>
        <v>12980.800482327877</v>
      </c>
      <c r="AS23" s="84">
        <f t="shared" si="32"/>
        <v>51061.533333333333</v>
      </c>
      <c r="AT23" s="85">
        <f t="shared" si="21"/>
        <v>0</v>
      </c>
      <c r="AU23" s="84">
        <f t="shared" si="22"/>
        <v>439562.91492296546</v>
      </c>
      <c r="AV23" s="84">
        <f t="shared" si="8"/>
        <v>-439562.91492296546</v>
      </c>
      <c r="AW23" s="453"/>
      <c r="AX23" s="93">
        <f t="shared" si="4"/>
        <v>37012</v>
      </c>
      <c r="BA23" s="315"/>
      <c r="BB23" s="134">
        <f t="shared" si="23"/>
        <v>30.875</v>
      </c>
      <c r="BC23" s="134">
        <f>'Curve Analysis - Base Case'!D15</f>
        <v>47.725817732344872</v>
      </c>
      <c r="BD23" s="131">
        <f t="shared" si="24"/>
        <v>6.8169636069557019E-2</v>
      </c>
      <c r="BE23" s="131">
        <f t="shared" si="25"/>
        <v>6.8169636069557019E-2</v>
      </c>
      <c r="BF23" s="365">
        <f>PJM_01212000!X23</f>
        <v>0.21</v>
      </c>
      <c r="BG23" s="85">
        <f t="shared" si="26"/>
        <v>438</v>
      </c>
      <c r="BH23" s="84">
        <f t="shared" si="27"/>
        <v>0</v>
      </c>
      <c r="BJ23" s="537">
        <f>_xll.EURO(BB23,BC23,BD23,BE23,BF23,BG23,1,0)*BH23</f>
        <v>0</v>
      </c>
      <c r="BK23" s="84">
        <f t="shared" si="28"/>
        <v>0</v>
      </c>
      <c r="BM23" s="84">
        <f t="shared" si="29"/>
        <v>0</v>
      </c>
    </row>
    <row r="24" spans="1:65">
      <c r="A24" s="78">
        <f t="shared" si="1"/>
        <v>18</v>
      </c>
      <c r="C24" s="78">
        <v>30</v>
      </c>
      <c r="D24" s="78" t="s">
        <v>66</v>
      </c>
      <c r="E24" s="113">
        <f t="shared" si="2"/>
        <v>37043</v>
      </c>
      <c r="F24" s="85">
        <v>21</v>
      </c>
      <c r="G24" s="84">
        <f t="shared" si="31"/>
        <v>9</v>
      </c>
      <c r="H24" s="84"/>
      <c r="I24" s="84"/>
      <c r="J24" s="78">
        <f t="shared" si="3"/>
        <v>30</v>
      </c>
      <c r="K24" s="149">
        <v>37043</v>
      </c>
      <c r="L24" s="508">
        <v>6.8506479560772007E-2</v>
      </c>
      <c r="M24" s="509">
        <v>6.2557231643578015E-2</v>
      </c>
      <c r="N24" s="132">
        <f t="shared" si="5"/>
        <v>0.91225014842576224</v>
      </c>
      <c r="O24" s="133">
        <f>VLOOKUP(K24,Inflation!$B$8:$C$266,2)</f>
        <v>1.0407721571026003</v>
      </c>
      <c r="P24" s="132"/>
      <c r="Q24" s="134">
        <f>VLOOKUP(K24,'Fuel Curve'!$B$11:$F$268,5)</f>
        <v>4.7220689655172423</v>
      </c>
      <c r="R24" s="238">
        <f>VLOOKUP(K24,'Fuel Curve Simulation'!$B$12:$J$258,9)</f>
        <v>4.7220689655172423</v>
      </c>
      <c r="S24" s="134">
        <f t="shared" si="6"/>
        <v>45.232698620689661</v>
      </c>
      <c r="T24" s="136"/>
      <c r="V24" s="135">
        <f>VLOOKUP(K24,PJM_01212000!$A$7:$C$259,3)</f>
        <v>55.349998474121094</v>
      </c>
      <c r="W24" s="486"/>
      <c r="X24" s="118">
        <f>'PJM Curve Simulation'!J24</f>
        <v>55.349998474121094</v>
      </c>
      <c r="Y24" s="512"/>
      <c r="Z24" s="137"/>
      <c r="AA24" s="78">
        <f t="shared" si="9"/>
        <v>315</v>
      </c>
      <c r="AB24" s="85">
        <f t="shared" si="10"/>
        <v>105840</v>
      </c>
      <c r="AC24" s="85">
        <f>VLOOKUP(K24,'Company Volumes'!$B$20:$C$259,2)</f>
        <v>32661.244557753769</v>
      </c>
      <c r="AD24" s="153">
        <f t="shared" si="11"/>
        <v>105840</v>
      </c>
      <c r="AE24" s="150"/>
      <c r="AF24" s="150">
        <v>0</v>
      </c>
      <c r="AG24" s="150">
        <v>0</v>
      </c>
      <c r="AH24" s="150">
        <f t="shared" si="12"/>
        <v>5858243.8385009766</v>
      </c>
      <c r="AI24" s="150">
        <f t="shared" si="13"/>
        <v>5858243.8385009766</v>
      </c>
      <c r="AJ24" s="150">
        <f t="shared" si="14"/>
        <v>4787428.8220137944</v>
      </c>
      <c r="AK24" s="85">
        <f t="shared" si="15"/>
        <v>52038.607855130016</v>
      </c>
      <c r="AL24" s="85">
        <f t="shared" si="16"/>
        <v>132698.45003058153</v>
      </c>
      <c r="AM24" s="85">
        <f t="shared" si="17"/>
        <v>220310.65021547844</v>
      </c>
      <c r="AN24" s="85">
        <f t="shared" si="7"/>
        <v>118994.94996206395</v>
      </c>
      <c r="AO24" s="85">
        <f t="shared" si="18"/>
        <v>26019.303927565008</v>
      </c>
      <c r="AP24" s="85">
        <f t="shared" si="30"/>
        <v>46500.558215233643</v>
      </c>
      <c r="AQ24" s="84">
        <f t="shared" si="19"/>
        <v>596562.52020605258</v>
      </c>
      <c r="AR24" s="85">
        <f t="shared" si="20"/>
        <v>13009.651963782504</v>
      </c>
      <c r="AS24" s="84">
        <f t="shared" si="32"/>
        <v>51061.533333333333</v>
      </c>
      <c r="AT24" s="85">
        <f t="shared" si="21"/>
        <v>36582.582459778067</v>
      </c>
      <c r="AU24" s="84">
        <f t="shared" si="22"/>
        <v>5484645.1099767406</v>
      </c>
      <c r="AV24" s="84">
        <f t="shared" si="8"/>
        <v>373598.72852423601</v>
      </c>
      <c r="AW24" s="453"/>
      <c r="AX24" s="93">
        <f t="shared" si="4"/>
        <v>37043</v>
      </c>
      <c r="BA24" s="315"/>
      <c r="BB24" s="134">
        <f t="shared" si="23"/>
        <v>55.349998474121094</v>
      </c>
      <c r="BC24" s="134">
        <f>'Curve Analysis - Base Case'!D16</f>
        <v>47.314242934894864</v>
      </c>
      <c r="BD24" s="131">
        <f t="shared" si="24"/>
        <v>6.8506479560772007E-2</v>
      </c>
      <c r="BE24" s="131">
        <f t="shared" si="25"/>
        <v>6.8506479560772007E-2</v>
      </c>
      <c r="BF24" s="365">
        <f>PJM_01212000!X24</f>
        <v>0.27</v>
      </c>
      <c r="BG24" s="85">
        <f t="shared" si="26"/>
        <v>469</v>
      </c>
      <c r="BH24" s="84">
        <f t="shared" si="27"/>
        <v>105840</v>
      </c>
      <c r="BJ24" s="537">
        <f>_xll.EURO(BB24,BC24,BD24,BE24,BF24,BG24,1,0)*BH24</f>
        <v>1071391.0771895547</v>
      </c>
      <c r="BK24" s="84">
        <f t="shared" si="28"/>
        <v>976851.15772696689</v>
      </c>
      <c r="BM24" s="84">
        <f t="shared" si="29"/>
        <v>94539.919462587801</v>
      </c>
    </row>
    <row r="25" spans="1:65">
      <c r="A25" s="78">
        <f t="shared" si="1"/>
        <v>19</v>
      </c>
      <c r="C25" s="78">
        <v>31</v>
      </c>
      <c r="D25" s="78" t="s">
        <v>67</v>
      </c>
      <c r="E25" s="113">
        <f t="shared" si="2"/>
        <v>37073</v>
      </c>
      <c r="F25" s="85">
        <v>22</v>
      </c>
      <c r="G25" s="84">
        <f t="shared" si="31"/>
        <v>9</v>
      </c>
      <c r="H25" s="84"/>
      <c r="I25" s="84"/>
      <c r="J25" s="78">
        <f t="shared" si="3"/>
        <v>31</v>
      </c>
      <c r="K25" s="149">
        <v>37073</v>
      </c>
      <c r="L25" s="508">
        <v>6.8813575700040999E-2</v>
      </c>
      <c r="M25" s="509">
        <v>6.2856024410819999E-2</v>
      </c>
      <c r="N25" s="132">
        <f t="shared" si="5"/>
        <v>0.906827682607942</v>
      </c>
      <c r="O25" s="133">
        <f>VLOOKUP(K25,Inflation!$B$8:$C$266,2)</f>
        <v>1.0430854057061836</v>
      </c>
      <c r="P25" s="132"/>
      <c r="Q25" s="134">
        <f>VLOOKUP(K25,'Fuel Curve'!$B$11:$F$268,5)</f>
        <v>4.746724137931035</v>
      </c>
      <c r="R25" s="238">
        <f>VLOOKUP(K25,'Fuel Curve Simulation'!$B$12:$J$258,9)</f>
        <v>4.746724137931035</v>
      </c>
      <c r="S25" s="134">
        <f t="shared" si="6"/>
        <v>45.468870517241385</v>
      </c>
      <c r="T25" s="136"/>
      <c r="V25" s="135">
        <f>VLOOKUP(K25,PJM_01212000!$A$7:$C$259,3)</f>
        <v>96.699996948242188</v>
      </c>
      <c r="W25" s="486"/>
      <c r="X25" s="118">
        <f>'PJM Curve Simulation'!J25</f>
        <v>96.699996948242188</v>
      </c>
      <c r="Y25" s="512"/>
      <c r="Z25" s="137"/>
      <c r="AA25" s="78">
        <f t="shared" si="9"/>
        <v>315</v>
      </c>
      <c r="AB25" s="85">
        <f t="shared" si="10"/>
        <v>110880</v>
      </c>
      <c r="AC25" s="85">
        <f>VLOOKUP(K25,'Company Volumes'!$B$20:$C$259,2)</f>
        <v>55489.701674826203</v>
      </c>
      <c r="AD25" s="153">
        <f t="shared" si="11"/>
        <v>110880</v>
      </c>
      <c r="AE25" s="150"/>
      <c r="AF25" s="150">
        <v>0</v>
      </c>
      <c r="AG25" s="150">
        <v>0</v>
      </c>
      <c r="AH25" s="150">
        <f t="shared" si="12"/>
        <v>10722095.661621094</v>
      </c>
      <c r="AI25" s="150">
        <f t="shared" si="13"/>
        <v>10722095.661621094</v>
      </c>
      <c r="AJ25" s="150">
        <f t="shared" si="14"/>
        <v>5041588.3629517248</v>
      </c>
      <c r="AK25" s="85">
        <f t="shared" si="15"/>
        <v>52154.270285309176</v>
      </c>
      <c r="AL25" s="85">
        <f t="shared" si="16"/>
        <v>132993.3892275384</v>
      </c>
      <c r="AM25" s="85">
        <f t="shared" si="17"/>
        <v>231314.61956940326</v>
      </c>
      <c r="AN25" s="85">
        <f t="shared" si="7"/>
        <v>119259.4313857403</v>
      </c>
      <c r="AO25" s="85">
        <f t="shared" si="18"/>
        <v>26077.135142654588</v>
      </c>
      <c r="AP25" s="85">
        <f t="shared" si="30"/>
        <v>46500.558215233643</v>
      </c>
      <c r="AQ25" s="84">
        <f t="shared" si="19"/>
        <v>608299.40382587945</v>
      </c>
      <c r="AR25" s="85">
        <f t="shared" si="20"/>
        <v>13038.567571327294</v>
      </c>
      <c r="AS25" s="84">
        <f t="shared" si="32"/>
        <v>51061.533333333333</v>
      </c>
      <c r="AT25" s="85">
        <f t="shared" si="21"/>
        <v>67104.369019335296</v>
      </c>
      <c r="AU25" s="84">
        <f t="shared" si="22"/>
        <v>5781092.2367015993</v>
      </c>
      <c r="AV25" s="84">
        <f t="shared" si="8"/>
        <v>4941003.4249194944</v>
      </c>
      <c r="AW25" s="453"/>
      <c r="AX25" s="93">
        <f t="shared" si="4"/>
        <v>37073</v>
      </c>
      <c r="BA25" s="315"/>
      <c r="BB25" s="134">
        <f t="shared" si="23"/>
        <v>96.699996948242188</v>
      </c>
      <c r="BC25" s="134">
        <f>'Curve Analysis - Base Case'!D17</f>
        <v>47.555041328653751</v>
      </c>
      <c r="BD25" s="131">
        <f t="shared" si="24"/>
        <v>6.8813575700040999E-2</v>
      </c>
      <c r="BE25" s="131">
        <f t="shared" si="25"/>
        <v>6.8813575700040999E-2</v>
      </c>
      <c r="BF25" s="365">
        <f>PJM_01212000!X25</f>
        <v>0.33</v>
      </c>
      <c r="BG25" s="85">
        <f t="shared" si="26"/>
        <v>499</v>
      </c>
      <c r="BH25" s="84">
        <f t="shared" si="27"/>
        <v>110880</v>
      </c>
      <c r="BJ25" s="537">
        <f>_xll.EURO(BB25,BC25,BD25,BE25,BF25,BG25,1,0)*BH25</f>
        <v>4993817.9054157129</v>
      </c>
      <c r="BK25" s="84">
        <f t="shared" si="28"/>
        <v>5151241.2696898449</v>
      </c>
      <c r="BM25" s="84">
        <f t="shared" si="29"/>
        <v>-157423.36427413207</v>
      </c>
    </row>
    <row r="26" spans="1:65">
      <c r="A26" s="78">
        <f t="shared" si="1"/>
        <v>20</v>
      </c>
      <c r="C26" s="78">
        <v>31</v>
      </c>
      <c r="D26" s="78" t="s">
        <v>68</v>
      </c>
      <c r="E26" s="113">
        <f t="shared" si="2"/>
        <v>37104</v>
      </c>
      <c r="F26" s="85">
        <v>23</v>
      </c>
      <c r="G26" s="84">
        <f t="shared" si="31"/>
        <v>8</v>
      </c>
      <c r="H26" s="84"/>
      <c r="I26" s="84"/>
      <c r="J26" s="78">
        <f t="shared" si="3"/>
        <v>31</v>
      </c>
      <c r="K26" s="149">
        <v>37104</v>
      </c>
      <c r="L26" s="508">
        <v>6.9095201423199012E-2</v>
      </c>
      <c r="M26" s="509">
        <v>6.3164777590491009E-2</v>
      </c>
      <c r="N26" s="132">
        <f t="shared" si="5"/>
        <v>0.90125981831432833</v>
      </c>
      <c r="O26" s="133">
        <f>VLOOKUP(K26,Inflation!$B$8:$C$266,2)</f>
        <v>1.0454037957992517</v>
      </c>
      <c r="P26" s="132"/>
      <c r="Q26" s="134">
        <f>VLOOKUP(K26,'Fuel Curve'!$B$11:$F$268,5)</f>
        <v>4.8075862068965529</v>
      </c>
      <c r="R26" s="238">
        <f>VLOOKUP(K26,'Fuel Curve Simulation'!$B$12:$J$258,9)</f>
        <v>4.8075862068965529</v>
      </c>
      <c r="S26" s="134">
        <f t="shared" si="6"/>
        <v>46.051868275862077</v>
      </c>
      <c r="T26" s="136"/>
      <c r="V26" s="135">
        <f>VLOOKUP(K26,PJM_01212000!$A$7:$C$259,3)</f>
        <v>83.699996948242188</v>
      </c>
      <c r="W26" s="486"/>
      <c r="X26" s="118">
        <f>'PJM Curve Simulation'!J26</f>
        <v>83.699996948242188</v>
      </c>
      <c r="Y26" s="512"/>
      <c r="Z26" s="137"/>
      <c r="AA26" s="78">
        <f t="shared" si="9"/>
        <v>315</v>
      </c>
      <c r="AB26" s="85">
        <f t="shared" si="10"/>
        <v>115920</v>
      </c>
      <c r="AC26" s="85">
        <f>VLOOKUP(K26,'Company Volumes'!$B$20:$C$259,2)</f>
        <v>36993.134449226658</v>
      </c>
      <c r="AD26" s="153">
        <f t="shared" si="11"/>
        <v>115920</v>
      </c>
      <c r="AE26" s="150"/>
      <c r="AF26" s="150">
        <v>0</v>
      </c>
      <c r="AG26" s="150">
        <v>0</v>
      </c>
      <c r="AH26" s="150">
        <f t="shared" si="12"/>
        <v>9702503.6462402344</v>
      </c>
      <c r="AI26" s="150">
        <f t="shared" si="13"/>
        <v>9702503.6462402344</v>
      </c>
      <c r="AJ26" s="150">
        <f t="shared" si="14"/>
        <v>5338332.5705379322</v>
      </c>
      <c r="AK26" s="85">
        <f t="shared" si="15"/>
        <v>52270.189789962584</v>
      </c>
      <c r="AL26" s="85">
        <f t="shared" si="16"/>
        <v>133288.98396440459</v>
      </c>
      <c r="AM26" s="85">
        <f t="shared" si="17"/>
        <v>242366.41601809851</v>
      </c>
      <c r="AN26" s="85">
        <f t="shared" si="7"/>
        <v>119524.50065304777</v>
      </c>
      <c r="AO26" s="85">
        <f t="shared" si="18"/>
        <v>26135.094894981292</v>
      </c>
      <c r="AP26" s="85">
        <f t="shared" si="30"/>
        <v>46500.558215233643</v>
      </c>
      <c r="AQ26" s="84">
        <f t="shared" si="19"/>
        <v>620085.74353572831</v>
      </c>
      <c r="AR26" s="85">
        <f t="shared" si="20"/>
        <v>13067.547447490646</v>
      </c>
      <c r="AS26" s="84">
        <f t="shared" si="32"/>
        <v>51061.533333333333</v>
      </c>
      <c r="AT26" s="85">
        <f t="shared" si="21"/>
        <v>60858.204843213731</v>
      </c>
      <c r="AU26" s="84">
        <f t="shared" si="22"/>
        <v>6083405.5996976988</v>
      </c>
      <c r="AV26" s="84">
        <f t="shared" si="8"/>
        <v>3619098.0465425355</v>
      </c>
      <c r="AW26" s="453"/>
      <c r="AX26" s="93">
        <f t="shared" si="4"/>
        <v>37104</v>
      </c>
      <c r="BA26" s="315"/>
      <c r="BB26" s="134">
        <f t="shared" si="23"/>
        <v>83.699996948242188</v>
      </c>
      <c r="BC26" s="134">
        <f>'Curve Analysis - Base Case'!D18</f>
        <v>48.142675867460582</v>
      </c>
      <c r="BD26" s="131">
        <f t="shared" si="24"/>
        <v>6.9095201423199012E-2</v>
      </c>
      <c r="BE26" s="131">
        <f t="shared" si="25"/>
        <v>6.9095201423199012E-2</v>
      </c>
      <c r="BF26" s="365">
        <f>PJM_01212000!X26</f>
        <v>0.33</v>
      </c>
      <c r="BG26" s="85">
        <f t="shared" si="26"/>
        <v>530</v>
      </c>
      <c r="BH26" s="84">
        <f t="shared" si="27"/>
        <v>115920</v>
      </c>
      <c r="BJ26" s="537">
        <f>_xll.EURO(BB26,BC26,BD26,BE26,BF26,BG26,1,0)*BH26</f>
        <v>3826117.7698022672</v>
      </c>
      <c r="BK26" s="84">
        <f t="shared" si="28"/>
        <v>3933252.0307801035</v>
      </c>
      <c r="BM26" s="84">
        <f t="shared" si="29"/>
        <v>-107134.26097783633</v>
      </c>
    </row>
    <row r="27" spans="1:65">
      <c r="A27" s="78">
        <f t="shared" si="1"/>
        <v>21</v>
      </c>
      <c r="C27" s="78">
        <v>30</v>
      </c>
      <c r="D27" s="78" t="s">
        <v>69</v>
      </c>
      <c r="E27" s="113">
        <f t="shared" si="2"/>
        <v>37135</v>
      </c>
      <c r="F27" s="85">
        <v>20</v>
      </c>
      <c r="G27" s="84">
        <f t="shared" si="31"/>
        <v>10</v>
      </c>
      <c r="H27" s="84"/>
      <c r="I27" s="84"/>
      <c r="J27" s="78">
        <f t="shared" si="3"/>
        <v>30</v>
      </c>
      <c r="K27" s="149">
        <v>37135</v>
      </c>
      <c r="L27" s="508">
        <v>6.9376827172596037E-2</v>
      </c>
      <c r="M27" s="509">
        <v>6.3473531434301012E-2</v>
      </c>
      <c r="N27" s="132">
        <f t="shared" si="5"/>
        <v>0.89568480176588539</v>
      </c>
      <c r="O27" s="133">
        <f>VLOOKUP(K27,Inflation!$B$8:$C$266,2)</f>
        <v>1.0477273388094197</v>
      </c>
      <c r="P27" s="132"/>
      <c r="Q27" s="134">
        <f>VLOOKUP(K27,'Fuel Curve'!$B$11:$F$268,5)</f>
        <v>4.8770689655172426</v>
      </c>
      <c r="R27" s="238">
        <f>VLOOKUP(K27,'Fuel Curve Simulation'!$B$12:$J$258,9)</f>
        <v>4.8770689655172426</v>
      </c>
      <c r="S27" s="134">
        <f t="shared" si="6"/>
        <v>46.717443620689664</v>
      </c>
      <c r="T27" s="136"/>
      <c r="V27" s="135">
        <f>VLOOKUP(K27,PJM_01212000!$A$7:$C$259,3)</f>
        <v>32.724998474121094</v>
      </c>
      <c r="W27" s="486"/>
      <c r="X27" s="118">
        <f>'PJM Curve Simulation'!J27</f>
        <v>32.724998474121094</v>
      </c>
      <c r="Y27" s="512"/>
      <c r="Z27" s="137"/>
      <c r="AA27" s="78">
        <f t="shared" si="9"/>
        <v>315</v>
      </c>
      <c r="AB27" s="85">
        <f t="shared" si="10"/>
        <v>100800</v>
      </c>
      <c r="AC27" s="85">
        <f>VLOOKUP(K27,'Company Volumes'!$B$20:$C$259,2)</f>
        <v>16502.976459697773</v>
      </c>
      <c r="AD27" s="153">
        <f t="shared" si="11"/>
        <v>0</v>
      </c>
      <c r="AE27" s="150"/>
      <c r="AF27" s="150">
        <v>0</v>
      </c>
      <c r="AG27" s="150">
        <v>0</v>
      </c>
      <c r="AH27" s="150">
        <f t="shared" si="12"/>
        <v>0</v>
      </c>
      <c r="AI27" s="150">
        <f t="shared" si="13"/>
        <v>0</v>
      </c>
      <c r="AJ27" s="150">
        <f t="shared" si="14"/>
        <v>0</v>
      </c>
      <c r="AK27" s="85">
        <f t="shared" si="15"/>
        <v>52386.366940470987</v>
      </c>
      <c r="AL27" s="85">
        <f t="shared" si="16"/>
        <v>133585.23569820102</v>
      </c>
      <c r="AM27" s="85">
        <f t="shared" si="17"/>
        <v>0</v>
      </c>
      <c r="AN27" s="85">
        <f t="shared" si="7"/>
        <v>119790.15907054365</v>
      </c>
      <c r="AO27" s="85">
        <f t="shared" si="18"/>
        <v>26193.183470235494</v>
      </c>
      <c r="AP27" s="85">
        <f t="shared" si="30"/>
        <v>46500.558215233643</v>
      </c>
      <c r="AQ27" s="84">
        <f t="shared" si="19"/>
        <v>378455.50339468487</v>
      </c>
      <c r="AR27" s="85">
        <f t="shared" si="20"/>
        <v>13096.591735117747</v>
      </c>
      <c r="AS27" s="84">
        <f t="shared" si="32"/>
        <v>51061.533333333333</v>
      </c>
      <c r="AT27" s="85">
        <f t="shared" si="21"/>
        <v>0</v>
      </c>
      <c r="AU27" s="84">
        <f t="shared" si="22"/>
        <v>442613.62846313592</v>
      </c>
      <c r="AV27" s="84">
        <f t="shared" si="8"/>
        <v>-442613.62846313592</v>
      </c>
      <c r="AW27" s="453"/>
      <c r="AX27" s="93">
        <f t="shared" si="4"/>
        <v>37135</v>
      </c>
      <c r="BA27" s="315"/>
      <c r="BB27" s="134">
        <f t="shared" si="23"/>
        <v>32.724998474121094</v>
      </c>
      <c r="BC27" s="134">
        <f>'Curve Analysis - Base Case'!D19</f>
        <v>48.812898298308504</v>
      </c>
      <c r="BD27" s="131">
        <f t="shared" si="24"/>
        <v>6.9376827172596037E-2</v>
      </c>
      <c r="BE27" s="131">
        <f t="shared" si="25"/>
        <v>6.9376827172596037E-2</v>
      </c>
      <c r="BF27" s="365">
        <f>PJM_01212000!X27</f>
        <v>0.2</v>
      </c>
      <c r="BG27" s="85">
        <f t="shared" si="26"/>
        <v>561</v>
      </c>
      <c r="BH27" s="84">
        <f t="shared" si="27"/>
        <v>0</v>
      </c>
      <c r="BJ27" s="537">
        <f>_xll.EURO(BB27,BC27,BD27,BE27,BF27,BG27,1,0)*BH27</f>
        <v>0</v>
      </c>
      <c r="BK27" s="84">
        <f t="shared" si="28"/>
        <v>0</v>
      </c>
      <c r="BM27" s="84">
        <f t="shared" si="29"/>
        <v>0</v>
      </c>
    </row>
    <row r="28" spans="1:65">
      <c r="A28" s="78">
        <f t="shared" si="1"/>
        <v>22</v>
      </c>
      <c r="C28" s="78">
        <v>31</v>
      </c>
      <c r="D28" s="78" t="s">
        <v>70</v>
      </c>
      <c r="E28" s="113">
        <f t="shared" si="2"/>
        <v>37165</v>
      </c>
      <c r="F28" s="85">
        <v>23</v>
      </c>
      <c r="G28" s="84">
        <f t="shared" si="31"/>
        <v>8</v>
      </c>
      <c r="H28" s="84"/>
      <c r="I28" s="84"/>
      <c r="J28" s="78">
        <f t="shared" si="3"/>
        <v>31</v>
      </c>
      <c r="K28" s="149">
        <v>37165</v>
      </c>
      <c r="L28" s="508">
        <v>6.9627293262601017E-2</v>
      </c>
      <c r="M28" s="509">
        <v>6.3772326108956015E-2</v>
      </c>
      <c r="N28" s="132">
        <f t="shared" si="5"/>
        <v>0.89031558573007474</v>
      </c>
      <c r="O28" s="133">
        <f>VLOOKUP(K28,Inflation!$B$8:$C$266,2)</f>
        <v>1.0500560461897015</v>
      </c>
      <c r="P28" s="132"/>
      <c r="Q28" s="134">
        <f>VLOOKUP(K28,'Fuel Curve'!$B$11:$F$268,5)</f>
        <v>4.9436206896551731</v>
      </c>
      <c r="R28" s="238">
        <f>VLOOKUP(K28,'Fuel Curve Simulation'!$B$12:$J$258,9)</f>
        <v>4.9436206896551731</v>
      </c>
      <c r="S28" s="134">
        <f t="shared" si="6"/>
        <v>47.354942586206903</v>
      </c>
      <c r="T28" s="136"/>
      <c r="V28" s="135">
        <f>VLOOKUP(K28,PJM_01212000!$A$7:$C$259,3)</f>
        <v>26.225000381469727</v>
      </c>
      <c r="W28" s="486"/>
      <c r="X28" s="118">
        <f>'PJM Curve Simulation'!J28</f>
        <v>26.225000381469727</v>
      </c>
      <c r="Y28" s="512"/>
      <c r="Z28" s="137"/>
      <c r="AA28" s="78">
        <f t="shared" si="9"/>
        <v>315</v>
      </c>
      <c r="AB28" s="85">
        <f t="shared" si="10"/>
        <v>115920</v>
      </c>
      <c r="AC28" s="85">
        <f>VLOOKUP(K28,'Company Volumes'!$B$20:$C$259,2)</f>
        <v>6583.7917599191105</v>
      </c>
      <c r="AD28" s="153">
        <f t="shared" si="11"/>
        <v>0</v>
      </c>
      <c r="AE28" s="150"/>
      <c r="AF28" s="150">
        <v>0</v>
      </c>
      <c r="AG28" s="150">
        <v>0</v>
      </c>
      <c r="AH28" s="150">
        <f t="shared" si="12"/>
        <v>0</v>
      </c>
      <c r="AI28" s="150">
        <f t="shared" si="13"/>
        <v>0</v>
      </c>
      <c r="AJ28" s="150">
        <f t="shared" si="14"/>
        <v>0</v>
      </c>
      <c r="AK28" s="85">
        <f t="shared" si="15"/>
        <v>52502.802309485072</v>
      </c>
      <c r="AL28" s="85">
        <f t="shared" si="16"/>
        <v>133882.14588918694</v>
      </c>
      <c r="AM28" s="85">
        <f t="shared" si="17"/>
        <v>0</v>
      </c>
      <c r="AN28" s="85">
        <f t="shared" si="7"/>
        <v>120056.40794768921</v>
      </c>
      <c r="AO28" s="85">
        <f t="shared" si="18"/>
        <v>26251.401154742536</v>
      </c>
      <c r="AP28" s="85">
        <f t="shared" si="30"/>
        <v>46500.558215233643</v>
      </c>
      <c r="AQ28" s="84">
        <f t="shared" si="19"/>
        <v>379193.3155163374</v>
      </c>
      <c r="AR28" s="85">
        <f t="shared" si="20"/>
        <v>13125.700577371268</v>
      </c>
      <c r="AS28" s="84">
        <f t="shared" si="32"/>
        <v>51061.533333333333</v>
      </c>
      <c r="AT28" s="85">
        <f t="shared" si="21"/>
        <v>0</v>
      </c>
      <c r="AU28" s="84">
        <f t="shared" si="22"/>
        <v>443380.54942704202</v>
      </c>
      <c r="AV28" s="84">
        <f t="shared" si="8"/>
        <v>-443380.54942704202</v>
      </c>
      <c r="AW28" s="453"/>
      <c r="AX28" s="93">
        <f t="shared" si="4"/>
        <v>37165</v>
      </c>
      <c r="BA28" s="315"/>
      <c r="BB28" s="134">
        <f t="shared" si="23"/>
        <v>26.225000381469727</v>
      </c>
      <c r="BC28" s="134">
        <f>'Curve Analysis - Base Case'!D20</f>
        <v>49.455054678586308</v>
      </c>
      <c r="BD28" s="131">
        <f t="shared" si="24"/>
        <v>6.9627293262601017E-2</v>
      </c>
      <c r="BE28" s="131">
        <f t="shared" si="25"/>
        <v>6.9627293262601017E-2</v>
      </c>
      <c r="BF28" s="365">
        <f>PJM_01212000!X28</f>
        <v>0.15</v>
      </c>
      <c r="BG28" s="85">
        <f t="shared" si="26"/>
        <v>591</v>
      </c>
      <c r="BH28" s="84">
        <f t="shared" si="27"/>
        <v>0</v>
      </c>
      <c r="BJ28" s="537">
        <f>_xll.EURO(BB28,BC28,BD28,BE28,BF28,BG28,1,0)*BH28</f>
        <v>0</v>
      </c>
      <c r="BK28" s="84">
        <f t="shared" si="28"/>
        <v>0</v>
      </c>
      <c r="BM28" s="84">
        <f t="shared" si="29"/>
        <v>0</v>
      </c>
    </row>
    <row r="29" spans="1:65">
      <c r="A29" s="78">
        <f t="shared" si="1"/>
        <v>23</v>
      </c>
      <c r="C29" s="78">
        <v>30</v>
      </c>
      <c r="D29" s="78" t="s">
        <v>71</v>
      </c>
      <c r="E29" s="113">
        <f t="shared" si="2"/>
        <v>37196</v>
      </c>
      <c r="F29" s="85">
        <v>22</v>
      </c>
      <c r="G29" s="84">
        <f t="shared" si="31"/>
        <v>8</v>
      </c>
      <c r="H29" s="84"/>
      <c r="I29" s="84"/>
      <c r="J29" s="78">
        <f t="shared" si="3"/>
        <v>30</v>
      </c>
      <c r="K29" s="149">
        <v>37196</v>
      </c>
      <c r="L29" s="508">
        <v>6.9849822771288012E-2</v>
      </c>
      <c r="M29" s="509">
        <v>6.4081081259339021E-2</v>
      </c>
      <c r="N29" s="132">
        <f t="shared" si="5"/>
        <v>0.88481958609445999</v>
      </c>
      <c r="O29" s="133">
        <f>VLOOKUP(K29,Inflation!$B$8:$C$266,2)</f>
        <v>1.0523899294185675</v>
      </c>
      <c r="P29" s="132"/>
      <c r="Q29" s="134">
        <f>VLOOKUP(K29,'Fuel Curve'!$B$11:$F$268,5)</f>
        <v>5.0060344827586212</v>
      </c>
      <c r="R29" s="238">
        <f>VLOOKUP(K29,'Fuel Curve Simulation'!$B$12:$J$258,9)</f>
        <v>5.0060344827586212</v>
      </c>
      <c r="S29" s="134">
        <f t="shared" si="6"/>
        <v>47.952804310344831</v>
      </c>
      <c r="T29" s="136"/>
      <c r="V29" s="135">
        <f>VLOOKUP(K29,PJM_01212000!$A$7:$C$259,3)</f>
        <v>25.897499084472656</v>
      </c>
      <c r="W29" s="486"/>
      <c r="X29" s="118">
        <f>'PJM Curve Simulation'!J29</f>
        <v>25.897499084472656</v>
      </c>
      <c r="Y29" s="512"/>
      <c r="Z29" s="137"/>
      <c r="AA29" s="78">
        <f t="shared" si="9"/>
        <v>315</v>
      </c>
      <c r="AB29" s="85">
        <f t="shared" si="10"/>
        <v>110880</v>
      </c>
      <c r="AC29" s="85">
        <f>VLOOKUP(K29,'Company Volumes'!$B$20:$C$259,2)</f>
        <v>8734.3407333435534</v>
      </c>
      <c r="AD29" s="153">
        <f t="shared" si="11"/>
        <v>0</v>
      </c>
      <c r="AE29" s="150"/>
      <c r="AF29" s="150">
        <v>0</v>
      </c>
      <c r="AG29" s="150">
        <v>0</v>
      </c>
      <c r="AH29" s="150">
        <f t="shared" si="12"/>
        <v>0</v>
      </c>
      <c r="AI29" s="150">
        <f t="shared" si="13"/>
        <v>0</v>
      </c>
      <c r="AJ29" s="150">
        <f t="shared" si="14"/>
        <v>0</v>
      </c>
      <c r="AK29" s="85">
        <f t="shared" si="15"/>
        <v>52619.496470928374</v>
      </c>
      <c r="AL29" s="85">
        <f t="shared" si="16"/>
        <v>134179.71600086734</v>
      </c>
      <c r="AM29" s="85">
        <f t="shared" si="17"/>
        <v>0</v>
      </c>
      <c r="AN29" s="85">
        <f t="shared" si="7"/>
        <v>120323.24859685623</v>
      </c>
      <c r="AO29" s="85">
        <f t="shared" si="18"/>
        <v>26309.748235464187</v>
      </c>
      <c r="AP29" s="85">
        <f t="shared" si="30"/>
        <v>46500.558215233643</v>
      </c>
      <c r="AQ29" s="84">
        <f t="shared" si="19"/>
        <v>379932.76751934981</v>
      </c>
      <c r="AR29" s="85">
        <f t="shared" si="20"/>
        <v>13154.874117732094</v>
      </c>
      <c r="AS29" s="84">
        <f t="shared" si="32"/>
        <v>51061.533333333333</v>
      </c>
      <c r="AT29" s="85">
        <f t="shared" si="21"/>
        <v>0</v>
      </c>
      <c r="AU29" s="84">
        <f t="shared" si="22"/>
        <v>444149.17497041519</v>
      </c>
      <c r="AV29" s="84">
        <f t="shared" si="8"/>
        <v>-444149.17497041519</v>
      </c>
      <c r="AW29" s="453"/>
      <c r="AX29" s="93">
        <f t="shared" si="4"/>
        <v>37196</v>
      </c>
      <c r="BA29" s="315"/>
      <c r="BB29" s="134">
        <f t="shared" si="23"/>
        <v>25.897499084472656</v>
      </c>
      <c r="BC29" s="134">
        <f>'Curve Analysis - Base Case'!D21</f>
        <v>50.057584169181965</v>
      </c>
      <c r="BD29" s="131">
        <f t="shared" si="24"/>
        <v>6.9849822771288012E-2</v>
      </c>
      <c r="BE29" s="131">
        <f t="shared" si="25"/>
        <v>6.9849822771288012E-2</v>
      </c>
      <c r="BF29" s="365">
        <f>PJM_01212000!X29</f>
        <v>0.15</v>
      </c>
      <c r="BG29" s="85">
        <f t="shared" si="26"/>
        <v>622</v>
      </c>
      <c r="BH29" s="84">
        <f t="shared" si="27"/>
        <v>0</v>
      </c>
      <c r="BJ29" s="537">
        <f>_xll.EURO(BB29,BC29,BD29,BE29,BF29,BG29,1,0)*BH29</f>
        <v>0</v>
      </c>
      <c r="BK29" s="84">
        <f t="shared" si="28"/>
        <v>0</v>
      </c>
      <c r="BM29" s="84">
        <f t="shared" si="29"/>
        <v>0</v>
      </c>
    </row>
    <row r="30" spans="1:65">
      <c r="A30" s="78">
        <f t="shared" si="1"/>
        <v>24</v>
      </c>
      <c r="C30" s="78">
        <v>31</v>
      </c>
      <c r="D30" s="78" t="s">
        <v>72</v>
      </c>
      <c r="E30" s="113">
        <f t="shared" si="2"/>
        <v>37226</v>
      </c>
      <c r="F30" s="85">
        <v>21</v>
      </c>
      <c r="G30" s="84">
        <f t="shared" si="31"/>
        <v>10</v>
      </c>
      <c r="H30" s="84">
        <f>SUM(F19:G30)</f>
        <v>365</v>
      </c>
      <c r="I30" s="84"/>
      <c r="J30" s="78">
        <f t="shared" si="3"/>
        <v>31</v>
      </c>
      <c r="K30" s="149">
        <v>37226</v>
      </c>
      <c r="L30" s="508">
        <v>7.0065173924320018E-2</v>
      </c>
      <c r="M30" s="509">
        <v>6.4379877198237997E-2</v>
      </c>
      <c r="N30" s="132">
        <f t="shared" si="5"/>
        <v>0.87950265178452391</v>
      </c>
      <c r="O30" s="133">
        <f>VLOOKUP(K30,Inflation!$B$8:$C$266,2)</f>
        <v>1.0547289999999998</v>
      </c>
      <c r="P30" s="132"/>
      <c r="Q30" s="134">
        <f>VLOOKUP(K30,'Fuel Curve'!$B$11:$F$268,5)</f>
        <v>5.0284482758620692</v>
      </c>
      <c r="R30" s="238">
        <f>VLOOKUP(K30,'Fuel Curve Simulation'!$B$12:$J$258,9)</f>
        <v>5.0284482758620692</v>
      </c>
      <c r="S30" s="134">
        <f t="shared" si="6"/>
        <v>48.167506034482756</v>
      </c>
      <c r="T30" s="136"/>
      <c r="V30" s="135">
        <f>VLOOKUP(K30,PJM_01212000!$A$7:$C$259,3)</f>
        <v>27.649999618530273</v>
      </c>
      <c r="W30" s="486"/>
      <c r="X30" s="118">
        <f>'PJM Curve Simulation'!J30</f>
        <v>27.649999618530273</v>
      </c>
      <c r="Y30" s="512"/>
      <c r="Z30" s="137"/>
      <c r="AA30" s="78">
        <f t="shared" si="9"/>
        <v>315</v>
      </c>
      <c r="AB30" s="85">
        <f t="shared" si="10"/>
        <v>105840</v>
      </c>
      <c r="AC30" s="85">
        <f>VLOOKUP(K30,'Company Volumes'!$B$20:$C$259,2)</f>
        <v>8734.3407333435534</v>
      </c>
      <c r="AD30" s="153">
        <f t="shared" si="11"/>
        <v>0</v>
      </c>
      <c r="AE30" s="150"/>
      <c r="AF30" s="150">
        <v>0</v>
      </c>
      <c r="AG30" s="150">
        <v>0</v>
      </c>
      <c r="AH30" s="150">
        <f t="shared" si="12"/>
        <v>0</v>
      </c>
      <c r="AI30" s="150">
        <f t="shared" si="13"/>
        <v>0</v>
      </c>
      <c r="AJ30" s="150">
        <f t="shared" si="14"/>
        <v>0</v>
      </c>
      <c r="AK30" s="85">
        <f t="shared" si="15"/>
        <v>52736.44999999999</v>
      </c>
      <c r="AL30" s="85">
        <f t="shared" si="16"/>
        <v>134477.94749999998</v>
      </c>
      <c r="AM30" s="85">
        <f t="shared" si="17"/>
        <v>0</v>
      </c>
      <c r="AN30" s="85">
        <f t="shared" si="7"/>
        <v>120590.6823333333</v>
      </c>
      <c r="AO30" s="85">
        <f t="shared" si="18"/>
        <v>26368.224999999995</v>
      </c>
      <c r="AP30" s="85">
        <f t="shared" si="30"/>
        <v>46500.558215233643</v>
      </c>
      <c r="AQ30" s="84">
        <f t="shared" si="19"/>
        <v>380673.86304856685</v>
      </c>
      <c r="AR30" s="85">
        <f t="shared" si="20"/>
        <v>13184.112499999997</v>
      </c>
      <c r="AS30" s="84">
        <f t="shared" si="32"/>
        <v>51061.533333333333</v>
      </c>
      <c r="AT30" s="85">
        <f t="shared" si="21"/>
        <v>0</v>
      </c>
      <c r="AU30" s="84">
        <f t="shared" si="22"/>
        <v>444919.50888190023</v>
      </c>
      <c r="AV30" s="84">
        <f t="shared" si="8"/>
        <v>-444919.50888190023</v>
      </c>
      <c r="AW30" s="453"/>
      <c r="AX30" s="93">
        <f t="shared" si="4"/>
        <v>37226</v>
      </c>
      <c r="AY30" s="85">
        <f ca="1">'Debt Amortization'!I8</f>
        <v>2374746.1277370825</v>
      </c>
      <c r="AZ30" s="85">
        <f ca="1">AY30*N30</f>
        <v>2088595.5166597939</v>
      </c>
      <c r="BA30" s="315"/>
      <c r="BB30" s="134">
        <f t="shared" si="23"/>
        <v>27.649999618530273</v>
      </c>
      <c r="BC30" s="134">
        <f>'Curve Analysis - Base Case'!D22</f>
        <v>50.276964034482752</v>
      </c>
      <c r="BD30" s="131">
        <f t="shared" si="24"/>
        <v>7.0065173924320018E-2</v>
      </c>
      <c r="BE30" s="131">
        <f t="shared" si="25"/>
        <v>7.0065173924320018E-2</v>
      </c>
      <c r="BF30" s="365">
        <f>PJM_01212000!X30</f>
        <v>0.15</v>
      </c>
      <c r="BG30" s="85">
        <f t="shared" si="26"/>
        <v>652</v>
      </c>
      <c r="BH30" s="84">
        <f t="shared" si="27"/>
        <v>0</v>
      </c>
      <c r="BJ30" s="537">
        <f>_xll.EURO(BB30,BC30,BD30,BE30,BF30,BG30,1,0)*BH30</f>
        <v>0</v>
      </c>
      <c r="BK30" s="84">
        <f t="shared" si="28"/>
        <v>0</v>
      </c>
      <c r="BM30" s="84">
        <f t="shared" si="29"/>
        <v>0</v>
      </c>
    </row>
    <row r="31" spans="1:65">
      <c r="A31" s="78">
        <f t="shared" si="1"/>
        <v>25</v>
      </c>
      <c r="C31" s="78">
        <v>31</v>
      </c>
      <c r="D31" s="78" t="s">
        <v>62</v>
      </c>
      <c r="E31" s="113">
        <f t="shared" si="2"/>
        <v>37257</v>
      </c>
      <c r="F31" s="85">
        <v>23</v>
      </c>
      <c r="G31" s="84">
        <f>C31-F31</f>
        <v>8</v>
      </c>
      <c r="H31" s="84"/>
      <c r="I31" s="84"/>
      <c r="J31" s="78">
        <f t="shared" si="3"/>
        <v>31</v>
      </c>
      <c r="K31" s="149">
        <v>37257</v>
      </c>
      <c r="L31" s="508">
        <v>7.027646029862801E-2</v>
      </c>
      <c r="M31" s="509">
        <v>6.4688633654820013E-2</v>
      </c>
      <c r="N31" s="132">
        <f t="shared" si="5"/>
        <v>0.87402920842405774</v>
      </c>
      <c r="O31" s="133">
        <f>VLOOKUP(K31,Inflation!$B$8:$C$266,2)</f>
        <v>1.0570732694635498</v>
      </c>
      <c r="P31" s="132"/>
      <c r="Q31" s="134">
        <f>VLOOKUP(K31,'Fuel Curve'!$B$11:$F$268,5)</f>
        <v>4.9798275862068975</v>
      </c>
      <c r="R31" s="238">
        <f>VLOOKUP(K31,'Fuel Curve Simulation'!$B$12:$J$258,9)</f>
        <v>4.9798275862068975</v>
      </c>
      <c r="S31" s="134">
        <f t="shared" si="6"/>
        <v>47.701768448275871</v>
      </c>
      <c r="T31" s="136"/>
      <c r="V31" s="135">
        <f>VLOOKUP(K31,PJM_01212000!$A$7:$C$259,3)</f>
        <v>35.774998474121091</v>
      </c>
      <c r="W31" s="486"/>
      <c r="X31" s="118">
        <f>'PJM Curve Simulation'!J31</f>
        <v>35.774998474121091</v>
      </c>
      <c r="Y31" s="512"/>
      <c r="Z31" s="137"/>
      <c r="AA31" s="78">
        <f t="shared" si="9"/>
        <v>315</v>
      </c>
      <c r="AB31" s="85">
        <f t="shared" si="10"/>
        <v>115920</v>
      </c>
      <c r="AC31" s="85">
        <f>VLOOKUP(K31,'Company Volumes'!$B$20:$C$259,2)</f>
        <v>20049.084567533777</v>
      </c>
      <c r="AD31" s="153">
        <f t="shared" si="11"/>
        <v>0</v>
      </c>
      <c r="AE31" s="150"/>
      <c r="AF31" s="150">
        <v>0</v>
      </c>
      <c r="AG31" s="150">
        <v>0</v>
      </c>
      <c r="AH31" s="150">
        <f t="shared" si="12"/>
        <v>0</v>
      </c>
      <c r="AI31" s="150">
        <f t="shared" si="13"/>
        <v>0</v>
      </c>
      <c r="AJ31" s="150">
        <f t="shared" si="14"/>
        <v>0</v>
      </c>
      <c r="AK31" s="85">
        <f t="shared" si="15"/>
        <v>52853.66347317749</v>
      </c>
      <c r="AL31" s="85">
        <f t="shared" si="16"/>
        <v>134776.84185660261</v>
      </c>
      <c r="AM31" s="85">
        <f t="shared" si="17"/>
        <v>0</v>
      </c>
      <c r="AN31" s="85">
        <f t="shared" si="7"/>
        <v>120858.71047533253</v>
      </c>
      <c r="AO31" s="85">
        <f t="shared" si="18"/>
        <v>26426.831736588745</v>
      </c>
      <c r="AP31" s="85">
        <f t="shared" si="30"/>
        <v>46500.558215233643</v>
      </c>
      <c r="AQ31" s="84">
        <f t="shared" si="19"/>
        <v>381416.60575693497</v>
      </c>
      <c r="AR31" s="85">
        <f t="shared" si="20"/>
        <v>13213.415868294373</v>
      </c>
      <c r="AS31" s="84">
        <f t="shared" si="32"/>
        <v>51061.533333333333</v>
      </c>
      <c r="AT31" s="85">
        <f t="shared" si="21"/>
        <v>0</v>
      </c>
      <c r="AU31" s="84">
        <f t="shared" si="22"/>
        <v>445691.55495856272</v>
      </c>
      <c r="AV31" s="84">
        <f t="shared" si="8"/>
        <v>-445691.55495856272</v>
      </c>
      <c r="AW31" s="453"/>
      <c r="AX31" s="93">
        <f t="shared" si="4"/>
        <v>37257</v>
      </c>
      <c r="BA31" s="315"/>
      <c r="BB31" s="134">
        <f t="shared" si="23"/>
        <v>35.774998474121091</v>
      </c>
      <c r="BC31" s="134">
        <f>'Curve Analysis - Base Case'!D23</f>
        <v>49.815914987202973</v>
      </c>
      <c r="BD31" s="131">
        <f t="shared" si="24"/>
        <v>7.027646029862801E-2</v>
      </c>
      <c r="BE31" s="131">
        <f t="shared" si="25"/>
        <v>7.027646029862801E-2</v>
      </c>
      <c r="BF31" s="365">
        <f>PJM_01212000!X31</f>
        <v>0.19799999999999998</v>
      </c>
      <c r="BG31" s="85">
        <f t="shared" si="26"/>
        <v>683</v>
      </c>
      <c r="BH31" s="84">
        <f t="shared" si="27"/>
        <v>0</v>
      </c>
      <c r="BJ31" s="537">
        <f>_xll.EURO(BB31,BC31,BD31,BE31,BF31,BG31,1,0)*BH31</f>
        <v>0</v>
      </c>
      <c r="BK31" s="84">
        <f t="shared" si="28"/>
        <v>0</v>
      </c>
      <c r="BM31" s="84">
        <f t="shared" si="29"/>
        <v>0</v>
      </c>
    </row>
    <row r="32" spans="1:65">
      <c r="A32" s="78">
        <f t="shared" si="1"/>
        <v>26</v>
      </c>
      <c r="C32" s="78">
        <v>28</v>
      </c>
      <c r="D32" s="78" t="s">
        <v>63</v>
      </c>
      <c r="E32" s="113">
        <f t="shared" si="2"/>
        <v>37288</v>
      </c>
      <c r="F32" s="85">
        <v>20</v>
      </c>
      <c r="G32" s="84">
        <f t="shared" ref="G32:G42" si="33">C32-F32</f>
        <v>8</v>
      </c>
      <c r="H32" s="84"/>
      <c r="I32" s="84"/>
      <c r="J32" s="78">
        <f t="shared" si="3"/>
        <v>28</v>
      </c>
      <c r="K32" s="149">
        <v>37288</v>
      </c>
      <c r="L32" s="508">
        <v>7.0472179225230025E-2</v>
      </c>
      <c r="M32" s="509">
        <v>6.4997390775064001E-2</v>
      </c>
      <c r="N32" s="132">
        <f t="shared" si="5"/>
        <v>0.86858633867014401</v>
      </c>
      <c r="O32" s="133">
        <f>VLOOKUP(K32,Inflation!$B$8:$C$266,2)</f>
        <v>1.0594227493643948</v>
      </c>
      <c r="P32" s="132"/>
      <c r="Q32" s="134">
        <f>VLOOKUP(K32,'Fuel Curve'!$B$11:$F$268,5)</f>
        <v>4.8625862068965526</v>
      </c>
      <c r="R32" s="238">
        <f>VLOOKUP(K32,'Fuel Curve Simulation'!$B$12:$J$258,9)</f>
        <v>4.8625862068965526</v>
      </c>
      <c r="S32" s="134">
        <f t="shared" si="6"/>
        <v>46.578713275862079</v>
      </c>
      <c r="T32" s="136"/>
      <c r="V32" s="135">
        <f>VLOOKUP(K32,PJM_01212000!$A$7:$C$259,3)</f>
        <v>35.774998474121091</v>
      </c>
      <c r="W32" s="486"/>
      <c r="X32" s="118">
        <f>'PJM Curve Simulation'!J32</f>
        <v>35.774998474121091</v>
      </c>
      <c r="Y32" s="512"/>
      <c r="Z32" s="137"/>
      <c r="AA32" s="78">
        <f t="shared" si="9"/>
        <v>315</v>
      </c>
      <c r="AB32" s="85">
        <f t="shared" si="10"/>
        <v>100800</v>
      </c>
      <c r="AC32" s="85">
        <f>VLOOKUP(K32,'Company Volumes'!$B$20:$C$259,2)</f>
        <v>926.55215538355537</v>
      </c>
      <c r="AD32" s="153">
        <f t="shared" si="11"/>
        <v>0</v>
      </c>
      <c r="AE32" s="150"/>
      <c r="AF32" s="150">
        <v>0</v>
      </c>
      <c r="AG32" s="150">
        <v>0</v>
      </c>
      <c r="AH32" s="150">
        <f t="shared" si="12"/>
        <v>0</v>
      </c>
      <c r="AI32" s="150">
        <f t="shared" si="13"/>
        <v>0</v>
      </c>
      <c r="AJ32" s="150">
        <f t="shared" si="14"/>
        <v>0</v>
      </c>
      <c r="AK32" s="85">
        <f t="shared" si="15"/>
        <v>52971.137468219742</v>
      </c>
      <c r="AL32" s="85">
        <f t="shared" si="16"/>
        <v>135076.40054396034</v>
      </c>
      <c r="AM32" s="85">
        <f t="shared" si="17"/>
        <v>0</v>
      </c>
      <c r="AN32" s="85">
        <f t="shared" si="7"/>
        <v>121127.33434399581</v>
      </c>
      <c r="AO32" s="85">
        <f t="shared" si="18"/>
        <v>26485.568734109871</v>
      </c>
      <c r="AP32" s="85">
        <f t="shared" si="30"/>
        <v>46500.558215233643</v>
      </c>
      <c r="AQ32" s="84">
        <f t="shared" si="19"/>
        <v>382160.99930551939</v>
      </c>
      <c r="AR32" s="85">
        <f t="shared" si="20"/>
        <v>13242.784367054936</v>
      </c>
      <c r="AS32" s="84">
        <f t="shared" si="32"/>
        <v>51061.533333333333</v>
      </c>
      <c r="AT32" s="85">
        <f t="shared" si="21"/>
        <v>0</v>
      </c>
      <c r="AU32" s="84">
        <f t="shared" si="22"/>
        <v>446465.31700590765</v>
      </c>
      <c r="AV32" s="84">
        <f t="shared" si="8"/>
        <v>-446465.31700590765</v>
      </c>
      <c r="AW32" s="453"/>
      <c r="AX32" s="93">
        <f t="shared" si="4"/>
        <v>37288</v>
      </c>
      <c r="BA32" s="315"/>
      <c r="BB32" s="134">
        <f t="shared" si="23"/>
        <v>35.774998474121091</v>
      </c>
      <c r="BC32" s="134">
        <f>'Curve Analysis - Base Case'!D24</f>
        <v>48.697558774590867</v>
      </c>
      <c r="BD32" s="131">
        <f t="shared" si="24"/>
        <v>7.0472179225230025E-2</v>
      </c>
      <c r="BE32" s="131">
        <f t="shared" si="25"/>
        <v>7.0472179225230025E-2</v>
      </c>
      <c r="BF32" s="365">
        <f>PJM_01212000!X32</f>
        <v>0.19799999999999998</v>
      </c>
      <c r="BG32" s="85">
        <f t="shared" si="26"/>
        <v>714</v>
      </c>
      <c r="BH32" s="84">
        <f t="shared" si="27"/>
        <v>0</v>
      </c>
      <c r="BJ32" s="537">
        <f>_xll.EURO(BB32,BC32,BD32,BE32,BF32,BG32,1,0)*BH32</f>
        <v>0</v>
      </c>
      <c r="BK32" s="84">
        <f t="shared" si="28"/>
        <v>0</v>
      </c>
      <c r="BM32" s="84">
        <f t="shared" si="29"/>
        <v>0</v>
      </c>
    </row>
    <row r="33" spans="1:65">
      <c r="A33" s="78">
        <f t="shared" si="1"/>
        <v>27</v>
      </c>
      <c r="C33" s="78">
        <v>31</v>
      </c>
      <c r="D33" s="78" t="s">
        <v>64</v>
      </c>
      <c r="E33" s="113">
        <f t="shared" si="2"/>
        <v>37316</v>
      </c>
      <c r="F33" s="85">
        <v>21</v>
      </c>
      <c r="G33" s="84">
        <f t="shared" si="33"/>
        <v>10</v>
      </c>
      <c r="H33" s="84"/>
      <c r="I33" s="84"/>
      <c r="J33" s="78">
        <f t="shared" si="3"/>
        <v>31</v>
      </c>
      <c r="K33" s="149">
        <v>37316</v>
      </c>
      <c r="L33" s="508">
        <v>7.0648957621433001E-2</v>
      </c>
      <c r="M33" s="509">
        <v>6.528639882091701E-2</v>
      </c>
      <c r="N33" s="132">
        <f t="shared" si="5"/>
        <v>0.86367554042081496</v>
      </c>
      <c r="O33" s="133">
        <f>VLOOKUP(K33,Inflation!$B$8:$C$266,2)</f>
        <v>1.0617774512833951</v>
      </c>
      <c r="P33" s="132"/>
      <c r="Q33" s="134">
        <f>VLOOKUP(K33,'Fuel Curve'!$B$11:$F$268,5)</f>
        <v>4.7481034482758622</v>
      </c>
      <c r="R33" s="238">
        <f>VLOOKUP(K33,'Fuel Curve Simulation'!$B$12:$J$258,9)</f>
        <v>4.7481034482758622</v>
      </c>
      <c r="S33" s="134">
        <f t="shared" si="6"/>
        <v>45.482082931034483</v>
      </c>
      <c r="T33" s="136"/>
      <c r="V33" s="135">
        <f>VLOOKUP(K33,PJM_01212000!$A$7:$C$259,3)</f>
        <v>25.875000762939454</v>
      </c>
      <c r="W33" s="486"/>
      <c r="X33" s="118">
        <f>'PJM Curve Simulation'!J33</f>
        <v>25.875000762939454</v>
      </c>
      <c r="Y33" s="512"/>
      <c r="Z33" s="137"/>
      <c r="AA33" s="78">
        <f t="shared" si="9"/>
        <v>315</v>
      </c>
      <c r="AB33" s="85">
        <f t="shared" si="10"/>
        <v>105840</v>
      </c>
      <c r="AC33" s="85">
        <f>VLOOKUP(K33,'Company Volumes'!$B$20:$C$259,2)</f>
        <v>926.55215538355537</v>
      </c>
      <c r="AD33" s="153">
        <f t="shared" si="11"/>
        <v>0</v>
      </c>
      <c r="AE33" s="150"/>
      <c r="AF33" s="150">
        <v>0</v>
      </c>
      <c r="AG33" s="150">
        <v>0</v>
      </c>
      <c r="AH33" s="150">
        <f t="shared" si="12"/>
        <v>0</v>
      </c>
      <c r="AI33" s="150">
        <f t="shared" si="13"/>
        <v>0</v>
      </c>
      <c r="AJ33" s="150">
        <f t="shared" si="14"/>
        <v>0</v>
      </c>
      <c r="AK33" s="85">
        <f t="shared" si="15"/>
        <v>53088.872564169753</v>
      </c>
      <c r="AL33" s="85">
        <f t="shared" si="16"/>
        <v>135376.62503863286</v>
      </c>
      <c r="AM33" s="85">
        <f t="shared" si="17"/>
        <v>0</v>
      </c>
      <c r="AN33" s="85">
        <f t="shared" si="7"/>
        <v>121396.5552634015</v>
      </c>
      <c r="AO33" s="85">
        <f t="shared" si="18"/>
        <v>26544.436282084876</v>
      </c>
      <c r="AP33" s="85">
        <f t="shared" si="30"/>
        <v>46500.558215233643</v>
      </c>
      <c r="AQ33" s="84">
        <f t="shared" si="19"/>
        <v>382907.04736352258</v>
      </c>
      <c r="AR33" s="85">
        <f t="shared" si="20"/>
        <v>13272.218141042438</v>
      </c>
      <c r="AS33" s="84">
        <f t="shared" si="32"/>
        <v>51061.533333333333</v>
      </c>
      <c r="AT33" s="85">
        <f t="shared" si="21"/>
        <v>0</v>
      </c>
      <c r="AU33" s="84">
        <f t="shared" si="22"/>
        <v>447240.7988378983</v>
      </c>
      <c r="AV33" s="84">
        <f t="shared" si="8"/>
        <v>-447240.7988378983</v>
      </c>
      <c r="AW33" s="453"/>
      <c r="AX33" s="93">
        <f t="shared" si="4"/>
        <v>37316</v>
      </c>
      <c r="BA33" s="315"/>
      <c r="BB33" s="134">
        <f t="shared" si="23"/>
        <v>25.875000762939454</v>
      </c>
      <c r="BC33" s="134">
        <f>'Curve Analysis - Base Case'!D25</f>
        <v>47.605637833601271</v>
      </c>
      <c r="BD33" s="131">
        <f t="shared" si="24"/>
        <v>7.0648957621433001E-2</v>
      </c>
      <c r="BE33" s="131">
        <f t="shared" si="25"/>
        <v>7.0648957621433001E-2</v>
      </c>
      <c r="BF33" s="365">
        <f>PJM_01212000!X33</f>
        <v>0.16500000000000001</v>
      </c>
      <c r="BG33" s="85">
        <f t="shared" si="26"/>
        <v>742</v>
      </c>
      <c r="BH33" s="84">
        <f t="shared" si="27"/>
        <v>0</v>
      </c>
      <c r="BJ33" s="537">
        <f>_xll.EURO(BB33,BC33,BD33,BE33,BF33,BG33,1,0)*BH33</f>
        <v>0</v>
      </c>
      <c r="BK33" s="84">
        <f t="shared" si="28"/>
        <v>0</v>
      </c>
      <c r="BM33" s="84">
        <f t="shared" si="29"/>
        <v>0</v>
      </c>
    </row>
    <row r="34" spans="1:65">
      <c r="A34" s="78">
        <f t="shared" si="1"/>
        <v>28</v>
      </c>
      <c r="C34" s="78">
        <v>30</v>
      </c>
      <c r="D34" s="78" t="s">
        <v>65</v>
      </c>
      <c r="E34" s="113">
        <f t="shared" si="2"/>
        <v>37347</v>
      </c>
      <c r="F34" s="85">
        <v>22</v>
      </c>
      <c r="G34" s="84">
        <f t="shared" si="33"/>
        <v>8</v>
      </c>
      <c r="H34" s="84"/>
      <c r="I34" s="84"/>
      <c r="J34" s="78">
        <f t="shared" si="3"/>
        <v>30</v>
      </c>
      <c r="K34" s="149">
        <v>37347</v>
      </c>
      <c r="L34" s="508">
        <v>7.0820178359482025E-2</v>
      </c>
      <c r="M34" s="509">
        <v>6.589014476916101E-2</v>
      </c>
      <c r="N34" s="132">
        <f t="shared" si="5"/>
        <v>0.85828937638611991</v>
      </c>
      <c r="O34" s="133">
        <f>VLOOKUP(K34,Inflation!$B$8:$C$266,2)</f>
        <v>1.0641373868271504</v>
      </c>
      <c r="P34" s="132"/>
      <c r="Q34" s="134">
        <f>VLOOKUP(K34,'Fuel Curve'!$B$11:$F$268,5)</f>
        <v>4.6351724137931045</v>
      </c>
      <c r="R34" s="238">
        <f>VLOOKUP(K34,'Fuel Curve Simulation'!$B$12:$J$258,9)</f>
        <v>4.6351724137931045</v>
      </c>
      <c r="S34" s="134">
        <f t="shared" si="6"/>
        <v>44.400316551724153</v>
      </c>
      <c r="T34" s="136"/>
      <c r="V34" s="135">
        <f>VLOOKUP(K34,PJM_01212000!$A$7:$C$259,3)</f>
        <v>25.775000762939452</v>
      </c>
      <c r="W34" s="486"/>
      <c r="X34" s="118">
        <f>'PJM Curve Simulation'!J34</f>
        <v>25.775000762939452</v>
      </c>
      <c r="Y34" s="512"/>
      <c r="Z34" s="137"/>
      <c r="AA34" s="78">
        <f t="shared" si="9"/>
        <v>315</v>
      </c>
      <c r="AB34" s="85">
        <f t="shared" si="10"/>
        <v>110880</v>
      </c>
      <c r="AC34" s="85">
        <f>VLOOKUP(K34,'Company Volumes'!$B$20:$C$259,2)</f>
        <v>12055.889461398223</v>
      </c>
      <c r="AD34" s="153">
        <f t="shared" si="11"/>
        <v>0</v>
      </c>
      <c r="AE34" s="150"/>
      <c r="AF34" s="150">
        <v>0</v>
      </c>
      <c r="AG34" s="150">
        <v>0</v>
      </c>
      <c r="AH34" s="150">
        <f t="shared" si="12"/>
        <v>0</v>
      </c>
      <c r="AI34" s="150">
        <f t="shared" si="13"/>
        <v>0</v>
      </c>
      <c r="AJ34" s="150">
        <f t="shared" si="14"/>
        <v>0</v>
      </c>
      <c r="AK34" s="85">
        <f t="shared" si="15"/>
        <v>53206.869341357524</v>
      </c>
      <c r="AL34" s="85">
        <f t="shared" si="16"/>
        <v>135677.51682046169</v>
      </c>
      <c r="AM34" s="85">
        <f t="shared" si="17"/>
        <v>0</v>
      </c>
      <c r="AN34" s="85">
        <f t="shared" si="7"/>
        <v>121666.37456057085</v>
      </c>
      <c r="AO34" s="85">
        <f t="shared" si="18"/>
        <v>26603.434670678762</v>
      </c>
      <c r="AP34" s="85">
        <f t="shared" si="30"/>
        <v>46500.558215233643</v>
      </c>
      <c r="AQ34" s="84">
        <f t="shared" si="19"/>
        <v>383654.75360830245</v>
      </c>
      <c r="AR34" s="85">
        <f t="shared" si="20"/>
        <v>13301.717335339381</v>
      </c>
      <c r="AS34" s="84">
        <f t="shared" si="32"/>
        <v>51061.533333333333</v>
      </c>
      <c r="AT34" s="85">
        <f t="shared" si="21"/>
        <v>0</v>
      </c>
      <c r="AU34" s="84">
        <f t="shared" si="22"/>
        <v>448018.00427697517</v>
      </c>
      <c r="AV34" s="84">
        <f t="shared" si="8"/>
        <v>-448018.00427697517</v>
      </c>
      <c r="AW34" s="453"/>
      <c r="AX34" s="93">
        <f t="shared" si="4"/>
        <v>37347</v>
      </c>
      <c r="BA34" s="315"/>
      <c r="BB34" s="134">
        <f t="shared" si="23"/>
        <v>25.775000762939452</v>
      </c>
      <c r="BC34" s="134">
        <f>'Curve Analysis - Base Case'!D26</f>
        <v>46.528591325378457</v>
      </c>
      <c r="BD34" s="131">
        <f t="shared" si="24"/>
        <v>7.0820178359482025E-2</v>
      </c>
      <c r="BE34" s="131">
        <f t="shared" si="25"/>
        <v>7.0820178359482025E-2</v>
      </c>
      <c r="BF34" s="365">
        <f>PJM_01212000!X34</f>
        <v>0.15675</v>
      </c>
      <c r="BG34" s="85">
        <f t="shared" si="26"/>
        <v>773</v>
      </c>
      <c r="BH34" s="84">
        <f t="shared" si="27"/>
        <v>0</v>
      </c>
      <c r="BJ34" s="537">
        <f>_xll.EURO(BB34,BC34,BD34,BE34,BF34,BG34,1,0)*BH34</f>
        <v>0</v>
      </c>
      <c r="BK34" s="84">
        <f t="shared" si="28"/>
        <v>0</v>
      </c>
      <c r="BM34" s="84">
        <f t="shared" si="29"/>
        <v>0</v>
      </c>
    </row>
    <row r="35" spans="1:65">
      <c r="A35" s="78">
        <f t="shared" si="1"/>
        <v>29</v>
      </c>
      <c r="C35" s="78">
        <v>31</v>
      </c>
      <c r="D35" s="78" t="s">
        <v>38</v>
      </c>
      <c r="E35" s="113">
        <f t="shared" si="2"/>
        <v>37377</v>
      </c>
      <c r="F35" s="85">
        <v>23</v>
      </c>
      <c r="G35" s="84">
        <f t="shared" si="33"/>
        <v>8</v>
      </c>
      <c r="H35" s="84"/>
      <c r="I35" s="84"/>
      <c r="J35" s="78">
        <f t="shared" si="3"/>
        <v>31</v>
      </c>
      <c r="K35" s="149">
        <v>37377</v>
      </c>
      <c r="L35" s="508">
        <v>7.0949708337774017E-2</v>
      </c>
      <c r="M35" s="509">
        <v>6.5921472008656015E-2</v>
      </c>
      <c r="N35" s="132">
        <f t="shared" si="5"/>
        <v>0.8531540441198241</v>
      </c>
      <c r="O35" s="133">
        <f>VLOOKUP(K35,Inflation!$B$8:$C$266,2)</f>
        <v>1.0665025676280584</v>
      </c>
      <c r="P35" s="132"/>
      <c r="Q35" s="134">
        <f>VLOOKUP(K35,'Fuel Curve'!$B$11:$F$268,5)</f>
        <v>4.5525862068965521</v>
      </c>
      <c r="R35" s="238">
        <f>VLOOKUP(K35,'Fuel Curve Simulation'!$B$12:$J$258,9)</f>
        <v>4.5525862068965521</v>
      </c>
      <c r="S35" s="134">
        <f t="shared" si="6"/>
        <v>43.609223275862071</v>
      </c>
      <c r="T35" s="136"/>
      <c r="V35" s="135">
        <f>VLOOKUP(K35,PJM_01212000!$A$7:$C$259,3)</f>
        <v>30.875</v>
      </c>
      <c r="W35" s="486"/>
      <c r="X35" s="118">
        <f>'PJM Curve Simulation'!J35</f>
        <v>30.875</v>
      </c>
      <c r="Y35" s="512"/>
      <c r="Z35" s="137"/>
      <c r="AA35" s="78">
        <f t="shared" si="9"/>
        <v>315</v>
      </c>
      <c r="AB35" s="85">
        <f t="shared" si="10"/>
        <v>115920</v>
      </c>
      <c r="AC35" s="85">
        <f>VLOOKUP(K35,'Company Volumes'!$B$20:$C$259,2)</f>
        <v>17367.414505152443</v>
      </c>
      <c r="AD35" s="153">
        <f t="shared" si="11"/>
        <v>0</v>
      </c>
      <c r="AE35" s="150"/>
      <c r="AF35" s="150">
        <v>0</v>
      </c>
      <c r="AG35" s="150">
        <v>0</v>
      </c>
      <c r="AH35" s="150">
        <f t="shared" si="12"/>
        <v>0</v>
      </c>
      <c r="AI35" s="150">
        <f t="shared" si="13"/>
        <v>0</v>
      </c>
      <c r="AJ35" s="150">
        <f t="shared" si="14"/>
        <v>0</v>
      </c>
      <c r="AK35" s="85">
        <f t="shared" si="15"/>
        <v>53325.128381402923</v>
      </c>
      <c r="AL35" s="85">
        <f t="shared" si="16"/>
        <v>135979.07737257745</v>
      </c>
      <c r="AM35" s="85">
        <f t="shared" si="17"/>
        <v>0</v>
      </c>
      <c r="AN35" s="85">
        <f t="shared" si="7"/>
        <v>121936.79356547467</v>
      </c>
      <c r="AO35" s="85">
        <f t="shared" si="18"/>
        <v>26662.564190701461</v>
      </c>
      <c r="AP35" s="85">
        <f t="shared" si="30"/>
        <v>46500.558215233643</v>
      </c>
      <c r="AQ35" s="84">
        <f t="shared" si="19"/>
        <v>384404.1217253902</v>
      </c>
      <c r="AR35" s="85">
        <f t="shared" si="20"/>
        <v>13331.282095350731</v>
      </c>
      <c r="AS35" s="84">
        <f t="shared" si="32"/>
        <v>51061.533333333333</v>
      </c>
      <c r="AT35" s="85">
        <f t="shared" si="21"/>
        <v>0</v>
      </c>
      <c r="AU35" s="84">
        <f t="shared" si="22"/>
        <v>448796.9371540742</v>
      </c>
      <c r="AV35" s="84">
        <f t="shared" si="8"/>
        <v>-448796.9371540742</v>
      </c>
      <c r="AW35" s="453"/>
      <c r="AX35" s="93">
        <f t="shared" si="4"/>
        <v>37377</v>
      </c>
      <c r="BA35" s="315"/>
      <c r="BB35" s="134">
        <f t="shared" si="23"/>
        <v>30.875</v>
      </c>
      <c r="BC35" s="134">
        <f>'Curve Analysis - Base Case'!D27</f>
        <v>45.742228411118191</v>
      </c>
      <c r="BD35" s="131">
        <f t="shared" si="24"/>
        <v>7.0949708337774017E-2</v>
      </c>
      <c r="BE35" s="131">
        <f t="shared" si="25"/>
        <v>7.0949708337774017E-2</v>
      </c>
      <c r="BF35" s="365">
        <f>PJM_01212000!X35</f>
        <v>0.17324999999999999</v>
      </c>
      <c r="BG35" s="85">
        <f t="shared" si="26"/>
        <v>803</v>
      </c>
      <c r="BH35" s="84">
        <f t="shared" si="27"/>
        <v>0</v>
      </c>
      <c r="BJ35" s="537">
        <f>_xll.EURO(BB35,BC35,BD35,BE35,BF35,BG35,1,0)*BH35</f>
        <v>0</v>
      </c>
      <c r="BK35" s="84">
        <f t="shared" si="28"/>
        <v>0</v>
      </c>
      <c r="BM35" s="84">
        <f t="shared" si="29"/>
        <v>0</v>
      </c>
    </row>
    <row r="36" spans="1:65">
      <c r="A36" s="78">
        <f t="shared" si="1"/>
        <v>30</v>
      </c>
      <c r="C36" s="78">
        <v>30</v>
      </c>
      <c r="D36" s="78" t="s">
        <v>66</v>
      </c>
      <c r="E36" s="113">
        <f t="shared" si="2"/>
        <v>37408</v>
      </c>
      <c r="F36" s="85">
        <v>20</v>
      </c>
      <c r="G36" s="84">
        <f t="shared" si="33"/>
        <v>10</v>
      </c>
      <c r="H36" s="84"/>
      <c r="I36" s="84"/>
      <c r="J36" s="78">
        <f t="shared" si="3"/>
        <v>30</v>
      </c>
      <c r="K36" s="149">
        <v>37408</v>
      </c>
      <c r="L36" s="508">
        <v>7.1083555987836014E-2</v>
      </c>
      <c r="M36" s="509">
        <v>6.5953843496640019E-2</v>
      </c>
      <c r="N36" s="132">
        <f t="shared" si="5"/>
        <v>0.84786152325334441</v>
      </c>
      <c r="O36" s="133">
        <f>VLOOKUP(K36,Inflation!$B$8:$C$266,2)</f>
        <v>1.0688730053443705</v>
      </c>
      <c r="P36" s="132"/>
      <c r="Q36" s="134">
        <f>VLOOKUP(K36,'Fuel Curve'!$B$11:$F$268,5)</f>
        <v>4.5317241379310351</v>
      </c>
      <c r="R36" s="238">
        <f>VLOOKUP(K36,'Fuel Curve Simulation'!$B$12:$J$258,9)</f>
        <v>4.5317241379310351</v>
      </c>
      <c r="S36" s="134">
        <f t="shared" si="6"/>
        <v>43.409385517241383</v>
      </c>
      <c r="T36" s="136"/>
      <c r="V36" s="135">
        <f>VLOOKUP(K36,PJM_01212000!$A$7:$C$259,3)</f>
        <v>54.849998474121094</v>
      </c>
      <c r="W36" s="486"/>
      <c r="X36" s="118">
        <f>'PJM Curve Simulation'!J36</f>
        <v>54.849998474121094</v>
      </c>
      <c r="Y36" s="512"/>
      <c r="Z36" s="137"/>
      <c r="AA36" s="78">
        <f t="shared" si="9"/>
        <v>315</v>
      </c>
      <c r="AB36" s="85">
        <f t="shared" si="10"/>
        <v>100800</v>
      </c>
      <c r="AC36" s="85">
        <f>VLOOKUP(K36,'Company Volumes'!$B$20:$C$259,2)</f>
        <v>29277.030026072887</v>
      </c>
      <c r="AD36" s="153">
        <f t="shared" si="11"/>
        <v>100800</v>
      </c>
      <c r="AE36" s="150"/>
      <c r="AF36" s="150">
        <v>0</v>
      </c>
      <c r="AG36" s="150">
        <v>0</v>
      </c>
      <c r="AH36" s="150">
        <f t="shared" si="12"/>
        <v>5528879.8461914063</v>
      </c>
      <c r="AI36" s="150">
        <f t="shared" si="13"/>
        <v>5528879.8461914063</v>
      </c>
      <c r="AJ36" s="150">
        <f t="shared" si="14"/>
        <v>4375666.0601379313</v>
      </c>
      <c r="AK36" s="85">
        <f t="shared" si="15"/>
        <v>53443.650267218523</v>
      </c>
      <c r="AL36" s="85">
        <f t="shared" si="16"/>
        <v>136281.30818140725</v>
      </c>
      <c r="AM36" s="85">
        <f t="shared" si="17"/>
        <v>215484.7978774251</v>
      </c>
      <c r="AN36" s="85">
        <f t="shared" si="7"/>
        <v>122207.81361103969</v>
      </c>
      <c r="AO36" s="85">
        <f t="shared" si="18"/>
        <v>26721.825133609262</v>
      </c>
      <c r="AP36" s="85">
        <f t="shared" si="30"/>
        <v>46500.558215233643</v>
      </c>
      <c r="AQ36" s="84">
        <f t="shared" si="19"/>
        <v>600639.95328593336</v>
      </c>
      <c r="AR36" s="85">
        <f t="shared" si="20"/>
        <v>13360.912566804631</v>
      </c>
      <c r="AS36" s="84">
        <f t="shared" si="32"/>
        <v>51061.533333333333</v>
      </c>
      <c r="AT36" s="85">
        <f t="shared" si="21"/>
        <v>35458.022504319175</v>
      </c>
      <c r="AU36" s="84">
        <f t="shared" si="22"/>
        <v>5076186.4818283217</v>
      </c>
      <c r="AV36" s="84">
        <f t="shared" si="8"/>
        <v>452693.36436308455</v>
      </c>
      <c r="AW36" s="453"/>
      <c r="AX36" s="93">
        <f t="shared" si="4"/>
        <v>37408</v>
      </c>
      <c r="BA36" s="315"/>
      <c r="BB36" s="134">
        <f t="shared" si="23"/>
        <v>54.849998474121094</v>
      </c>
      <c r="BC36" s="134">
        <f>'Curve Analysis - Base Case'!D28</f>
        <v>45.547131527930127</v>
      </c>
      <c r="BD36" s="131">
        <f t="shared" si="24"/>
        <v>7.1083555987836014E-2</v>
      </c>
      <c r="BE36" s="131">
        <f t="shared" si="25"/>
        <v>7.1083555987836014E-2</v>
      </c>
      <c r="BF36" s="365">
        <f>PJM_01212000!X36</f>
        <v>0.22275</v>
      </c>
      <c r="BG36" s="85">
        <f t="shared" si="26"/>
        <v>834</v>
      </c>
      <c r="BH36" s="84">
        <f t="shared" si="27"/>
        <v>100800</v>
      </c>
      <c r="BJ36" s="537">
        <f>_xll.EURO(BB36,BC36,BD36,BE36,BF36,BG36,1,0)*BH36</f>
        <v>1057949.1071684358</v>
      </c>
      <c r="BK36" s="84">
        <f t="shared" si="28"/>
        <v>977765.59728005575</v>
      </c>
      <c r="BM36" s="84">
        <f t="shared" si="29"/>
        <v>80183.509888380067</v>
      </c>
    </row>
    <row r="37" spans="1:65">
      <c r="A37" s="78">
        <f t="shared" si="1"/>
        <v>31</v>
      </c>
      <c r="C37" s="78">
        <v>31</v>
      </c>
      <c r="D37" s="78" t="s">
        <v>67</v>
      </c>
      <c r="E37" s="113">
        <f t="shared" si="2"/>
        <v>37438</v>
      </c>
      <c r="F37" s="85">
        <v>23</v>
      </c>
      <c r="G37" s="84">
        <f t="shared" si="33"/>
        <v>8</v>
      </c>
      <c r="H37" s="84"/>
      <c r="I37" s="84"/>
      <c r="J37" s="78">
        <f t="shared" si="3"/>
        <v>31</v>
      </c>
      <c r="K37" s="149">
        <v>37438</v>
      </c>
      <c r="L37" s="508">
        <v>7.1203412357002005E-2</v>
      </c>
      <c r="M37" s="509">
        <v>6.5985170750018002E-2</v>
      </c>
      <c r="N37" s="132">
        <f t="shared" si="5"/>
        <v>0.84277264871995949</v>
      </c>
      <c r="O37" s="133">
        <f>VLOOKUP(K37,Inflation!$B$8:$C$266,2)</f>
        <v>1.0712487116602503</v>
      </c>
      <c r="P37" s="132"/>
      <c r="Q37" s="134">
        <f>VLOOKUP(K37,'Fuel Curve'!$B$11:$F$268,5)</f>
        <v>4.5729310344827594</v>
      </c>
      <c r="R37" s="238">
        <f>VLOOKUP(K37,'Fuel Curve Simulation'!$B$12:$J$258,9)</f>
        <v>4.5729310344827594</v>
      </c>
      <c r="S37" s="134">
        <f t="shared" si="6"/>
        <v>43.804106379310355</v>
      </c>
      <c r="T37" s="136"/>
      <c r="V37" s="135">
        <f>VLOOKUP(K37,PJM_01212000!$A$7:$C$259,3)</f>
        <v>94.699996948242188</v>
      </c>
      <c r="W37" s="486"/>
      <c r="X37" s="118">
        <f>'PJM Curve Simulation'!J37</f>
        <v>94.699996948242188</v>
      </c>
      <c r="Y37" s="512"/>
      <c r="Z37" s="137"/>
      <c r="AA37" s="78">
        <f t="shared" si="9"/>
        <v>315</v>
      </c>
      <c r="AB37" s="85">
        <f t="shared" si="10"/>
        <v>115920</v>
      </c>
      <c r="AC37" s="85">
        <f>VLOOKUP(K37,'Company Volumes'!$B$20:$C$259,2)</f>
        <v>52644.217323145771</v>
      </c>
      <c r="AD37" s="153">
        <f t="shared" si="11"/>
        <v>115920</v>
      </c>
      <c r="AE37" s="150"/>
      <c r="AF37" s="150">
        <v>0</v>
      </c>
      <c r="AG37" s="150">
        <v>0</v>
      </c>
      <c r="AH37" s="150">
        <f t="shared" si="12"/>
        <v>10977623.646240234</v>
      </c>
      <c r="AI37" s="150">
        <f t="shared" si="13"/>
        <v>10977623.646240234</v>
      </c>
      <c r="AJ37" s="150">
        <f t="shared" si="14"/>
        <v>5077772.0114896558</v>
      </c>
      <c r="AK37" s="85">
        <f t="shared" si="15"/>
        <v>53562.435583012506</v>
      </c>
      <c r="AL37" s="85">
        <f t="shared" si="16"/>
        <v>136584.21073668191</v>
      </c>
      <c r="AM37" s="85">
        <f t="shared" si="17"/>
        <v>248358.30131131242</v>
      </c>
      <c r="AN37" s="85">
        <f t="shared" si="7"/>
        <v>122479.43603315527</v>
      </c>
      <c r="AO37" s="85">
        <f t="shared" si="18"/>
        <v>26781.217791506253</v>
      </c>
      <c r="AP37" s="85">
        <f t="shared" si="30"/>
        <v>46500.558215233643</v>
      </c>
      <c r="AQ37" s="84">
        <f t="shared" si="19"/>
        <v>634266.15967090195</v>
      </c>
      <c r="AR37" s="85">
        <f t="shared" si="20"/>
        <v>13390.608895753126</v>
      </c>
      <c r="AS37" s="84">
        <f t="shared" si="32"/>
        <v>51061.533333333333</v>
      </c>
      <c r="AT37" s="85">
        <f t="shared" si="21"/>
        <v>70558.59112875571</v>
      </c>
      <c r="AU37" s="84">
        <f t="shared" si="22"/>
        <v>5847048.9045183994</v>
      </c>
      <c r="AV37" s="84">
        <f t="shared" si="8"/>
        <v>5130574.741721835</v>
      </c>
      <c r="AW37" s="453"/>
      <c r="AX37" s="93">
        <f t="shared" si="4"/>
        <v>37438</v>
      </c>
      <c r="BA37" s="315"/>
      <c r="BB37" s="134">
        <f t="shared" si="23"/>
        <v>94.699996948242188</v>
      </c>
      <c r="BC37" s="134">
        <f>'Curve Analysis - Base Case'!D29</f>
        <v>45.946603802630854</v>
      </c>
      <c r="BD37" s="131">
        <f t="shared" si="24"/>
        <v>7.1203412357002005E-2</v>
      </c>
      <c r="BE37" s="131">
        <f t="shared" si="25"/>
        <v>7.1203412357002005E-2</v>
      </c>
      <c r="BF37" s="365">
        <f>PJM_01212000!X37</f>
        <v>0.27224999999999999</v>
      </c>
      <c r="BG37" s="85">
        <f t="shared" si="26"/>
        <v>864</v>
      </c>
      <c r="BH37" s="84">
        <f t="shared" si="27"/>
        <v>115920</v>
      </c>
      <c r="BJ37" s="537">
        <f>_xll.EURO(BB37,BC37,BD37,BE37,BF37,BG37,1,0)*BH37</f>
        <v>4820977.7344152192</v>
      </c>
      <c r="BK37" s="84">
        <f t="shared" si="28"/>
        <v>4972233.5892735282</v>
      </c>
      <c r="BM37" s="84">
        <f t="shared" si="29"/>
        <v>-151255.85485830903</v>
      </c>
    </row>
    <row r="38" spans="1:65">
      <c r="A38" s="78">
        <f t="shared" si="1"/>
        <v>32</v>
      </c>
      <c r="C38" s="78">
        <v>31</v>
      </c>
      <c r="D38" s="78" t="s">
        <v>68</v>
      </c>
      <c r="E38" s="113">
        <f t="shared" si="2"/>
        <v>37469</v>
      </c>
      <c r="F38" s="85">
        <v>22</v>
      </c>
      <c r="G38" s="84">
        <f t="shared" si="33"/>
        <v>9</v>
      </c>
      <c r="H38" s="84"/>
      <c r="I38" s="84"/>
      <c r="J38" s="78">
        <f t="shared" si="3"/>
        <v>31</v>
      </c>
      <c r="K38" s="149">
        <v>37469</v>
      </c>
      <c r="L38" s="508">
        <v>7.1311312147306002E-2</v>
      </c>
      <c r="M38" s="509">
        <v>6.6017542252348002E-2</v>
      </c>
      <c r="N38" s="132">
        <f t="shared" si="5"/>
        <v>0.83756215153463875</v>
      </c>
      <c r="O38" s="133">
        <f>VLOOKUP(K38,Inflation!$B$8:$C$266,2)</f>
        <v>1.0736296982858313</v>
      </c>
      <c r="P38" s="132"/>
      <c r="Q38" s="134">
        <f>VLOOKUP(K38,'Fuel Curve'!$B$11:$F$268,5)</f>
        <v>4.6467241379310344</v>
      </c>
      <c r="R38" s="238">
        <f>VLOOKUP(K38,'Fuel Curve Simulation'!$B$12:$J$258,9)</f>
        <v>4.6467241379310344</v>
      </c>
      <c r="S38" s="134">
        <f t="shared" si="6"/>
        <v>44.510970517241383</v>
      </c>
      <c r="T38" s="136"/>
      <c r="V38" s="135">
        <f>VLOOKUP(K38,PJM_01212000!$A$7:$C$259,3)</f>
        <v>81.699996948242188</v>
      </c>
      <c r="W38" s="486"/>
      <c r="X38" s="118">
        <f>'PJM Curve Simulation'!J38</f>
        <v>81.699996948242188</v>
      </c>
      <c r="Y38" s="512"/>
      <c r="Z38" s="137"/>
      <c r="AA38" s="78">
        <f t="shared" si="9"/>
        <v>315</v>
      </c>
      <c r="AB38" s="85">
        <f t="shared" si="10"/>
        <v>110880</v>
      </c>
      <c r="AC38" s="85">
        <f>VLOOKUP(K38,'Company Volumes'!$B$20:$C$259,2)</f>
        <v>35096.144881768436</v>
      </c>
      <c r="AD38" s="153">
        <f t="shared" si="11"/>
        <v>110880</v>
      </c>
      <c r="AE38" s="150"/>
      <c r="AF38" s="150">
        <v>0</v>
      </c>
      <c r="AG38" s="150">
        <v>0</v>
      </c>
      <c r="AH38" s="150">
        <f t="shared" si="12"/>
        <v>9058895.6616210938</v>
      </c>
      <c r="AI38" s="150">
        <f t="shared" si="13"/>
        <v>9058895.6616210938</v>
      </c>
      <c r="AJ38" s="150">
        <f t="shared" si="14"/>
        <v>4935376.4109517243</v>
      </c>
      <c r="AK38" s="85">
        <f t="shared" si="15"/>
        <v>53681.484914291563</v>
      </c>
      <c r="AL38" s="85">
        <f t="shared" si="16"/>
        <v>136887.7865314435</v>
      </c>
      <c r="AM38" s="85">
        <f t="shared" si="17"/>
        <v>238088.12189186594</v>
      </c>
      <c r="AN38" s="85">
        <f t="shared" si="7"/>
        <v>122751.66217068005</v>
      </c>
      <c r="AO38" s="85">
        <f t="shared" si="18"/>
        <v>26840.742457145781</v>
      </c>
      <c r="AP38" s="85">
        <f t="shared" si="30"/>
        <v>46500.558215233643</v>
      </c>
      <c r="AQ38" s="84">
        <f t="shared" si="19"/>
        <v>624750.35618066043</v>
      </c>
      <c r="AR38" s="85">
        <f t="shared" si="20"/>
        <v>13420.371228572891</v>
      </c>
      <c r="AS38" s="84">
        <f t="shared" si="32"/>
        <v>51061.533333333333</v>
      </c>
      <c r="AT38" s="85">
        <f t="shared" si="21"/>
        <v>58355.396495934488</v>
      </c>
      <c r="AU38" s="84">
        <f t="shared" si="22"/>
        <v>5682964.0681902254</v>
      </c>
      <c r="AV38" s="84">
        <f t="shared" si="8"/>
        <v>3375931.5934308683</v>
      </c>
      <c r="AW38" s="453"/>
      <c r="AX38" s="93">
        <f t="shared" si="4"/>
        <v>37469</v>
      </c>
      <c r="BA38" s="315"/>
      <c r="BB38" s="134">
        <f t="shared" si="23"/>
        <v>81.699996948242188</v>
      </c>
      <c r="BC38" s="134">
        <f>'Curve Analysis - Base Case'!D30</f>
        <v>46.658229913813045</v>
      </c>
      <c r="BD38" s="131">
        <f t="shared" si="24"/>
        <v>7.1311312147306002E-2</v>
      </c>
      <c r="BE38" s="131">
        <f t="shared" si="25"/>
        <v>7.1311312147306002E-2</v>
      </c>
      <c r="BF38" s="365">
        <f>PJM_01212000!X38</f>
        <v>0.27224999999999999</v>
      </c>
      <c r="BG38" s="85">
        <f t="shared" si="26"/>
        <v>895</v>
      </c>
      <c r="BH38" s="84">
        <f t="shared" si="27"/>
        <v>110880</v>
      </c>
      <c r="BJ38" s="537">
        <f>_xll.EURO(BB38,BC38,BD38,BE38,BF38,BG38,1,0)*BH38</f>
        <v>3368950.074910637</v>
      </c>
      <c r="BK38" s="84">
        <f t="shared" si="28"/>
        <v>3453703.6554851383</v>
      </c>
      <c r="BM38" s="84">
        <f t="shared" si="29"/>
        <v>-84753.580574501306</v>
      </c>
    </row>
    <row r="39" spans="1:65">
      <c r="A39" s="78">
        <f t="shared" si="1"/>
        <v>33</v>
      </c>
      <c r="C39" s="78">
        <v>30</v>
      </c>
      <c r="D39" s="78" t="s">
        <v>69</v>
      </c>
      <c r="E39" s="113">
        <f t="shared" si="2"/>
        <v>37500</v>
      </c>
      <c r="F39" s="85">
        <v>21</v>
      </c>
      <c r="G39" s="84">
        <f t="shared" si="33"/>
        <v>9</v>
      </c>
      <c r="H39" s="84"/>
      <c r="I39" s="84"/>
      <c r="J39" s="78">
        <f t="shared" si="3"/>
        <v>30</v>
      </c>
      <c r="K39" s="149">
        <v>37500</v>
      </c>
      <c r="L39" s="508">
        <v>7.1419211941457006E-2</v>
      </c>
      <c r="M39" s="509">
        <v>6.6049913761969004E-2</v>
      </c>
      <c r="N39" s="132">
        <f t="shared" si="5"/>
        <v>0.83236915937661771</v>
      </c>
      <c r="O39" s="133">
        <f>VLOOKUP(K39,Inflation!$B$8:$C$266,2)</f>
        <v>1.0760159769572739</v>
      </c>
      <c r="P39" s="132"/>
      <c r="Q39" s="134">
        <f>VLOOKUP(K39,'Fuel Curve'!$B$11:$F$268,5)</f>
        <v>4.7272413793103452</v>
      </c>
      <c r="R39" s="238">
        <f>VLOOKUP(K39,'Fuel Curve Simulation'!$B$12:$J$258,9)</f>
        <v>4.7272413793103452</v>
      </c>
      <c r="S39" s="134">
        <f t="shared" si="6"/>
        <v>45.282245172413795</v>
      </c>
      <c r="T39" s="136"/>
      <c r="V39" s="135">
        <f>VLOOKUP(K39,PJM_01212000!$A$7:$C$259,3)</f>
        <v>32.824998474121095</v>
      </c>
      <c r="W39" s="486"/>
      <c r="X39" s="118">
        <f>'PJM Curve Simulation'!J39</f>
        <v>32.824998474121095</v>
      </c>
      <c r="Y39" s="512"/>
      <c r="Z39" s="137"/>
      <c r="AA39" s="78">
        <f t="shared" si="9"/>
        <v>315</v>
      </c>
      <c r="AB39" s="85">
        <f t="shared" si="10"/>
        <v>105840</v>
      </c>
      <c r="AC39" s="85">
        <f>VLOOKUP(K39,'Company Volumes'!$B$20:$C$259,2)</f>
        <v>21226.839951289778</v>
      </c>
      <c r="AD39" s="153">
        <f t="shared" si="11"/>
        <v>0</v>
      </c>
      <c r="AE39" s="150"/>
      <c r="AF39" s="150">
        <v>0</v>
      </c>
      <c r="AG39" s="150">
        <v>0</v>
      </c>
      <c r="AH39" s="150">
        <f t="shared" si="12"/>
        <v>0</v>
      </c>
      <c r="AI39" s="150">
        <f t="shared" si="13"/>
        <v>0</v>
      </c>
      <c r="AJ39" s="150">
        <f t="shared" si="14"/>
        <v>0</v>
      </c>
      <c r="AK39" s="85">
        <f t="shared" si="15"/>
        <v>53800.798847863691</v>
      </c>
      <c r="AL39" s="85">
        <f t="shared" si="16"/>
        <v>137192.03706205243</v>
      </c>
      <c r="AM39" s="85">
        <f t="shared" si="17"/>
        <v>0</v>
      </c>
      <c r="AN39" s="85">
        <f t="shared" si="7"/>
        <v>123024.4933654483</v>
      </c>
      <c r="AO39" s="85">
        <f t="shared" si="18"/>
        <v>26900.399423931845</v>
      </c>
      <c r="AP39" s="85">
        <f t="shared" si="30"/>
        <v>46500.558215233643</v>
      </c>
      <c r="AQ39" s="84">
        <f t="shared" si="19"/>
        <v>387418.28691452986</v>
      </c>
      <c r="AR39" s="85">
        <f t="shared" si="20"/>
        <v>13450.199711965923</v>
      </c>
      <c r="AS39" s="84">
        <f t="shared" si="32"/>
        <v>51061.533333333333</v>
      </c>
      <c r="AT39" s="85">
        <f t="shared" si="21"/>
        <v>0</v>
      </c>
      <c r="AU39" s="84">
        <f t="shared" si="22"/>
        <v>451930.01995982917</v>
      </c>
      <c r="AV39" s="84">
        <f t="shared" si="8"/>
        <v>-451930.01995982917</v>
      </c>
      <c r="AW39" s="453"/>
      <c r="AX39" s="93">
        <f t="shared" si="4"/>
        <v>37500</v>
      </c>
      <c r="BA39" s="315"/>
      <c r="BB39" s="134">
        <f t="shared" si="23"/>
        <v>32.824998474121095</v>
      </c>
      <c r="BC39" s="134">
        <f>'Curve Analysis - Base Case'!D31</f>
        <v>47.43427712632834</v>
      </c>
      <c r="BD39" s="131">
        <f t="shared" si="24"/>
        <v>7.1419211941457006E-2</v>
      </c>
      <c r="BE39" s="131">
        <f t="shared" si="25"/>
        <v>7.1419211941457006E-2</v>
      </c>
      <c r="BF39" s="365">
        <f>PJM_01212000!X39</f>
        <v>0.17499999999999999</v>
      </c>
      <c r="BG39" s="85">
        <f t="shared" si="26"/>
        <v>926</v>
      </c>
      <c r="BH39" s="84">
        <f t="shared" si="27"/>
        <v>0</v>
      </c>
      <c r="BJ39" s="537">
        <f>_xll.EURO(BB39,BC39,BD39,BE39,BF39,BG39,1,0)*BH39</f>
        <v>0</v>
      </c>
      <c r="BK39" s="84">
        <f t="shared" si="28"/>
        <v>0</v>
      </c>
      <c r="BM39" s="84">
        <f t="shared" si="29"/>
        <v>0</v>
      </c>
    </row>
    <row r="40" spans="1:65">
      <c r="A40" s="78">
        <f t="shared" si="1"/>
        <v>34</v>
      </c>
      <c r="C40" s="78">
        <v>31</v>
      </c>
      <c r="D40" s="78" t="s">
        <v>70</v>
      </c>
      <c r="E40" s="113">
        <f t="shared" si="2"/>
        <v>37530</v>
      </c>
      <c r="F40" s="85">
        <v>23</v>
      </c>
      <c r="G40" s="84">
        <f t="shared" si="33"/>
        <v>8</v>
      </c>
      <c r="H40" s="84"/>
      <c r="I40" s="84"/>
      <c r="J40" s="78">
        <f t="shared" si="3"/>
        <v>31</v>
      </c>
      <c r="K40" s="149">
        <v>37530</v>
      </c>
      <c r="L40" s="508">
        <v>7.1515306365121017E-2</v>
      </c>
      <c r="M40" s="509">
        <v>6.6081241036285029E-2</v>
      </c>
      <c r="N40" s="132">
        <f t="shared" si="5"/>
        <v>0.82737835456571951</v>
      </c>
      <c r="O40" s="133">
        <f>VLOOKUP(K40,Inflation!$B$8:$C$266,2)</f>
        <v>1.0784075594368234</v>
      </c>
      <c r="P40" s="132"/>
      <c r="Q40" s="134">
        <f>VLOOKUP(K40,'Fuel Curve'!$B$11:$F$268,5)</f>
        <v>4.8039655172413802</v>
      </c>
      <c r="R40" s="238">
        <f>VLOOKUP(K40,'Fuel Curve Simulation'!$B$12:$J$258,9)</f>
        <v>4.8039655172413802</v>
      </c>
      <c r="S40" s="134">
        <f t="shared" si="6"/>
        <v>46.017185689655186</v>
      </c>
      <c r="T40" s="136"/>
      <c r="V40" s="135">
        <f>VLOOKUP(K40,PJM_01212000!$A$7:$C$259,3)</f>
        <v>26.475000381469727</v>
      </c>
      <c r="W40" s="486"/>
      <c r="X40" s="118">
        <f>'PJM Curve Simulation'!J40</f>
        <v>26.475000381469727</v>
      </c>
      <c r="Y40" s="512"/>
      <c r="Z40" s="137"/>
      <c r="AA40" s="78">
        <f t="shared" si="9"/>
        <v>315</v>
      </c>
      <c r="AB40" s="85">
        <f t="shared" si="10"/>
        <v>115920</v>
      </c>
      <c r="AC40" s="85">
        <f>VLOOKUP(K40,'Company Volumes'!$B$20:$C$259,2)</f>
        <v>5314.8629059617779</v>
      </c>
      <c r="AD40" s="153">
        <f t="shared" si="11"/>
        <v>0</v>
      </c>
      <c r="AE40" s="150"/>
      <c r="AF40" s="150">
        <v>0</v>
      </c>
      <c r="AG40" s="150">
        <v>0</v>
      </c>
      <c r="AH40" s="150">
        <f t="shared" si="12"/>
        <v>0</v>
      </c>
      <c r="AI40" s="150">
        <f t="shared" si="13"/>
        <v>0</v>
      </c>
      <c r="AJ40" s="150">
        <f t="shared" si="14"/>
        <v>0</v>
      </c>
      <c r="AK40" s="85">
        <f t="shared" si="15"/>
        <v>53920.377971841168</v>
      </c>
      <c r="AL40" s="85">
        <f t="shared" si="16"/>
        <v>137496.96382819497</v>
      </c>
      <c r="AM40" s="85">
        <f t="shared" si="17"/>
        <v>0</v>
      </c>
      <c r="AN40" s="85">
        <f t="shared" si="7"/>
        <v>123297.93096227682</v>
      </c>
      <c r="AO40" s="85">
        <f t="shared" si="18"/>
        <v>26960.188985920584</v>
      </c>
      <c r="AP40" s="85">
        <f t="shared" si="30"/>
        <v>46500.558215233643</v>
      </c>
      <c r="AQ40" s="84">
        <f t="shared" si="19"/>
        <v>388176.01996346714</v>
      </c>
      <c r="AR40" s="85">
        <f t="shared" si="20"/>
        <v>13480.094492960292</v>
      </c>
      <c r="AS40" s="84">
        <f t="shared" si="32"/>
        <v>51061.533333333333</v>
      </c>
      <c r="AT40" s="85">
        <f t="shared" si="21"/>
        <v>0</v>
      </c>
      <c r="AU40" s="84">
        <f t="shared" si="22"/>
        <v>452717.64778976073</v>
      </c>
      <c r="AV40" s="84">
        <f t="shared" si="8"/>
        <v>-452717.64778976073</v>
      </c>
      <c r="AW40" s="453"/>
      <c r="AX40" s="93">
        <f t="shared" si="4"/>
        <v>37530</v>
      </c>
      <c r="BA40" s="315"/>
      <c r="BB40" s="134">
        <f t="shared" si="23"/>
        <v>26.475000381469727</v>
      </c>
      <c r="BC40" s="134">
        <f>'Curve Analysis - Base Case'!D32</f>
        <v>48.174000808528831</v>
      </c>
      <c r="BD40" s="131">
        <f t="shared" si="24"/>
        <v>7.1515306365121017E-2</v>
      </c>
      <c r="BE40" s="131">
        <f t="shared" si="25"/>
        <v>7.1515306365121017E-2</v>
      </c>
      <c r="BF40" s="365">
        <f>PJM_01212000!X40</f>
        <v>0.12375</v>
      </c>
      <c r="BG40" s="85">
        <f t="shared" si="26"/>
        <v>956</v>
      </c>
      <c r="BH40" s="84">
        <f t="shared" si="27"/>
        <v>0</v>
      </c>
      <c r="BJ40" s="537">
        <f>_xll.EURO(BB40,BC40,BD40,BE40,BF40,BG40,1,0)*BH40</f>
        <v>0</v>
      </c>
      <c r="BK40" s="84">
        <f t="shared" si="28"/>
        <v>0</v>
      </c>
      <c r="BM40" s="84">
        <f t="shared" si="29"/>
        <v>0</v>
      </c>
    </row>
    <row r="41" spans="1:65">
      <c r="A41" s="78">
        <f t="shared" si="1"/>
        <v>35</v>
      </c>
      <c r="C41" s="78">
        <v>30</v>
      </c>
      <c r="D41" s="78" t="s">
        <v>71</v>
      </c>
      <c r="E41" s="113">
        <f t="shared" si="2"/>
        <v>37561</v>
      </c>
      <c r="F41" s="85">
        <v>21</v>
      </c>
      <c r="G41" s="84">
        <f t="shared" si="33"/>
        <v>9</v>
      </c>
      <c r="H41" s="84"/>
      <c r="I41" s="84"/>
      <c r="J41" s="78">
        <f t="shared" si="3"/>
        <v>30</v>
      </c>
      <c r="K41" s="149">
        <v>37561</v>
      </c>
      <c r="L41" s="508">
        <v>7.1602640768726022E-2</v>
      </c>
      <c r="M41" s="509">
        <v>6.6113612560252027E-2</v>
      </c>
      <c r="N41" s="132">
        <f t="shared" si="5"/>
        <v>0.82226588634790743</v>
      </c>
      <c r="O41" s="133">
        <f>VLOOKUP(K41,Inflation!$B$8:$C$266,2)</f>
        <v>1.0808044575128688</v>
      </c>
      <c r="P41" s="132"/>
      <c r="Q41" s="134">
        <f>VLOOKUP(K41,'Fuel Curve'!$B$11:$F$268,5)</f>
        <v>4.8784482758620697</v>
      </c>
      <c r="R41" s="238">
        <f>VLOOKUP(K41,'Fuel Curve Simulation'!$B$12:$J$258,9)</f>
        <v>4.8784482758620697</v>
      </c>
      <c r="S41" s="134">
        <f t="shared" si="6"/>
        <v>46.73065603448277</v>
      </c>
      <c r="T41" s="136"/>
      <c r="V41" s="135">
        <f>VLOOKUP(K41,PJM_01212000!$A$7:$C$259,3)</f>
        <v>26.147499084472656</v>
      </c>
      <c r="W41" s="486"/>
      <c r="X41" s="118">
        <f>'PJM Curve Simulation'!J41</f>
        <v>26.147499084472656</v>
      </c>
      <c r="Y41" s="512"/>
      <c r="Z41" s="137"/>
      <c r="AA41" s="78">
        <f t="shared" si="9"/>
        <v>315</v>
      </c>
      <c r="AB41" s="85">
        <f t="shared" si="10"/>
        <v>105840</v>
      </c>
      <c r="AC41" s="85">
        <f>VLOOKUP(K41,'Company Volumes'!$B$20:$C$259,2)</f>
        <v>8487.9816993315544</v>
      </c>
      <c r="AD41" s="153">
        <f t="shared" si="11"/>
        <v>0</v>
      </c>
      <c r="AE41" s="150"/>
      <c r="AF41" s="150">
        <v>0</v>
      </c>
      <c r="AG41" s="150">
        <v>0</v>
      </c>
      <c r="AH41" s="150">
        <f t="shared" si="12"/>
        <v>0</v>
      </c>
      <c r="AI41" s="150">
        <f t="shared" si="13"/>
        <v>0</v>
      </c>
      <c r="AJ41" s="150">
        <f t="shared" si="14"/>
        <v>0</v>
      </c>
      <c r="AK41" s="85">
        <f t="shared" si="15"/>
        <v>54040.222875643442</v>
      </c>
      <c r="AL41" s="85">
        <f t="shared" si="16"/>
        <v>137802.56833289078</v>
      </c>
      <c r="AM41" s="85">
        <f t="shared" si="17"/>
        <v>0</v>
      </c>
      <c r="AN41" s="85">
        <f t="shared" si="7"/>
        <v>123571.97630897132</v>
      </c>
      <c r="AO41" s="85">
        <f t="shared" si="18"/>
        <v>27020.111437821721</v>
      </c>
      <c r="AP41" s="85">
        <f t="shared" si="30"/>
        <v>46500.558215233643</v>
      </c>
      <c r="AQ41" s="84">
        <f t="shared" si="19"/>
        <v>388935.43717056094</v>
      </c>
      <c r="AR41" s="85">
        <f t="shared" si="20"/>
        <v>13510.05571891086</v>
      </c>
      <c r="AS41" s="84">
        <f t="shared" si="32"/>
        <v>51061.533333333333</v>
      </c>
      <c r="AT41" s="85">
        <f t="shared" si="21"/>
        <v>0</v>
      </c>
      <c r="AU41" s="84">
        <f t="shared" si="22"/>
        <v>453507.02622280514</v>
      </c>
      <c r="AV41" s="84">
        <f t="shared" si="8"/>
        <v>-453507.02622280514</v>
      </c>
      <c r="AW41" s="453"/>
      <c r="AX41" s="93">
        <f t="shared" si="4"/>
        <v>37561</v>
      </c>
      <c r="BA41" s="315"/>
      <c r="BB41" s="134">
        <f t="shared" si="23"/>
        <v>26.147499084472656</v>
      </c>
      <c r="BC41" s="134">
        <f>'Curve Analysis - Base Case'!D33</f>
        <v>48.892264949508508</v>
      </c>
      <c r="BD41" s="131">
        <f t="shared" si="24"/>
        <v>7.1602640768726022E-2</v>
      </c>
      <c r="BE41" s="131">
        <f t="shared" si="25"/>
        <v>7.1602640768726022E-2</v>
      </c>
      <c r="BF41" s="365">
        <f>PJM_01212000!X41</f>
        <v>0.12375</v>
      </c>
      <c r="BG41" s="85">
        <f t="shared" si="26"/>
        <v>987</v>
      </c>
      <c r="BH41" s="84">
        <f t="shared" si="27"/>
        <v>0</v>
      </c>
      <c r="BJ41" s="537">
        <f>_xll.EURO(BB41,BC41,BD41,BE41,BF41,BG41,1,0)*BH41</f>
        <v>0</v>
      </c>
      <c r="BK41" s="84">
        <f t="shared" si="28"/>
        <v>0</v>
      </c>
      <c r="BM41" s="84">
        <f t="shared" si="29"/>
        <v>0</v>
      </c>
    </row>
    <row r="42" spans="1:65">
      <c r="A42" s="78">
        <f t="shared" si="1"/>
        <v>36</v>
      </c>
      <c r="C42" s="78">
        <v>31</v>
      </c>
      <c r="D42" s="78" t="s">
        <v>72</v>
      </c>
      <c r="E42" s="113">
        <f t="shared" si="2"/>
        <v>37591</v>
      </c>
      <c r="F42" s="85">
        <v>22</v>
      </c>
      <c r="G42" s="84">
        <f t="shared" si="33"/>
        <v>9</v>
      </c>
      <c r="H42" s="84">
        <f>SUM(F31:G42)</f>
        <v>365</v>
      </c>
      <c r="I42" s="84"/>
      <c r="J42" s="78">
        <f t="shared" si="3"/>
        <v>31</v>
      </c>
      <c r="K42" s="149">
        <v>37591</v>
      </c>
      <c r="L42" s="508">
        <v>7.1687157935905008E-2</v>
      </c>
      <c r="M42" s="509">
        <v>6.6144939848451018E-2</v>
      </c>
      <c r="N42" s="132">
        <f t="shared" si="5"/>
        <v>0.81733728641604919</v>
      </c>
      <c r="O42" s="133">
        <f>VLOOKUP(K42,Inflation!$B$8:$C$266,2)</f>
        <v>1.0832066829999998</v>
      </c>
      <c r="P42" s="132"/>
      <c r="Q42" s="134">
        <f>VLOOKUP(K42,'Fuel Curve'!$B$11:$F$268,5)</f>
        <v>4.9096551724137933</v>
      </c>
      <c r="R42" s="238">
        <f>VLOOKUP(K42,'Fuel Curve Simulation'!$B$12:$J$258,9)</f>
        <v>4.9096551724137933</v>
      </c>
      <c r="S42" s="134">
        <f t="shared" si="6"/>
        <v>47.029586896551727</v>
      </c>
      <c r="T42" s="136"/>
      <c r="V42" s="135">
        <f>VLOOKUP(K42,PJM_01212000!$A$7:$C$259,3)</f>
        <v>27.899999618530273</v>
      </c>
      <c r="W42" s="486"/>
      <c r="X42" s="118">
        <f>'PJM Curve Simulation'!J42</f>
        <v>27.899999618530273</v>
      </c>
      <c r="Y42" s="512"/>
      <c r="Z42" s="137"/>
      <c r="AA42" s="78">
        <f t="shared" si="9"/>
        <v>315</v>
      </c>
      <c r="AB42" s="85">
        <f t="shared" si="10"/>
        <v>110880</v>
      </c>
      <c r="AC42" s="85">
        <f>VLOOKUP(K42,'Company Volumes'!$B$20:$C$259,2)</f>
        <v>8487.9816993315544</v>
      </c>
      <c r="AD42" s="153">
        <f t="shared" si="11"/>
        <v>0</v>
      </c>
      <c r="AE42" s="150"/>
      <c r="AF42" s="150">
        <v>0</v>
      </c>
      <c r="AG42" s="150">
        <v>0</v>
      </c>
      <c r="AH42" s="150">
        <f t="shared" si="12"/>
        <v>0</v>
      </c>
      <c r="AI42" s="150">
        <f t="shared" si="13"/>
        <v>0</v>
      </c>
      <c r="AJ42" s="150">
        <f t="shared" si="14"/>
        <v>0</v>
      </c>
      <c r="AK42" s="85">
        <f t="shared" si="15"/>
        <v>54160.334149999988</v>
      </c>
      <c r="AL42" s="85">
        <f t="shared" si="16"/>
        <v>138108.85208249997</v>
      </c>
      <c r="AM42" s="85">
        <f t="shared" si="17"/>
        <v>0</v>
      </c>
      <c r="AN42" s="85">
        <f t="shared" si="7"/>
        <v>123846.63075633332</v>
      </c>
      <c r="AO42" s="85">
        <f t="shared" si="18"/>
        <v>27080.167074999994</v>
      </c>
      <c r="AP42" s="85">
        <f t="shared" si="30"/>
        <v>46500.558215233643</v>
      </c>
      <c r="AQ42" s="84">
        <f t="shared" si="19"/>
        <v>389696.54227906687</v>
      </c>
      <c r="AR42" s="85">
        <f t="shared" si="20"/>
        <v>13540.083537499997</v>
      </c>
      <c r="AS42" s="84">
        <f t="shared" si="32"/>
        <v>51061.533333333333</v>
      </c>
      <c r="AT42" s="85">
        <f t="shared" si="21"/>
        <v>0</v>
      </c>
      <c r="AU42" s="84">
        <f t="shared" si="22"/>
        <v>454298.1591499002</v>
      </c>
      <c r="AV42" s="84">
        <f t="shared" si="8"/>
        <v>-454298.1591499002</v>
      </c>
      <c r="AW42" s="453"/>
      <c r="AX42" s="93">
        <f t="shared" si="4"/>
        <v>37591</v>
      </c>
      <c r="AY42" s="85">
        <f ca="1">'Debt Amortization'!J8</f>
        <v>2582516.2229067814</v>
      </c>
      <c r="AZ42" s="85">
        <f ca="1">AY42*N42</f>
        <v>2110786.8017560537</v>
      </c>
      <c r="BA42" s="315"/>
      <c r="BB42" s="134">
        <f t="shared" si="23"/>
        <v>27.899999618530273</v>
      </c>
      <c r="BC42" s="134">
        <f>'Curve Analysis - Base Case'!D34</f>
        <v>49.196000262551728</v>
      </c>
      <c r="BD42" s="131">
        <f t="shared" si="24"/>
        <v>7.1687157935905008E-2</v>
      </c>
      <c r="BE42" s="131">
        <f t="shared" si="25"/>
        <v>7.1687157935905008E-2</v>
      </c>
      <c r="BF42" s="365">
        <f>PJM_01212000!X42</f>
        <v>0.12375</v>
      </c>
      <c r="BG42" s="85">
        <f t="shared" si="26"/>
        <v>1017</v>
      </c>
      <c r="BH42" s="84">
        <f t="shared" si="27"/>
        <v>0</v>
      </c>
      <c r="BJ42" s="537">
        <f>_xll.EURO(BB42,BC42,BD42,BE42,BF42,BG42,1,0)*BH42</f>
        <v>0</v>
      </c>
      <c r="BK42" s="84">
        <f t="shared" si="28"/>
        <v>0</v>
      </c>
      <c r="BM42" s="84">
        <f t="shared" si="29"/>
        <v>0</v>
      </c>
    </row>
    <row r="43" spans="1:65">
      <c r="A43" s="78">
        <f t="shared" si="1"/>
        <v>37</v>
      </c>
      <c r="C43" s="78">
        <v>31</v>
      </c>
      <c r="D43" s="78" t="s">
        <v>62</v>
      </c>
      <c r="E43" s="113">
        <f t="shared" si="2"/>
        <v>37622</v>
      </c>
      <c r="F43" s="85">
        <v>23</v>
      </c>
      <c r="G43" s="84">
        <f>C43-F43</f>
        <v>8</v>
      </c>
      <c r="H43" s="84"/>
      <c r="I43" s="84"/>
      <c r="J43" s="78">
        <f t="shared" si="3"/>
        <v>31</v>
      </c>
      <c r="K43" s="149">
        <v>37622</v>
      </c>
      <c r="L43" s="508">
        <v>7.1774577695173022E-2</v>
      </c>
      <c r="M43" s="509">
        <v>6.6177311386763013E-2</v>
      </c>
      <c r="N43" s="132">
        <f t="shared" si="5"/>
        <v>0.81226380619908445</v>
      </c>
      <c r="O43" s="133">
        <f>VLOOKUP(K43,Inflation!$B$8:$C$266,2)</f>
        <v>1.0856142477390656</v>
      </c>
      <c r="P43" s="132"/>
      <c r="Q43" s="134">
        <f>VLOOKUP(K43,'Fuel Curve'!$B$11:$F$268,5)</f>
        <v>4.8415517241379309</v>
      </c>
      <c r="R43" s="238">
        <f>VLOOKUP(K43,'Fuel Curve Simulation'!$B$12:$J$258,9)</f>
        <v>4.8415517241379309</v>
      </c>
      <c r="S43" s="134">
        <f t="shared" si="6"/>
        <v>46.377223965517238</v>
      </c>
      <c r="T43" s="136"/>
      <c r="V43" s="135">
        <f>VLOOKUP(K43,PJM_01212000!$A$7:$C$259,3)</f>
        <v>36.324998474121088</v>
      </c>
      <c r="W43" s="486"/>
      <c r="X43" s="118">
        <f>'PJM Curve Simulation'!J43</f>
        <v>36.324998474121088</v>
      </c>
      <c r="Y43" s="512"/>
      <c r="Z43" s="137"/>
      <c r="AA43" s="78">
        <f t="shared" si="9"/>
        <v>315</v>
      </c>
      <c r="AB43" s="85">
        <f t="shared" si="10"/>
        <v>115920</v>
      </c>
      <c r="AC43" s="85">
        <f>VLOOKUP(K43,'Company Volumes'!$B$20:$C$259,2)</f>
        <v>19619.599918404885</v>
      </c>
      <c r="AD43" s="153">
        <f t="shared" si="11"/>
        <v>0</v>
      </c>
      <c r="AE43" s="150"/>
      <c r="AF43" s="150">
        <v>0</v>
      </c>
      <c r="AG43" s="150">
        <v>0</v>
      </c>
      <c r="AH43" s="150">
        <f t="shared" si="12"/>
        <v>0</v>
      </c>
      <c r="AI43" s="150">
        <f t="shared" si="13"/>
        <v>0</v>
      </c>
      <c r="AJ43" s="150">
        <f t="shared" si="14"/>
        <v>0</v>
      </c>
      <c r="AK43" s="85">
        <f t="shared" si="15"/>
        <v>54280.712386953273</v>
      </c>
      <c r="AL43" s="85">
        <f t="shared" si="16"/>
        <v>138415.81658673086</v>
      </c>
      <c r="AM43" s="85">
        <f t="shared" si="17"/>
        <v>0</v>
      </c>
      <c r="AN43" s="85">
        <f t="shared" si="7"/>
        <v>124121.8956581665</v>
      </c>
      <c r="AO43" s="85">
        <f t="shared" si="18"/>
        <v>27140.356193476637</v>
      </c>
      <c r="AP43" s="85">
        <f t="shared" si="30"/>
        <v>46500.558215233643</v>
      </c>
      <c r="AQ43" s="84">
        <f t="shared" si="19"/>
        <v>390459.33904056088</v>
      </c>
      <c r="AR43" s="85">
        <f t="shared" si="20"/>
        <v>13570.178096738318</v>
      </c>
      <c r="AS43" s="85">
        <f>((AS4*AS5)/12)+((AS3*AS6)/12)</f>
        <v>30387.755000000001</v>
      </c>
      <c r="AT43" s="85">
        <f t="shared" si="21"/>
        <v>0</v>
      </c>
      <c r="AU43" s="84">
        <f t="shared" si="22"/>
        <v>434417.27213729918</v>
      </c>
      <c r="AV43" s="84">
        <f t="shared" si="8"/>
        <v>-434417.27213729918</v>
      </c>
      <c r="AW43" s="453"/>
      <c r="AX43" s="93">
        <f t="shared" si="4"/>
        <v>37622</v>
      </c>
      <c r="BA43" s="315"/>
      <c r="BB43" s="134">
        <f t="shared" si="23"/>
        <v>36.324998474121088</v>
      </c>
      <c r="BC43" s="134">
        <f>'Curve Analysis - Base Case'!D35</f>
        <v>48.548452460995371</v>
      </c>
      <c r="BD43" s="131">
        <f t="shared" si="24"/>
        <v>7.1774577695173022E-2</v>
      </c>
      <c r="BE43" s="131">
        <f t="shared" si="25"/>
        <v>7.1774577695173022E-2</v>
      </c>
      <c r="BF43" s="365">
        <f>PJM_01212000!X43</f>
        <v>0.18611999999999998</v>
      </c>
      <c r="BG43" s="85">
        <f t="shared" si="26"/>
        <v>1048</v>
      </c>
      <c r="BH43" s="84">
        <f t="shared" si="27"/>
        <v>0</v>
      </c>
      <c r="BJ43" s="537">
        <f>_xll.EURO(BB43,BC43,BD43,BE43,BF43,BG43,1,0)*BH43</f>
        <v>0</v>
      </c>
      <c r="BK43" s="84">
        <f t="shared" si="28"/>
        <v>0</v>
      </c>
      <c r="BM43" s="84">
        <f t="shared" si="29"/>
        <v>0</v>
      </c>
    </row>
    <row r="44" spans="1:65">
      <c r="A44" s="78">
        <f t="shared" si="1"/>
        <v>38</v>
      </c>
      <c r="C44" s="78">
        <v>28</v>
      </c>
      <c r="D44" s="78" t="s">
        <v>63</v>
      </c>
      <c r="E44" s="113">
        <f t="shared" si="2"/>
        <v>37653</v>
      </c>
      <c r="F44" s="85">
        <v>20</v>
      </c>
      <c r="G44" s="84">
        <f t="shared" ref="G44:G54" si="34">C44-F44</f>
        <v>8</v>
      </c>
      <c r="H44" s="84"/>
      <c r="I44" s="84"/>
      <c r="J44" s="78">
        <f t="shared" si="3"/>
        <v>28</v>
      </c>
      <c r="K44" s="149">
        <v>37653</v>
      </c>
      <c r="L44" s="508">
        <v>7.1862101097110012E-2</v>
      </c>
      <c r="M44" s="509">
        <v>6.6209682932364025E-2</v>
      </c>
      <c r="N44" s="132">
        <f t="shared" si="5"/>
        <v>0.80721001874908904</v>
      </c>
      <c r="O44" s="133">
        <f>VLOOKUP(K44,Inflation!$B$8:$C$266,2)</f>
        <v>1.0880271635972334</v>
      </c>
      <c r="P44" s="132"/>
      <c r="Q44" s="134">
        <f>VLOOKUP(K44,'Fuel Curve'!$B$11:$F$268,5)</f>
        <v>4.7315517241379323</v>
      </c>
      <c r="R44" s="238">
        <f>VLOOKUP(K44,'Fuel Curve Simulation'!$B$12:$J$258,9)</f>
        <v>4.7315517241379323</v>
      </c>
      <c r="S44" s="134">
        <f t="shared" si="6"/>
        <v>45.323533965517257</v>
      </c>
      <c r="T44" s="136"/>
      <c r="V44" s="135">
        <f>VLOOKUP(K44,PJM_01212000!$A$7:$C$259,3)</f>
        <v>36.324998474121088</v>
      </c>
      <c r="W44" s="486"/>
      <c r="X44" s="118">
        <f>'PJM Curve Simulation'!J44</f>
        <v>36.324998474121088</v>
      </c>
      <c r="Y44" s="512"/>
      <c r="Z44" s="137"/>
      <c r="AA44" s="78">
        <f t="shared" si="9"/>
        <v>315</v>
      </c>
      <c r="AB44" s="85">
        <f t="shared" si="10"/>
        <v>100800</v>
      </c>
      <c r="AC44" s="85">
        <f>VLOOKUP(K44,'Company Volumes'!$B$20:$C$259,2)</f>
        <v>870.00185066666643</v>
      </c>
      <c r="AD44" s="153">
        <f t="shared" si="11"/>
        <v>0</v>
      </c>
      <c r="AE44" s="150"/>
      <c r="AF44" s="150">
        <v>0</v>
      </c>
      <c r="AG44" s="150">
        <v>0</v>
      </c>
      <c r="AH44" s="150">
        <f t="shared" si="12"/>
        <v>0</v>
      </c>
      <c r="AI44" s="150">
        <f t="shared" si="13"/>
        <v>0</v>
      </c>
      <c r="AJ44" s="150">
        <f t="shared" si="14"/>
        <v>0</v>
      </c>
      <c r="AK44" s="85">
        <f t="shared" si="15"/>
        <v>54401.358179861672</v>
      </c>
      <c r="AL44" s="85">
        <f t="shared" si="16"/>
        <v>138723.46335864725</v>
      </c>
      <c r="AM44" s="85">
        <f t="shared" si="17"/>
        <v>0</v>
      </c>
      <c r="AN44" s="85">
        <f t="shared" si="7"/>
        <v>124397.77237128369</v>
      </c>
      <c r="AO44" s="85">
        <f t="shared" si="18"/>
        <v>27200.679089930836</v>
      </c>
      <c r="AP44" s="85">
        <f t="shared" si="30"/>
        <v>46500.558215233643</v>
      </c>
      <c r="AQ44" s="84">
        <f t="shared" si="19"/>
        <v>391223.83121495706</v>
      </c>
      <c r="AR44" s="85">
        <f t="shared" si="20"/>
        <v>13600.339544965418</v>
      </c>
      <c r="AS44" s="84">
        <f>AS43</f>
        <v>30387.755000000001</v>
      </c>
      <c r="AT44" s="85">
        <f t="shared" si="21"/>
        <v>0</v>
      </c>
      <c r="AU44" s="84">
        <f t="shared" si="22"/>
        <v>435211.92575992248</v>
      </c>
      <c r="AV44" s="84">
        <f t="shared" si="8"/>
        <v>-435211.92575992248</v>
      </c>
      <c r="AW44" s="453"/>
      <c r="AX44" s="93">
        <f t="shared" si="4"/>
        <v>37653</v>
      </c>
      <c r="BA44" s="315"/>
      <c r="BB44" s="134">
        <f t="shared" si="23"/>
        <v>36.324998474121088</v>
      </c>
      <c r="BC44" s="134">
        <f>'Curve Analysis - Base Case'!D36</f>
        <v>47.499588292711721</v>
      </c>
      <c r="BD44" s="131">
        <f t="shared" si="24"/>
        <v>7.1862101097110012E-2</v>
      </c>
      <c r="BE44" s="131">
        <f t="shared" si="25"/>
        <v>7.1862101097110012E-2</v>
      </c>
      <c r="BF44" s="365">
        <f>PJM_01212000!X44</f>
        <v>0.18611999999999998</v>
      </c>
      <c r="BG44" s="85">
        <f t="shared" si="26"/>
        <v>1079</v>
      </c>
      <c r="BH44" s="84">
        <f t="shared" si="27"/>
        <v>0</v>
      </c>
      <c r="BJ44" s="537">
        <f>_xll.EURO(BB44,BC44,BD44,BE44,BF44,BG44,1,0)*BH44</f>
        <v>0</v>
      </c>
      <c r="BK44" s="84">
        <f t="shared" si="28"/>
        <v>0</v>
      </c>
      <c r="BM44" s="84">
        <f t="shared" si="29"/>
        <v>0</v>
      </c>
    </row>
    <row r="45" spans="1:65">
      <c r="A45" s="78">
        <f t="shared" si="1"/>
        <v>39</v>
      </c>
      <c r="C45" s="78">
        <v>31</v>
      </c>
      <c r="D45" s="78" t="s">
        <v>64</v>
      </c>
      <c r="E45" s="113">
        <f t="shared" si="2"/>
        <v>37681</v>
      </c>
      <c r="F45" s="85">
        <v>21</v>
      </c>
      <c r="G45" s="84">
        <f t="shared" si="34"/>
        <v>10</v>
      </c>
      <c r="H45" s="84"/>
      <c r="I45" s="84"/>
      <c r="J45" s="78">
        <f t="shared" si="3"/>
        <v>31</v>
      </c>
      <c r="K45" s="149">
        <v>37681</v>
      </c>
      <c r="L45" s="508">
        <v>7.1941154494584006E-2</v>
      </c>
      <c r="M45" s="509">
        <v>6.6238921754012012E-2</v>
      </c>
      <c r="N45" s="132">
        <f t="shared" si="5"/>
        <v>0.80266245276593362</v>
      </c>
      <c r="O45" s="133">
        <f>VLOOKUP(K45,Inflation!$B$8:$C$266,2)</f>
        <v>1.0904454424680465</v>
      </c>
      <c r="P45" s="132"/>
      <c r="Q45" s="134">
        <f>VLOOKUP(K45,'Fuel Curve'!$B$11:$F$268,5)</f>
        <v>4.6222413793103456</v>
      </c>
      <c r="R45" s="238">
        <f>VLOOKUP(K45,'Fuel Curve Simulation'!$B$12:$J$258,9)</f>
        <v>4.6222413793103456</v>
      </c>
      <c r="S45" s="134">
        <f t="shared" si="6"/>
        <v>44.276450172413803</v>
      </c>
      <c r="T45" s="136"/>
      <c r="V45" s="135">
        <f>VLOOKUP(K45,PJM_01212000!$A$7:$C$259,3)</f>
        <v>26.200000762939453</v>
      </c>
      <c r="W45" s="486"/>
      <c r="X45" s="118">
        <f>'PJM Curve Simulation'!J45</f>
        <v>26.200000762939453</v>
      </c>
      <c r="Y45" s="512"/>
      <c r="Z45" s="137"/>
      <c r="AA45" s="78">
        <f t="shared" si="9"/>
        <v>315</v>
      </c>
      <c r="AB45" s="85">
        <f t="shared" si="10"/>
        <v>105840</v>
      </c>
      <c r="AC45" s="85">
        <f>VLOOKUP(K45,'Company Volumes'!$B$20:$C$259,2)</f>
        <v>870.00185066666643</v>
      </c>
      <c r="AD45" s="153">
        <f t="shared" si="11"/>
        <v>0</v>
      </c>
      <c r="AE45" s="150"/>
      <c r="AF45" s="150">
        <v>0</v>
      </c>
      <c r="AG45" s="150">
        <v>0</v>
      </c>
      <c r="AH45" s="150">
        <f t="shared" si="12"/>
        <v>0</v>
      </c>
      <c r="AI45" s="150">
        <f t="shared" si="13"/>
        <v>0</v>
      </c>
      <c r="AJ45" s="150">
        <f t="shared" si="14"/>
        <v>0</v>
      </c>
      <c r="AK45" s="85">
        <f t="shared" si="15"/>
        <v>54522.272123402327</v>
      </c>
      <c r="AL45" s="85">
        <f t="shared" si="16"/>
        <v>139031.79391467592</v>
      </c>
      <c r="AM45" s="85">
        <f t="shared" si="17"/>
        <v>0</v>
      </c>
      <c r="AN45" s="85">
        <f t="shared" si="7"/>
        <v>124674.26225551331</v>
      </c>
      <c r="AO45" s="85">
        <f t="shared" si="18"/>
        <v>27261.136061701163</v>
      </c>
      <c r="AP45" s="85">
        <f t="shared" si="30"/>
        <v>46500.558215233643</v>
      </c>
      <c r="AQ45" s="84">
        <f t="shared" si="19"/>
        <v>391990.02257052634</v>
      </c>
      <c r="AR45" s="85">
        <f t="shared" si="20"/>
        <v>13630.568030850582</v>
      </c>
      <c r="AS45" s="84">
        <f t="shared" ref="AS45:AS108" si="35">AS44</f>
        <v>30387.755000000001</v>
      </c>
      <c r="AT45" s="85">
        <f t="shared" si="21"/>
        <v>0</v>
      </c>
      <c r="AU45" s="84">
        <f t="shared" si="22"/>
        <v>436008.34560137696</v>
      </c>
      <c r="AV45" s="84">
        <f t="shared" si="8"/>
        <v>-436008.34560137696</v>
      </c>
      <c r="AW45" s="453"/>
      <c r="AX45" s="93">
        <f t="shared" si="4"/>
        <v>37681</v>
      </c>
      <c r="BA45" s="315"/>
      <c r="BB45" s="134">
        <f t="shared" si="23"/>
        <v>26.200000762939453</v>
      </c>
      <c r="BC45" s="134">
        <f>'Curve Analysis - Base Case'!D37</f>
        <v>46.457341057349893</v>
      </c>
      <c r="BD45" s="131">
        <f t="shared" si="24"/>
        <v>7.1941154494584006E-2</v>
      </c>
      <c r="BE45" s="131">
        <f t="shared" si="25"/>
        <v>7.1941154494584006E-2</v>
      </c>
      <c r="BF45" s="365">
        <f>PJM_01212000!X45</f>
        <v>0.15509999999999999</v>
      </c>
      <c r="BG45" s="85">
        <f t="shared" si="26"/>
        <v>1107</v>
      </c>
      <c r="BH45" s="84">
        <f t="shared" si="27"/>
        <v>0</v>
      </c>
      <c r="BJ45" s="537">
        <f>_xll.EURO(BB45,BC45,BD45,BE45,BF45,BG45,1,0)*BH45</f>
        <v>0</v>
      </c>
      <c r="BK45" s="84">
        <f t="shared" si="28"/>
        <v>0</v>
      </c>
      <c r="BM45" s="84">
        <f t="shared" si="29"/>
        <v>0</v>
      </c>
    </row>
    <row r="46" spans="1:65">
      <c r="A46" s="78">
        <f t="shared" si="1"/>
        <v>40</v>
      </c>
      <c r="C46" s="78">
        <v>30</v>
      </c>
      <c r="D46" s="78" t="s">
        <v>65</v>
      </c>
      <c r="E46" s="113">
        <f t="shared" si="2"/>
        <v>37712</v>
      </c>
      <c r="F46" s="85">
        <v>22</v>
      </c>
      <c r="G46" s="84">
        <f t="shared" si="34"/>
        <v>8</v>
      </c>
      <c r="H46" s="84"/>
      <c r="I46" s="84"/>
      <c r="J46" s="78">
        <f t="shared" si="3"/>
        <v>30</v>
      </c>
      <c r="K46" s="149">
        <v>37712</v>
      </c>
      <c r="L46" s="508">
        <v>7.2017864961397005E-2</v>
      </c>
      <c r="M46" s="509">
        <v>6.6271293313487994E-2</v>
      </c>
      <c r="N46" s="132">
        <f t="shared" si="5"/>
        <v>0.79767324817740448</v>
      </c>
      <c r="O46" s="133">
        <f>VLOOKUP(K46,Inflation!$B$8:$C$266,2)</f>
        <v>1.0928690962714833</v>
      </c>
      <c r="P46" s="132"/>
      <c r="Q46" s="134">
        <f>VLOOKUP(K46,'Fuel Curve'!$B$11:$F$268,5)</f>
        <v>4.5113793103448279</v>
      </c>
      <c r="R46" s="238">
        <f>VLOOKUP(K46,'Fuel Curve Simulation'!$B$12:$J$258,9)</f>
        <v>4.5113793103448279</v>
      </c>
      <c r="S46" s="134">
        <f t="shared" si="6"/>
        <v>43.214502413793106</v>
      </c>
      <c r="T46" s="136"/>
      <c r="V46" s="135">
        <f>VLOOKUP(K46,PJM_01212000!$A$7:$C$259,3)</f>
        <v>25.975000762939452</v>
      </c>
      <c r="W46" s="486"/>
      <c r="X46" s="118">
        <f>'PJM Curve Simulation'!J46</f>
        <v>25.975000762939452</v>
      </c>
      <c r="Y46" s="512"/>
      <c r="Z46" s="137"/>
      <c r="AA46" s="78">
        <f t="shared" si="9"/>
        <v>315</v>
      </c>
      <c r="AB46" s="85">
        <f t="shared" si="10"/>
        <v>110880</v>
      </c>
      <c r="AC46" s="85">
        <f>VLOOKUP(K46,'Company Volumes'!$B$20:$C$259,2)</f>
        <v>11199.258379655108</v>
      </c>
      <c r="AD46" s="153">
        <f t="shared" si="11"/>
        <v>0</v>
      </c>
      <c r="AE46" s="150"/>
      <c r="AF46" s="150">
        <v>0</v>
      </c>
      <c r="AG46" s="150">
        <v>0</v>
      </c>
      <c r="AH46" s="150">
        <f t="shared" si="12"/>
        <v>0</v>
      </c>
      <c r="AI46" s="150">
        <f t="shared" si="13"/>
        <v>0</v>
      </c>
      <c r="AJ46" s="150">
        <f t="shared" si="14"/>
        <v>0</v>
      </c>
      <c r="AK46" s="85">
        <f t="shared" si="15"/>
        <v>54643.454813574172</v>
      </c>
      <c r="AL46" s="85">
        <f t="shared" si="16"/>
        <v>139340.80977461411</v>
      </c>
      <c r="AM46" s="85">
        <f t="shared" si="17"/>
        <v>0</v>
      </c>
      <c r="AN46" s="85">
        <f t="shared" si="7"/>
        <v>124951.36667370626</v>
      </c>
      <c r="AO46" s="85">
        <f t="shared" si="18"/>
        <v>27321.727406787086</v>
      </c>
      <c r="AP46" s="85">
        <f t="shared" si="30"/>
        <v>46500.558215233643</v>
      </c>
      <c r="AQ46" s="84">
        <f t="shared" si="19"/>
        <v>392757.91688391531</v>
      </c>
      <c r="AR46" s="85">
        <f t="shared" si="20"/>
        <v>13660.863703393543</v>
      </c>
      <c r="AS46" s="84">
        <f t="shared" si="35"/>
        <v>30387.755000000001</v>
      </c>
      <c r="AT46" s="85">
        <f t="shared" si="21"/>
        <v>0</v>
      </c>
      <c r="AU46" s="84">
        <f t="shared" si="22"/>
        <v>436806.53558730881</v>
      </c>
      <c r="AV46" s="84">
        <f t="shared" si="8"/>
        <v>-436806.53558730881</v>
      </c>
      <c r="AW46" s="453"/>
      <c r="AX46" s="93">
        <f t="shared" si="4"/>
        <v>37712</v>
      </c>
      <c r="BA46" s="315"/>
      <c r="BB46" s="134">
        <f t="shared" si="23"/>
        <v>25.975000762939452</v>
      </c>
      <c r="BC46" s="134">
        <f>'Curve Analysis - Base Case'!D38</f>
        <v>45.40024060633607</v>
      </c>
      <c r="BD46" s="131">
        <f t="shared" si="24"/>
        <v>7.2017864961397005E-2</v>
      </c>
      <c r="BE46" s="131">
        <f t="shared" si="25"/>
        <v>7.2017864961397005E-2</v>
      </c>
      <c r="BF46" s="365">
        <f>PJM_01212000!X46</f>
        <v>0.147345</v>
      </c>
      <c r="BG46" s="85">
        <f t="shared" si="26"/>
        <v>1138</v>
      </c>
      <c r="BH46" s="84">
        <f t="shared" si="27"/>
        <v>0</v>
      </c>
      <c r="BJ46" s="537">
        <f>_xll.EURO(BB46,BC46,BD46,BE46,BF46,BG46,1,0)*BH46</f>
        <v>0</v>
      </c>
      <c r="BK46" s="84">
        <f t="shared" si="28"/>
        <v>0</v>
      </c>
      <c r="BM46" s="84">
        <f t="shared" si="29"/>
        <v>0</v>
      </c>
    </row>
    <row r="47" spans="1:65">
      <c r="A47" s="78">
        <f t="shared" si="1"/>
        <v>41</v>
      </c>
      <c r="C47" s="78">
        <v>31</v>
      </c>
      <c r="D47" s="78" t="s">
        <v>38</v>
      </c>
      <c r="E47" s="113">
        <f t="shared" si="2"/>
        <v>37742</v>
      </c>
      <c r="F47" s="85">
        <v>22</v>
      </c>
      <c r="G47" s="84">
        <f t="shared" si="34"/>
        <v>9</v>
      </c>
      <c r="H47" s="84"/>
      <c r="I47" s="84"/>
      <c r="J47" s="78">
        <f t="shared" si="3"/>
        <v>31</v>
      </c>
      <c r="K47" s="149">
        <v>37742</v>
      </c>
      <c r="L47" s="508">
        <v>7.2077719331942E-2</v>
      </c>
      <c r="M47" s="509">
        <v>6.6302620636051024E-2</v>
      </c>
      <c r="N47" s="132">
        <f t="shared" si="5"/>
        <v>0.79290110304987704</v>
      </c>
      <c r="O47" s="133">
        <f>VLOOKUP(K47,Inflation!$B$8:$C$266,2)</f>
        <v>1.0952981369540158</v>
      </c>
      <c r="P47" s="132"/>
      <c r="Q47" s="134">
        <f>VLOOKUP(K47,'Fuel Curve'!$B$11:$F$268,5)</f>
        <v>4.4317241379310355</v>
      </c>
      <c r="R47" s="238">
        <f>VLOOKUP(K47,'Fuel Curve Simulation'!$B$12:$J$258,9)</f>
        <v>4.4317241379310355</v>
      </c>
      <c r="S47" s="134">
        <f t="shared" si="6"/>
        <v>42.451485517241387</v>
      </c>
      <c r="T47" s="136"/>
      <c r="V47" s="135">
        <f>VLOOKUP(K47,PJM_01212000!$A$7:$C$259,3)</f>
        <v>30.975000000000001</v>
      </c>
      <c r="W47" s="486"/>
      <c r="X47" s="118">
        <f>'PJM Curve Simulation'!J47</f>
        <v>30.975000000000001</v>
      </c>
      <c r="Y47" s="512"/>
      <c r="Z47" s="137"/>
      <c r="AA47" s="78">
        <f t="shared" si="9"/>
        <v>315</v>
      </c>
      <c r="AB47" s="85">
        <f t="shared" si="10"/>
        <v>110880</v>
      </c>
      <c r="AC47" s="85">
        <f>VLOOKUP(K47,'Company Volumes'!$B$20:$C$259,2)</f>
        <v>18970.998914043554</v>
      </c>
      <c r="AD47" s="153">
        <f t="shared" si="11"/>
        <v>0</v>
      </c>
      <c r="AE47" s="150"/>
      <c r="AF47" s="150">
        <v>0</v>
      </c>
      <c r="AG47" s="150">
        <v>0</v>
      </c>
      <c r="AH47" s="150">
        <f t="shared" si="12"/>
        <v>0</v>
      </c>
      <c r="AI47" s="150">
        <f t="shared" si="13"/>
        <v>0</v>
      </c>
      <c r="AJ47" s="150">
        <f t="shared" si="14"/>
        <v>0</v>
      </c>
      <c r="AK47" s="85">
        <f t="shared" si="15"/>
        <v>54764.90684770079</v>
      </c>
      <c r="AL47" s="85">
        <f t="shared" si="16"/>
        <v>139650.512461637</v>
      </c>
      <c r="AM47" s="85">
        <f t="shared" si="17"/>
        <v>0</v>
      </c>
      <c r="AN47" s="85">
        <f t="shared" si="7"/>
        <v>125229.08699174247</v>
      </c>
      <c r="AO47" s="85">
        <f t="shared" si="18"/>
        <v>27382.453423850395</v>
      </c>
      <c r="AP47" s="85">
        <f t="shared" si="30"/>
        <v>46500.558215233643</v>
      </c>
      <c r="AQ47" s="84">
        <f t="shared" si="19"/>
        <v>393527.51794016431</v>
      </c>
      <c r="AR47" s="85">
        <f t="shared" si="20"/>
        <v>13691.226711925197</v>
      </c>
      <c r="AS47" s="84">
        <f t="shared" si="35"/>
        <v>30387.755000000001</v>
      </c>
      <c r="AT47" s="85">
        <f t="shared" si="21"/>
        <v>0</v>
      </c>
      <c r="AU47" s="84">
        <f t="shared" si="22"/>
        <v>437606.49965208955</v>
      </c>
      <c r="AV47" s="84">
        <f t="shared" si="8"/>
        <v>-437606.49965208955</v>
      </c>
      <c r="AW47" s="453"/>
      <c r="AX47" s="93">
        <f t="shared" si="4"/>
        <v>37742</v>
      </c>
      <c r="BA47" s="315"/>
      <c r="BB47" s="134">
        <f t="shared" si="23"/>
        <v>30.975000000000001</v>
      </c>
      <c r="BC47" s="134">
        <f>'Curve Analysis - Base Case'!D39</f>
        <v>44.642081791149423</v>
      </c>
      <c r="BD47" s="131">
        <f t="shared" si="24"/>
        <v>7.2077719331942E-2</v>
      </c>
      <c r="BE47" s="131">
        <f t="shared" si="25"/>
        <v>7.2077719331942E-2</v>
      </c>
      <c r="BF47" s="365">
        <f>PJM_01212000!X47</f>
        <v>0.16285499999999997</v>
      </c>
      <c r="BG47" s="85">
        <f t="shared" si="26"/>
        <v>1168</v>
      </c>
      <c r="BH47" s="84">
        <f t="shared" si="27"/>
        <v>0</v>
      </c>
      <c r="BJ47" s="537">
        <f>_xll.EURO(BB47,BC47,BD47,BE47,BF47,BG47,1,0)*BH47</f>
        <v>0</v>
      </c>
      <c r="BK47" s="84">
        <f t="shared" si="28"/>
        <v>0</v>
      </c>
      <c r="BM47" s="84">
        <f t="shared" si="29"/>
        <v>0</v>
      </c>
    </row>
    <row r="48" spans="1:65">
      <c r="A48" s="78">
        <f t="shared" si="1"/>
        <v>42</v>
      </c>
      <c r="C48" s="78">
        <v>30</v>
      </c>
      <c r="D48" s="78" t="s">
        <v>66</v>
      </c>
      <c r="E48" s="113">
        <f t="shared" si="2"/>
        <v>37773</v>
      </c>
      <c r="F48" s="85">
        <v>21</v>
      </c>
      <c r="G48" s="84">
        <f t="shared" si="34"/>
        <v>9</v>
      </c>
      <c r="H48" s="84"/>
      <c r="I48" s="84"/>
      <c r="J48" s="78">
        <f t="shared" si="3"/>
        <v>30</v>
      </c>
      <c r="K48" s="149">
        <v>37773</v>
      </c>
      <c r="L48" s="508">
        <v>7.2139568849415026E-2</v>
      </c>
      <c r="M48" s="509">
        <v>6.6334992209871019E-2</v>
      </c>
      <c r="N48" s="132">
        <f t="shared" si="5"/>
        <v>0.78799202563955995</v>
      </c>
      <c r="O48" s="133">
        <f>VLOOKUP(K48,Inflation!$B$8:$C$266,2)</f>
        <v>1.0977325764886683</v>
      </c>
      <c r="P48" s="132"/>
      <c r="Q48" s="134">
        <f>VLOOKUP(K48,'Fuel Curve'!$B$11:$F$268,5)</f>
        <v>4.4150000000000009</v>
      </c>
      <c r="R48" s="238">
        <f>VLOOKUP(K48,'Fuel Curve Simulation'!$B$12:$J$258,9)</f>
        <v>4.4150000000000009</v>
      </c>
      <c r="S48" s="134">
        <f t="shared" si="6"/>
        <v>42.291285000000009</v>
      </c>
      <c r="T48" s="136"/>
      <c r="V48" s="135">
        <f>VLOOKUP(K48,PJM_01212000!$A$7:$C$259,3)</f>
        <v>55.099998474121094</v>
      </c>
      <c r="W48" s="486"/>
      <c r="X48" s="118">
        <f>'PJM Curve Simulation'!J48</f>
        <v>55.099998474121094</v>
      </c>
      <c r="Y48" s="512"/>
      <c r="Z48" s="137"/>
      <c r="AA48" s="78">
        <f t="shared" si="9"/>
        <v>315</v>
      </c>
      <c r="AB48" s="85">
        <f t="shared" si="10"/>
        <v>105840</v>
      </c>
      <c r="AC48" s="85">
        <f>VLOOKUP(K48,'Company Volumes'!$B$20:$C$259,2)</f>
        <v>32361.99673668266</v>
      </c>
      <c r="AD48" s="153">
        <f t="shared" si="11"/>
        <v>105840</v>
      </c>
      <c r="AE48" s="150"/>
      <c r="AF48" s="150">
        <v>0</v>
      </c>
      <c r="AG48" s="150">
        <v>0</v>
      </c>
      <c r="AH48" s="150">
        <f t="shared" si="12"/>
        <v>5831783.8385009766</v>
      </c>
      <c r="AI48" s="150">
        <f t="shared" si="13"/>
        <v>5831783.8385009766</v>
      </c>
      <c r="AJ48" s="150">
        <f t="shared" si="14"/>
        <v>4476109.6044000005</v>
      </c>
      <c r="AK48" s="85">
        <f t="shared" si="15"/>
        <v>54886.628824433421</v>
      </c>
      <c r="AL48" s="85">
        <f t="shared" si="16"/>
        <v>139960.90350230521</v>
      </c>
      <c r="AM48" s="85">
        <f t="shared" si="17"/>
        <v>232368.03179112129</v>
      </c>
      <c r="AN48" s="85">
        <f t="shared" si="7"/>
        <v>125507.42457853774</v>
      </c>
      <c r="AO48" s="85">
        <f t="shared" si="18"/>
        <v>27443.31441221671</v>
      </c>
      <c r="AP48" s="85">
        <f t="shared" si="30"/>
        <v>46500.558215233643</v>
      </c>
      <c r="AQ48" s="84">
        <f t="shared" si="19"/>
        <v>626666.8613238479</v>
      </c>
      <c r="AR48" s="85">
        <f t="shared" si="20"/>
        <v>13721.657206108355</v>
      </c>
      <c r="AS48" s="84">
        <f t="shared" si="35"/>
        <v>30387.755000000001</v>
      </c>
      <c r="AT48" s="85">
        <f t="shared" si="21"/>
        <v>38410.434591375917</v>
      </c>
      <c r="AU48" s="84">
        <f t="shared" si="22"/>
        <v>5185296.3125213329</v>
      </c>
      <c r="AV48" s="84">
        <f t="shared" si="8"/>
        <v>646487.52597964369</v>
      </c>
      <c r="AW48" s="453"/>
      <c r="AX48" s="93">
        <f t="shared" si="4"/>
        <v>37773</v>
      </c>
      <c r="BA48" s="315"/>
      <c r="BB48" s="134">
        <f t="shared" si="23"/>
        <v>55.099998474121094</v>
      </c>
      <c r="BC48" s="134">
        <f>'Curve Analysis - Base Case'!D40</f>
        <v>44.486750152977343</v>
      </c>
      <c r="BD48" s="131">
        <f t="shared" si="24"/>
        <v>7.2139568849415026E-2</v>
      </c>
      <c r="BE48" s="131">
        <f t="shared" si="25"/>
        <v>7.2139568849415026E-2</v>
      </c>
      <c r="BF48" s="365">
        <f>PJM_01212000!X48</f>
        <v>0.20938499999999999</v>
      </c>
      <c r="BG48" s="85">
        <f t="shared" si="26"/>
        <v>1199</v>
      </c>
      <c r="BH48" s="84">
        <f t="shared" si="27"/>
        <v>105840</v>
      </c>
      <c r="BJ48" s="537">
        <f>_xll.EURO(BB48,BC48,BD48,BE48,BF48,BG48,1,0)*BH48</f>
        <v>1164237.7402217726</v>
      </c>
      <c r="BK48" s="84">
        <f t="shared" si="28"/>
        <v>1068260.4858365871</v>
      </c>
      <c r="BM48" s="84">
        <f t="shared" si="29"/>
        <v>95977.254385185428</v>
      </c>
    </row>
    <row r="49" spans="1:65">
      <c r="A49" s="78">
        <f t="shared" si="1"/>
        <v>43</v>
      </c>
      <c r="C49" s="78">
        <v>31</v>
      </c>
      <c r="D49" s="78" t="s">
        <v>67</v>
      </c>
      <c r="E49" s="113">
        <f t="shared" si="2"/>
        <v>37803</v>
      </c>
      <c r="F49" s="85">
        <v>23</v>
      </c>
      <c r="G49" s="84">
        <f t="shared" si="34"/>
        <v>8</v>
      </c>
      <c r="H49" s="84"/>
      <c r="I49" s="84"/>
      <c r="J49" s="78">
        <f t="shared" si="3"/>
        <v>31</v>
      </c>
      <c r="K49" s="149">
        <v>37803</v>
      </c>
      <c r="L49" s="508">
        <v>7.2196593496435008E-2</v>
      </c>
      <c r="M49" s="509">
        <v>6.6366319546315E-2</v>
      </c>
      <c r="N49" s="132">
        <f t="shared" si="5"/>
        <v>0.7832700613907857</v>
      </c>
      <c r="O49" s="133">
        <f>VLOOKUP(K49,Inflation!$B$8:$C$266,2)</f>
        <v>1.100172426875077</v>
      </c>
      <c r="P49" s="132"/>
      <c r="Q49" s="134">
        <f>VLOOKUP(K49,'Fuel Curve'!$B$11:$F$268,5)</f>
        <v>4.4606896551724144</v>
      </c>
      <c r="R49" s="238">
        <f>VLOOKUP(K49,'Fuel Curve Simulation'!$B$12:$J$258,9)</f>
        <v>4.4606896551724144</v>
      </c>
      <c r="S49" s="134">
        <f t="shared" si="6"/>
        <v>42.728946206896559</v>
      </c>
      <c r="T49" s="136"/>
      <c r="V49" s="135">
        <f>VLOOKUP(K49,PJM_01212000!$A$7:$C$259,3)</f>
        <v>94.199996948242188</v>
      </c>
      <c r="W49" s="486"/>
      <c r="X49" s="118">
        <f>'PJM Curve Simulation'!J49</f>
        <v>94.199996948242188</v>
      </c>
      <c r="Y49" s="512"/>
      <c r="Z49" s="137"/>
      <c r="AA49" s="78">
        <f t="shared" si="9"/>
        <v>315</v>
      </c>
      <c r="AB49" s="85">
        <f t="shared" si="10"/>
        <v>115920</v>
      </c>
      <c r="AC49" s="85">
        <f>VLOOKUP(K49,'Company Volumes'!$B$20:$C$259,2)</f>
        <v>53980.536934905773</v>
      </c>
      <c r="AD49" s="153">
        <f t="shared" si="11"/>
        <v>115920</v>
      </c>
      <c r="AE49" s="150"/>
      <c r="AF49" s="150">
        <v>0</v>
      </c>
      <c r="AG49" s="150">
        <v>0</v>
      </c>
      <c r="AH49" s="150">
        <f t="shared" si="12"/>
        <v>10919663.646240234</v>
      </c>
      <c r="AI49" s="150">
        <f t="shared" si="13"/>
        <v>10919663.646240234</v>
      </c>
      <c r="AJ49" s="150">
        <f t="shared" si="14"/>
        <v>4953139.4443034483</v>
      </c>
      <c r="AK49" s="85">
        <f t="shared" si="15"/>
        <v>55008.621343753854</v>
      </c>
      <c r="AL49" s="85">
        <f t="shared" si="16"/>
        <v>140271.98442657231</v>
      </c>
      <c r="AM49" s="85">
        <f t="shared" si="17"/>
        <v>255063.97544671784</v>
      </c>
      <c r="AN49" s="85">
        <f t="shared" si="7"/>
        <v>125786.38080605047</v>
      </c>
      <c r="AO49" s="85">
        <f t="shared" si="18"/>
        <v>27504.310671876927</v>
      </c>
      <c r="AP49" s="85">
        <f t="shared" si="30"/>
        <v>46500.558215233643</v>
      </c>
      <c r="AQ49" s="84">
        <f t="shared" si="19"/>
        <v>650135.83091020503</v>
      </c>
      <c r="AR49" s="85">
        <f t="shared" si="20"/>
        <v>13752.155335938463</v>
      </c>
      <c r="AS49" s="84">
        <f t="shared" si="35"/>
        <v>30387.755000000001</v>
      </c>
      <c r="AT49" s="85">
        <f t="shared" si="21"/>
        <v>72081.077126062024</v>
      </c>
      <c r="AU49" s="84">
        <f t="shared" si="22"/>
        <v>5719496.2626756541</v>
      </c>
      <c r="AV49" s="84">
        <f t="shared" si="8"/>
        <v>5200167.3835645802</v>
      </c>
      <c r="AW49" s="453"/>
      <c r="AX49" s="93">
        <f t="shared" si="4"/>
        <v>37803</v>
      </c>
      <c r="BA49" s="315"/>
      <c r="BB49" s="134">
        <f t="shared" si="23"/>
        <v>94.199996948242188</v>
      </c>
      <c r="BC49" s="134">
        <f>'Curve Analysis - Base Case'!D41</f>
        <v>44.929291060646712</v>
      </c>
      <c r="BD49" s="131">
        <f t="shared" si="24"/>
        <v>7.2196593496435008E-2</v>
      </c>
      <c r="BE49" s="131">
        <f t="shared" si="25"/>
        <v>7.2196593496435008E-2</v>
      </c>
      <c r="BF49" s="365">
        <f>PJM_01212000!X49</f>
        <v>0.255915</v>
      </c>
      <c r="BG49" s="85">
        <f t="shared" si="26"/>
        <v>1229</v>
      </c>
      <c r="BH49" s="84">
        <f t="shared" si="27"/>
        <v>115920</v>
      </c>
      <c r="BJ49" s="537">
        <f>_xll.EURO(BB49,BC49,BD49,BE49,BF49,BG49,1,0)*BH49</f>
        <v>4546401.1619655499</v>
      </c>
      <c r="BK49" s="84">
        <f t="shared" si="28"/>
        <v>4673399.7779406346</v>
      </c>
      <c r="BM49" s="84">
        <f t="shared" si="29"/>
        <v>-126998.61597508471</v>
      </c>
    </row>
    <row r="50" spans="1:65">
      <c r="A50" s="78">
        <f t="shared" si="1"/>
        <v>44</v>
      </c>
      <c r="C50" s="78">
        <v>31</v>
      </c>
      <c r="D50" s="78" t="s">
        <v>68</v>
      </c>
      <c r="E50" s="113">
        <f t="shared" si="2"/>
        <v>37834</v>
      </c>
      <c r="F50" s="85">
        <v>21</v>
      </c>
      <c r="G50" s="84">
        <f t="shared" si="34"/>
        <v>10</v>
      </c>
      <c r="H50" s="84"/>
      <c r="I50" s="84"/>
      <c r="J50" s="78">
        <f t="shared" si="3"/>
        <v>31</v>
      </c>
      <c r="K50" s="149">
        <v>37834</v>
      </c>
      <c r="L50" s="508">
        <v>7.2251448163748011E-2</v>
      </c>
      <c r="M50" s="509">
        <v>6.6398691134478022E-2</v>
      </c>
      <c r="N50" s="132">
        <f t="shared" si="5"/>
        <v>0.77842382649130337</v>
      </c>
      <c r="O50" s="133">
        <f>VLOOKUP(K50,Inflation!$B$8:$C$266,2)</f>
        <v>1.1026177001395487</v>
      </c>
      <c r="P50" s="132"/>
      <c r="Q50" s="134">
        <f>VLOOKUP(K50,'Fuel Curve'!$B$11:$F$268,5)</f>
        <v>4.5389655172413796</v>
      </c>
      <c r="R50" s="238">
        <f>VLOOKUP(K50,'Fuel Curve Simulation'!$B$12:$J$258,9)</f>
        <v>4.5389655172413796</v>
      </c>
      <c r="S50" s="134">
        <f t="shared" si="6"/>
        <v>43.478750689655179</v>
      </c>
      <c r="T50" s="136"/>
      <c r="V50" s="135">
        <f>VLOOKUP(K50,PJM_01212000!$A$7:$C$259,3)</f>
        <v>81.199996948242188</v>
      </c>
      <c r="W50" s="486"/>
      <c r="X50" s="118">
        <f>'PJM Curve Simulation'!J50</f>
        <v>81.199996948242188</v>
      </c>
      <c r="Y50" s="512"/>
      <c r="Z50" s="137"/>
      <c r="AA50" s="78">
        <f t="shared" si="9"/>
        <v>315</v>
      </c>
      <c r="AB50" s="85">
        <f t="shared" si="10"/>
        <v>105840</v>
      </c>
      <c r="AC50" s="85">
        <f>VLOOKUP(K50,'Company Volumes'!$B$20:$C$259,2)</f>
        <v>35987.024623927988</v>
      </c>
      <c r="AD50" s="153">
        <f t="shared" si="11"/>
        <v>105840</v>
      </c>
      <c r="AE50" s="150"/>
      <c r="AF50" s="150">
        <v>0</v>
      </c>
      <c r="AG50" s="150">
        <v>0</v>
      </c>
      <c r="AH50" s="150">
        <f t="shared" si="12"/>
        <v>8594207.6770019531</v>
      </c>
      <c r="AI50" s="150">
        <f t="shared" si="13"/>
        <v>8594207.6770019531</v>
      </c>
      <c r="AJ50" s="150">
        <f t="shared" si="14"/>
        <v>4601790.9729931038</v>
      </c>
      <c r="AK50" s="85">
        <f t="shared" si="15"/>
        <v>55130.885006977442</v>
      </c>
      <c r="AL50" s="85">
        <f t="shared" si="16"/>
        <v>140583.75676779248</v>
      </c>
      <c r="AM50" s="85">
        <f t="shared" si="17"/>
        <v>233402.11476553968</v>
      </c>
      <c r="AN50" s="85">
        <f t="shared" si="7"/>
        <v>126065.95704928841</v>
      </c>
      <c r="AO50" s="85">
        <f t="shared" si="18"/>
        <v>27565.442503488721</v>
      </c>
      <c r="AP50" s="85">
        <f t="shared" si="30"/>
        <v>46500.558215233643</v>
      </c>
      <c r="AQ50" s="84">
        <f t="shared" si="19"/>
        <v>629248.71430832043</v>
      </c>
      <c r="AR50" s="85">
        <f t="shared" si="20"/>
        <v>13782.72125174436</v>
      </c>
      <c r="AS50" s="84">
        <f t="shared" si="35"/>
        <v>30387.755000000001</v>
      </c>
      <c r="AT50" s="85">
        <f t="shared" si="21"/>
        <v>56856.75302002528</v>
      </c>
      <c r="AU50" s="84">
        <f t="shared" si="22"/>
        <v>5332066.9165731939</v>
      </c>
      <c r="AV50" s="84">
        <f t="shared" si="8"/>
        <v>3262140.7604287593</v>
      </c>
      <c r="AW50" s="453"/>
      <c r="AX50" s="93">
        <f t="shared" si="4"/>
        <v>37834</v>
      </c>
      <c r="BA50" s="315"/>
      <c r="BB50" s="134">
        <f t="shared" si="23"/>
        <v>81.199996948242188</v>
      </c>
      <c r="BC50" s="134">
        <f>'Curve Analysis - Base Case'!D42</f>
        <v>45.68398608993428</v>
      </c>
      <c r="BD50" s="131">
        <f t="shared" si="24"/>
        <v>7.2251448163748011E-2</v>
      </c>
      <c r="BE50" s="131">
        <f t="shared" si="25"/>
        <v>7.2251448163748011E-2</v>
      </c>
      <c r="BF50" s="365">
        <f>PJM_01212000!X50</f>
        <v>0.255915</v>
      </c>
      <c r="BG50" s="85">
        <f t="shared" si="26"/>
        <v>1260</v>
      </c>
      <c r="BH50" s="84">
        <f t="shared" si="27"/>
        <v>105840</v>
      </c>
      <c r="BJ50" s="537">
        <f>_xll.EURO(BB50,BC50,BD50,BE50,BF50,BG50,1,0)*BH50</f>
        <v>3058491.0315660732</v>
      </c>
      <c r="BK50" s="84">
        <f t="shared" si="28"/>
        <v>3107792.2876823656</v>
      </c>
      <c r="BM50" s="84">
        <f t="shared" si="29"/>
        <v>-49301.256116292439</v>
      </c>
    </row>
    <row r="51" spans="1:65">
      <c r="A51" s="78">
        <f t="shared" si="1"/>
        <v>45</v>
      </c>
      <c r="C51" s="78">
        <v>30</v>
      </c>
      <c r="D51" s="78" t="s">
        <v>69</v>
      </c>
      <c r="E51" s="113">
        <f t="shared" si="2"/>
        <v>37865</v>
      </c>
      <c r="F51" s="85">
        <v>22</v>
      </c>
      <c r="G51" s="84">
        <f t="shared" si="34"/>
        <v>8</v>
      </c>
      <c r="H51" s="84"/>
      <c r="I51" s="84"/>
      <c r="J51" s="78">
        <f t="shared" si="3"/>
        <v>30</v>
      </c>
      <c r="K51" s="149">
        <v>37865</v>
      </c>
      <c r="L51" s="508">
        <v>7.2306302832055996E-2</v>
      </c>
      <c r="M51" s="509">
        <v>6.6431062729931017E-2</v>
      </c>
      <c r="N51" s="132">
        <f t="shared" si="5"/>
        <v>0.77360062776988048</v>
      </c>
      <c r="O51" s="133">
        <f>VLOOKUP(K51,Inflation!$B$8:$C$266,2)</f>
        <v>1.1050684083351201</v>
      </c>
      <c r="P51" s="132"/>
      <c r="Q51" s="134">
        <f>VLOOKUP(K51,'Fuel Curve'!$B$11:$F$268,5)</f>
        <v>4.6236206896551728</v>
      </c>
      <c r="R51" s="238">
        <f>VLOOKUP(K51,'Fuel Curve Simulation'!$B$12:$J$258,9)</f>
        <v>4.6236206896551728</v>
      </c>
      <c r="S51" s="134">
        <f t="shared" si="6"/>
        <v>44.289662586206894</v>
      </c>
      <c r="T51" s="136"/>
      <c r="V51" s="135">
        <f>VLOOKUP(K51,PJM_01212000!$A$7:$C$259,3)</f>
        <v>33.074998474121095</v>
      </c>
      <c r="W51" s="486"/>
      <c r="X51" s="118">
        <f>'PJM Curve Simulation'!J51</f>
        <v>33.074998474121095</v>
      </c>
      <c r="Y51" s="512"/>
      <c r="Z51" s="137"/>
      <c r="AA51" s="78">
        <f t="shared" si="9"/>
        <v>315</v>
      </c>
      <c r="AB51" s="85">
        <f t="shared" si="10"/>
        <v>110880</v>
      </c>
      <c r="AC51" s="85">
        <f>VLOOKUP(K51,'Company Volumes'!$B$20:$C$259,2)</f>
        <v>23186.776450935995</v>
      </c>
      <c r="AD51" s="153">
        <f t="shared" si="11"/>
        <v>0</v>
      </c>
      <c r="AE51" s="150"/>
      <c r="AF51" s="150">
        <v>0</v>
      </c>
      <c r="AG51" s="150">
        <v>0</v>
      </c>
      <c r="AH51" s="150">
        <f t="shared" si="12"/>
        <v>0</v>
      </c>
      <c r="AI51" s="150">
        <f t="shared" si="13"/>
        <v>0</v>
      </c>
      <c r="AJ51" s="150">
        <f t="shared" si="14"/>
        <v>0</v>
      </c>
      <c r="AK51" s="85">
        <f t="shared" si="15"/>
        <v>55253.420416756009</v>
      </c>
      <c r="AL51" s="85">
        <f t="shared" si="16"/>
        <v>140896.22206272781</v>
      </c>
      <c r="AM51" s="85">
        <f t="shared" si="17"/>
        <v>0</v>
      </c>
      <c r="AN51" s="85">
        <f t="shared" si="7"/>
        <v>126346.15468631539</v>
      </c>
      <c r="AO51" s="85">
        <f t="shared" si="18"/>
        <v>27626.710208378005</v>
      </c>
      <c r="AP51" s="85">
        <f t="shared" si="30"/>
        <v>46500.558215233643</v>
      </c>
      <c r="AQ51" s="84">
        <f t="shared" si="19"/>
        <v>396623.06558941083</v>
      </c>
      <c r="AR51" s="85">
        <f t="shared" si="20"/>
        <v>13813.355104189002</v>
      </c>
      <c r="AS51" s="84">
        <f t="shared" si="35"/>
        <v>30387.755000000001</v>
      </c>
      <c r="AT51" s="85">
        <f t="shared" si="21"/>
        <v>0</v>
      </c>
      <c r="AU51" s="84">
        <f t="shared" si="22"/>
        <v>440824.17569359986</v>
      </c>
      <c r="AV51" s="84">
        <f t="shared" si="8"/>
        <v>-440824.17569359986</v>
      </c>
      <c r="AW51" s="453"/>
      <c r="AX51" s="93">
        <f t="shared" si="4"/>
        <v>37865</v>
      </c>
      <c r="BA51" s="315"/>
      <c r="BB51" s="134">
        <f t="shared" si="23"/>
        <v>33.074998474121095</v>
      </c>
      <c r="BC51" s="134">
        <f>'Curve Analysis - Base Case'!D43</f>
        <v>46.499799402877137</v>
      </c>
      <c r="BD51" s="131">
        <f t="shared" si="24"/>
        <v>7.2306302832055996E-2</v>
      </c>
      <c r="BE51" s="131">
        <f t="shared" si="25"/>
        <v>7.2306302832055996E-2</v>
      </c>
      <c r="BF51" s="365">
        <f>PJM_01212000!X51</f>
        <v>0.16449999999999998</v>
      </c>
      <c r="BG51" s="85">
        <f t="shared" si="26"/>
        <v>1291</v>
      </c>
      <c r="BH51" s="84">
        <f t="shared" si="27"/>
        <v>0</v>
      </c>
      <c r="BJ51" s="537">
        <f>_xll.EURO(BB51,BC51,BD51,BE51,BF51,BG51,1,0)*BH51</f>
        <v>0</v>
      </c>
      <c r="BK51" s="84">
        <f t="shared" si="28"/>
        <v>0</v>
      </c>
      <c r="BM51" s="84">
        <f t="shared" si="29"/>
        <v>0</v>
      </c>
    </row>
    <row r="52" spans="1:65">
      <c r="A52" s="78">
        <f t="shared" si="1"/>
        <v>46</v>
      </c>
      <c r="C52" s="78">
        <v>31</v>
      </c>
      <c r="D52" s="78" t="s">
        <v>70</v>
      </c>
      <c r="E52" s="113">
        <f t="shared" si="2"/>
        <v>37895</v>
      </c>
      <c r="F52" s="85">
        <v>23</v>
      </c>
      <c r="G52" s="84">
        <f t="shared" si="34"/>
        <v>8</v>
      </c>
      <c r="H52" s="84"/>
      <c r="I52" s="84"/>
      <c r="J52" s="78">
        <f t="shared" si="3"/>
        <v>31</v>
      </c>
      <c r="K52" s="149">
        <v>37895</v>
      </c>
      <c r="L52" s="508">
        <v>7.2356619918754014E-2</v>
      </c>
      <c r="M52" s="509">
        <v>6.6462390087310017E-2</v>
      </c>
      <c r="N52" s="132">
        <f t="shared" si="5"/>
        <v>0.76896248937747591</v>
      </c>
      <c r="O52" s="133">
        <f>VLOOKUP(K52,Inflation!$B$8:$C$266,2)</f>
        <v>1.1075245635416175</v>
      </c>
      <c r="P52" s="132"/>
      <c r="Q52" s="134">
        <f>VLOOKUP(K52,'Fuel Curve'!$B$11:$F$268,5)</f>
        <v>4.7039655172413806</v>
      </c>
      <c r="R52" s="238">
        <f>VLOOKUP(K52,'Fuel Curve Simulation'!$B$12:$J$258,9)</f>
        <v>4.7039655172413806</v>
      </c>
      <c r="S52" s="134">
        <f t="shared" si="6"/>
        <v>45.059285689655184</v>
      </c>
      <c r="T52" s="136"/>
      <c r="V52" s="135">
        <f>VLOOKUP(K52,PJM_01212000!$A$7:$C$259,3)</f>
        <v>26.725000381469727</v>
      </c>
      <c r="W52" s="486"/>
      <c r="X52" s="118">
        <f>'PJM Curve Simulation'!J52</f>
        <v>26.725000381469727</v>
      </c>
      <c r="Y52" s="512"/>
      <c r="Z52" s="137"/>
      <c r="AA52" s="78">
        <f t="shared" si="9"/>
        <v>315</v>
      </c>
      <c r="AB52" s="85">
        <f t="shared" si="10"/>
        <v>115920</v>
      </c>
      <c r="AC52" s="85">
        <f>VLOOKUP(K52,'Company Volumes'!$B$20:$C$259,2)</f>
        <v>4817.0515031333325</v>
      </c>
      <c r="AD52" s="153">
        <f t="shared" si="11"/>
        <v>0</v>
      </c>
      <c r="AE52" s="150"/>
      <c r="AF52" s="150">
        <v>0</v>
      </c>
      <c r="AG52" s="150">
        <v>0</v>
      </c>
      <c r="AH52" s="150">
        <f t="shared" si="12"/>
        <v>0</v>
      </c>
      <c r="AI52" s="150">
        <f t="shared" si="13"/>
        <v>0</v>
      </c>
      <c r="AJ52" s="150">
        <f t="shared" si="14"/>
        <v>0</v>
      </c>
      <c r="AK52" s="85">
        <f t="shared" si="15"/>
        <v>55376.228177080884</v>
      </c>
      <c r="AL52" s="85">
        <f t="shared" si="16"/>
        <v>141209.38185155625</v>
      </c>
      <c r="AM52" s="85">
        <f t="shared" si="17"/>
        <v>0</v>
      </c>
      <c r="AN52" s="85">
        <f t="shared" si="7"/>
        <v>126626.97509825828</v>
      </c>
      <c r="AO52" s="85">
        <f t="shared" si="18"/>
        <v>27688.114088540442</v>
      </c>
      <c r="AP52" s="85">
        <f t="shared" si="30"/>
        <v>46500.558215233643</v>
      </c>
      <c r="AQ52" s="84">
        <f t="shared" si="19"/>
        <v>397401.2574306695</v>
      </c>
      <c r="AR52" s="85">
        <f t="shared" si="20"/>
        <v>13844.057044270221</v>
      </c>
      <c r="AS52" s="84">
        <f t="shared" si="35"/>
        <v>30387.755000000001</v>
      </c>
      <c r="AT52" s="85">
        <f t="shared" si="21"/>
        <v>0</v>
      </c>
      <c r="AU52" s="84">
        <f t="shared" si="22"/>
        <v>441633.06947493972</v>
      </c>
      <c r="AV52" s="84">
        <f t="shared" si="8"/>
        <v>-441633.06947493972</v>
      </c>
      <c r="AW52" s="453"/>
      <c r="AX52" s="93">
        <f t="shared" si="4"/>
        <v>37895</v>
      </c>
      <c r="BA52" s="315"/>
      <c r="BB52" s="134">
        <f t="shared" si="23"/>
        <v>26.725000381469727</v>
      </c>
      <c r="BC52" s="134">
        <f>'Curve Analysis - Base Case'!D44</f>
        <v>47.274334816738417</v>
      </c>
      <c r="BD52" s="131">
        <f t="shared" si="24"/>
        <v>7.2356619918754014E-2</v>
      </c>
      <c r="BE52" s="131">
        <f t="shared" si="25"/>
        <v>7.2356619918754014E-2</v>
      </c>
      <c r="BF52" s="365">
        <f>PJM_01212000!X52</f>
        <v>0.11632499999999998</v>
      </c>
      <c r="BG52" s="85">
        <f t="shared" si="26"/>
        <v>1321</v>
      </c>
      <c r="BH52" s="84">
        <f t="shared" si="27"/>
        <v>0</v>
      </c>
      <c r="BJ52" s="537">
        <f>_xll.EURO(BB52,BC52,BD52,BE52,BF52,BG52,1,0)*BH52</f>
        <v>0</v>
      </c>
      <c r="BK52" s="84">
        <f t="shared" si="28"/>
        <v>0</v>
      </c>
      <c r="BM52" s="84">
        <f t="shared" si="29"/>
        <v>0</v>
      </c>
    </row>
    <row r="53" spans="1:65">
      <c r="A53" s="78">
        <f t="shared" si="1"/>
        <v>47</v>
      </c>
      <c r="C53" s="78">
        <v>30</v>
      </c>
      <c r="D53" s="78" t="s">
        <v>71</v>
      </c>
      <c r="E53" s="113">
        <f t="shared" si="2"/>
        <v>37926</v>
      </c>
      <c r="F53" s="85">
        <v>20</v>
      </c>
      <c r="G53" s="84">
        <f t="shared" si="34"/>
        <v>10</v>
      </c>
      <c r="H53" s="84"/>
      <c r="I53" s="84"/>
      <c r="J53" s="78">
        <f t="shared" si="3"/>
        <v>30</v>
      </c>
      <c r="K53" s="149">
        <v>37926</v>
      </c>
      <c r="L53" s="508">
        <v>7.2405134672305027E-2</v>
      </c>
      <c r="M53" s="509">
        <v>6.6494761697106025E-2</v>
      </c>
      <c r="N53" s="132">
        <f t="shared" si="5"/>
        <v>0.76420226024836957</v>
      </c>
      <c r="O53" s="133">
        <f>VLOOKUP(K53,Inflation!$B$8:$C$266,2)</f>
        <v>1.1099861778657161</v>
      </c>
      <c r="P53" s="132"/>
      <c r="Q53" s="134">
        <f>VLOOKUP(K53,'Fuel Curve'!$B$11:$F$268,5)</f>
        <v>4.783620689655173</v>
      </c>
      <c r="R53" s="238">
        <f>VLOOKUP(K53,'Fuel Curve Simulation'!$B$12:$J$258,9)</f>
        <v>4.783620689655173</v>
      </c>
      <c r="S53" s="134">
        <f t="shared" si="6"/>
        <v>45.822302586206902</v>
      </c>
      <c r="T53" s="136"/>
      <c r="V53" s="135">
        <f>VLOOKUP(K53,PJM_01212000!$A$7:$C$259,3)</f>
        <v>26.397499084472656</v>
      </c>
      <c r="W53" s="486"/>
      <c r="X53" s="118">
        <f>'PJM Curve Simulation'!J53</f>
        <v>26.397499084472656</v>
      </c>
      <c r="Y53" s="512"/>
      <c r="Z53" s="137"/>
      <c r="AA53" s="78">
        <f t="shared" si="9"/>
        <v>315</v>
      </c>
      <c r="AB53" s="85">
        <f t="shared" si="10"/>
        <v>100800</v>
      </c>
      <c r="AC53" s="85">
        <f>VLOOKUP(K53,'Company Volumes'!$B$20:$C$259,2)</f>
        <v>8337.4300071439993</v>
      </c>
      <c r="AD53" s="153">
        <f t="shared" si="11"/>
        <v>0</v>
      </c>
      <c r="AE53" s="150"/>
      <c r="AF53" s="150">
        <v>0</v>
      </c>
      <c r="AG53" s="150">
        <v>0</v>
      </c>
      <c r="AH53" s="150">
        <f t="shared" si="12"/>
        <v>0</v>
      </c>
      <c r="AI53" s="150">
        <f t="shared" si="13"/>
        <v>0</v>
      </c>
      <c r="AJ53" s="150">
        <f t="shared" si="14"/>
        <v>0</v>
      </c>
      <c r="AK53" s="85">
        <f t="shared" si="15"/>
        <v>55499.308893285808</v>
      </c>
      <c r="AL53" s="85">
        <f t="shared" si="16"/>
        <v>141523.23767787879</v>
      </c>
      <c r="AM53" s="85">
        <f t="shared" si="17"/>
        <v>0</v>
      </c>
      <c r="AN53" s="85">
        <f t="shared" si="7"/>
        <v>126908.41966931352</v>
      </c>
      <c r="AO53" s="85">
        <f t="shared" si="18"/>
        <v>27749.654446642904</v>
      </c>
      <c r="AP53" s="85">
        <f t="shared" si="30"/>
        <v>46500.558215233643</v>
      </c>
      <c r="AQ53" s="84">
        <f t="shared" si="19"/>
        <v>398181.17890235467</v>
      </c>
      <c r="AR53" s="85">
        <f t="shared" si="20"/>
        <v>13874.827223321452</v>
      </c>
      <c r="AS53" s="84">
        <f t="shared" si="35"/>
        <v>30387.755000000001</v>
      </c>
      <c r="AT53" s="85">
        <f t="shared" si="21"/>
        <v>0</v>
      </c>
      <c r="AU53" s="84">
        <f t="shared" si="22"/>
        <v>442443.7611256761</v>
      </c>
      <c r="AV53" s="84">
        <f t="shared" si="8"/>
        <v>-442443.7611256761</v>
      </c>
      <c r="AW53" s="453"/>
      <c r="AX53" s="93">
        <f t="shared" si="4"/>
        <v>37926</v>
      </c>
      <c r="BA53" s="315"/>
      <c r="BB53" s="134">
        <f t="shared" si="23"/>
        <v>26.397499084472656</v>
      </c>
      <c r="BC53" s="134">
        <f>'Curve Analysis - Base Case'!D45</f>
        <v>48.042274941938331</v>
      </c>
      <c r="BD53" s="131">
        <f t="shared" si="24"/>
        <v>7.2405134672305027E-2</v>
      </c>
      <c r="BE53" s="131">
        <f t="shared" si="25"/>
        <v>7.2405134672305027E-2</v>
      </c>
      <c r="BF53" s="365">
        <f>PJM_01212000!X53</f>
        <v>0.11632499999999998</v>
      </c>
      <c r="BG53" s="85">
        <f t="shared" si="26"/>
        <v>1352</v>
      </c>
      <c r="BH53" s="84">
        <f t="shared" si="27"/>
        <v>0</v>
      </c>
      <c r="BJ53" s="537">
        <f>_xll.EURO(BB53,BC53,BD53,BE53,BF53,BG53,1,0)*BH53</f>
        <v>0</v>
      </c>
      <c r="BK53" s="84">
        <f t="shared" si="28"/>
        <v>0</v>
      </c>
      <c r="BM53" s="84">
        <f t="shared" si="29"/>
        <v>0</v>
      </c>
    </row>
    <row r="54" spans="1:65">
      <c r="A54" s="78">
        <f t="shared" si="1"/>
        <v>48</v>
      </c>
      <c r="C54" s="78">
        <v>31</v>
      </c>
      <c r="D54" s="78" t="s">
        <v>72</v>
      </c>
      <c r="E54" s="113">
        <f t="shared" si="2"/>
        <v>37956</v>
      </c>
      <c r="F54" s="85">
        <v>23</v>
      </c>
      <c r="G54" s="84">
        <f t="shared" si="34"/>
        <v>8</v>
      </c>
      <c r="H54" s="84">
        <f>SUM(F43:G54)</f>
        <v>365</v>
      </c>
      <c r="I54" s="84"/>
      <c r="J54" s="78">
        <f t="shared" si="3"/>
        <v>31</v>
      </c>
      <c r="K54" s="149">
        <v>37956</v>
      </c>
      <c r="L54" s="508">
        <v>7.2452084434547009E-2</v>
      </c>
      <c r="M54" s="509">
        <v>6.6526089068365019E-2</v>
      </c>
      <c r="N54" s="132">
        <f t="shared" si="5"/>
        <v>0.75961790110436567</v>
      </c>
      <c r="O54" s="133">
        <f>VLOOKUP(K54,Inflation!$B$8:$C$266,2)</f>
        <v>1.1124532634409996</v>
      </c>
      <c r="P54" s="132"/>
      <c r="Q54" s="134">
        <f>VLOOKUP(K54,'Fuel Curve'!$B$11:$F$268,5)</f>
        <v>4.8205172413793109</v>
      </c>
      <c r="R54" s="238">
        <f>VLOOKUP(K54,'Fuel Curve Simulation'!$B$12:$J$258,9)</f>
        <v>4.8205172413793109</v>
      </c>
      <c r="S54" s="134">
        <f t="shared" si="6"/>
        <v>46.17573465517242</v>
      </c>
      <c r="T54" s="136"/>
      <c r="V54" s="135">
        <f>VLOOKUP(K54,PJM_01212000!$A$7:$C$259,3)</f>
        <v>28.149999618530273</v>
      </c>
      <c r="W54" s="486"/>
      <c r="X54" s="118">
        <f>'PJM Curve Simulation'!J54</f>
        <v>28.149999618530273</v>
      </c>
      <c r="Y54" s="512"/>
      <c r="Z54" s="137"/>
      <c r="AA54" s="78">
        <f t="shared" si="9"/>
        <v>315</v>
      </c>
      <c r="AB54" s="85">
        <f t="shared" si="10"/>
        <v>115920</v>
      </c>
      <c r="AC54" s="85">
        <f>VLOOKUP(K54,'Company Volumes'!$B$20:$C$259,2)</f>
        <v>8337.4300071439993</v>
      </c>
      <c r="AD54" s="153">
        <f t="shared" si="11"/>
        <v>0</v>
      </c>
      <c r="AE54" s="150"/>
      <c r="AF54" s="150">
        <v>0</v>
      </c>
      <c r="AG54" s="150">
        <v>0</v>
      </c>
      <c r="AH54" s="150">
        <f t="shared" si="12"/>
        <v>0</v>
      </c>
      <c r="AI54" s="150">
        <f t="shared" si="13"/>
        <v>0</v>
      </c>
      <c r="AJ54" s="150">
        <f t="shared" si="14"/>
        <v>0</v>
      </c>
      <c r="AK54" s="85">
        <f t="shared" si="15"/>
        <v>55622.663172049979</v>
      </c>
      <c r="AL54" s="85">
        <f t="shared" si="16"/>
        <v>141837.79108872745</v>
      </c>
      <c r="AM54" s="85">
        <f t="shared" si="17"/>
        <v>0</v>
      </c>
      <c r="AN54" s="85">
        <f t="shared" si="7"/>
        <v>127190.48978675429</v>
      </c>
      <c r="AO54" s="85">
        <f t="shared" si="18"/>
        <v>27811.33158602499</v>
      </c>
      <c r="AP54" s="85">
        <f t="shared" si="30"/>
        <v>46500.558215233643</v>
      </c>
      <c r="AQ54" s="84">
        <f t="shared" si="19"/>
        <v>398962.83384879038</v>
      </c>
      <c r="AR54" s="85">
        <f t="shared" si="20"/>
        <v>13905.665793012495</v>
      </c>
      <c r="AS54" s="84">
        <f t="shared" si="35"/>
        <v>30387.755000000001</v>
      </c>
      <c r="AT54" s="85">
        <f t="shared" si="21"/>
        <v>0</v>
      </c>
      <c r="AU54" s="84">
        <f t="shared" si="22"/>
        <v>443256.25464180287</v>
      </c>
      <c r="AV54" s="84">
        <f t="shared" si="8"/>
        <v>-443256.25464180287</v>
      </c>
      <c r="AW54" s="453"/>
      <c r="AX54" s="93">
        <f t="shared" si="4"/>
        <v>37956</v>
      </c>
      <c r="AY54" s="85">
        <f ca="1">'Debt Amortization'!K8</f>
        <v>2808464.4348623604</v>
      </c>
      <c r="AZ54" s="85">
        <f ca="1">AY54*N54</f>
        <v>2133359.8593364046</v>
      </c>
      <c r="BA54" s="315"/>
      <c r="BB54" s="134">
        <f t="shared" si="23"/>
        <v>28.149999618530273</v>
      </c>
      <c r="BC54" s="134">
        <f>'Curve Analysis - Base Case'!D46</f>
        <v>48.400641182054422</v>
      </c>
      <c r="BD54" s="131">
        <f t="shared" si="24"/>
        <v>7.2452084434547009E-2</v>
      </c>
      <c r="BE54" s="131">
        <f t="shared" si="25"/>
        <v>7.2452084434547009E-2</v>
      </c>
      <c r="BF54" s="365">
        <f>PJM_01212000!X54</f>
        <v>0.11632499999999998</v>
      </c>
      <c r="BG54" s="85">
        <f t="shared" si="26"/>
        <v>1382</v>
      </c>
      <c r="BH54" s="84">
        <f t="shared" si="27"/>
        <v>0</v>
      </c>
      <c r="BJ54" s="537">
        <f>_xll.EURO(BB54,BC54,BD54,BE54,BF54,BG54,1,0)*BH54</f>
        <v>0</v>
      </c>
      <c r="BK54" s="84">
        <f t="shared" si="28"/>
        <v>0</v>
      </c>
      <c r="BM54" s="84">
        <f t="shared" si="29"/>
        <v>0</v>
      </c>
    </row>
    <row r="55" spans="1:65">
      <c r="A55" s="78">
        <f t="shared" si="1"/>
        <v>49</v>
      </c>
      <c r="C55" s="78">
        <v>31</v>
      </c>
      <c r="D55" s="78" t="s">
        <v>62</v>
      </c>
      <c r="E55" s="113">
        <f t="shared" si="2"/>
        <v>37987</v>
      </c>
      <c r="F55" s="85">
        <v>22</v>
      </c>
      <c r="G55" s="84">
        <f>C55-F55</f>
        <v>9</v>
      </c>
      <c r="H55" s="84"/>
      <c r="I55" s="84"/>
      <c r="J55" s="78">
        <f t="shared" si="3"/>
        <v>31</v>
      </c>
      <c r="K55" s="149">
        <v>37987</v>
      </c>
      <c r="L55" s="508">
        <v>7.2504748875384023E-2</v>
      </c>
      <c r="M55" s="509">
        <v>6.6558460692503013E-2</v>
      </c>
      <c r="N55" s="132">
        <f t="shared" si="5"/>
        <v>0.75489178509530708</v>
      </c>
      <c r="O55" s="133">
        <f>VLOOKUP(K55,Inflation!$B$8:$C$266,2)</f>
        <v>1.1149258324280202</v>
      </c>
      <c r="P55" s="132"/>
      <c r="Q55" s="134">
        <f>VLOOKUP(K55,'Fuel Curve'!$B$11:$F$268,5)</f>
        <v>4.7582758620689658</v>
      </c>
      <c r="R55" s="238">
        <f>VLOOKUP(K55,'Fuel Curve Simulation'!$B$12:$J$258,9)</f>
        <v>4.7582758620689658</v>
      </c>
      <c r="S55" s="134">
        <f t="shared" si="6"/>
        <v>45.579524482758622</v>
      </c>
      <c r="T55" s="136"/>
      <c r="V55" s="135">
        <f>VLOOKUP(K55,PJM_01212000!$A$7:$C$259,3)</f>
        <v>36.824998474121088</v>
      </c>
      <c r="W55" s="486"/>
      <c r="X55" s="118">
        <f>'PJM Curve Simulation'!J55</f>
        <v>36.824998474121088</v>
      </c>
      <c r="Y55" s="512"/>
      <c r="Z55" s="137"/>
      <c r="AA55" s="78">
        <f t="shared" si="9"/>
        <v>315</v>
      </c>
      <c r="AB55" s="85">
        <f t="shared" si="10"/>
        <v>110880</v>
      </c>
      <c r="AC55" s="85">
        <f>VLOOKUP(K55,'Company Volumes'!$B$20:$C$259,2)</f>
        <v>17580.826841000882</v>
      </c>
      <c r="AD55" s="153">
        <f t="shared" si="11"/>
        <v>0</v>
      </c>
      <c r="AE55" s="150"/>
      <c r="AF55" s="150">
        <v>0</v>
      </c>
      <c r="AG55" s="150">
        <v>0</v>
      </c>
      <c r="AH55" s="150">
        <f t="shared" si="12"/>
        <v>0</v>
      </c>
      <c r="AI55" s="150">
        <f t="shared" si="13"/>
        <v>0</v>
      </c>
      <c r="AJ55" s="150">
        <f t="shared" si="14"/>
        <v>0</v>
      </c>
      <c r="AK55" s="85">
        <f t="shared" si="15"/>
        <v>55746.291621401011</v>
      </c>
      <c r="AL55" s="85">
        <f t="shared" si="16"/>
        <v>142153.04363457256</v>
      </c>
      <c r="AM55" s="85">
        <f t="shared" si="17"/>
        <v>0</v>
      </c>
      <c r="AN55" s="85">
        <f t="shared" si="7"/>
        <v>127473.18684093696</v>
      </c>
      <c r="AO55" s="85">
        <f t="shared" si="18"/>
        <v>27873.145810700506</v>
      </c>
      <c r="AP55" s="85">
        <f t="shared" si="30"/>
        <v>46500.558215233643</v>
      </c>
      <c r="AQ55" s="84">
        <f t="shared" si="19"/>
        <v>399746.22612284462</v>
      </c>
      <c r="AR55" s="85">
        <f t="shared" si="20"/>
        <v>13936.572905350253</v>
      </c>
      <c r="AS55" s="84">
        <f t="shared" si="35"/>
        <v>30387.755000000001</v>
      </c>
      <c r="AT55" s="85">
        <f t="shared" si="21"/>
        <v>0</v>
      </c>
      <c r="AU55" s="84">
        <f t="shared" si="22"/>
        <v>444070.55402819486</v>
      </c>
      <c r="AV55" s="84">
        <f t="shared" si="8"/>
        <v>-444070.55402819486</v>
      </c>
      <c r="AW55" s="453"/>
      <c r="AX55" s="93">
        <f t="shared" si="4"/>
        <v>37987</v>
      </c>
      <c r="BA55" s="315"/>
      <c r="BB55" s="134">
        <f t="shared" si="23"/>
        <v>36.824998474121088</v>
      </c>
      <c r="BC55" s="134">
        <f>'Curve Analysis - Base Case'!D47</f>
        <v>47.809376147614664</v>
      </c>
      <c r="BD55" s="131">
        <f t="shared" si="24"/>
        <v>7.2504748875384023E-2</v>
      </c>
      <c r="BE55" s="131">
        <f t="shared" si="25"/>
        <v>7.2504748875384023E-2</v>
      </c>
      <c r="BF55" s="365">
        <f>PJM_01212000!X55</f>
        <v>0.17867519999999998</v>
      </c>
      <c r="BG55" s="85">
        <f t="shared" si="26"/>
        <v>1413</v>
      </c>
      <c r="BH55" s="84">
        <f t="shared" si="27"/>
        <v>0</v>
      </c>
      <c r="BJ55" s="537">
        <f>_xll.EURO(BB55,BC55,BD55,BE55,BF55,BG55,1,0)*BH55</f>
        <v>0</v>
      </c>
      <c r="BK55" s="84">
        <f t="shared" si="28"/>
        <v>0</v>
      </c>
      <c r="BM55" s="84">
        <f t="shared" si="29"/>
        <v>0</v>
      </c>
    </row>
    <row r="56" spans="1:65">
      <c r="A56" s="78">
        <f t="shared" si="1"/>
        <v>50</v>
      </c>
      <c r="C56" s="140">
        <v>29</v>
      </c>
      <c r="D56" s="141" t="s">
        <v>63</v>
      </c>
      <c r="E56" s="113">
        <f t="shared" si="2"/>
        <v>38018</v>
      </c>
      <c r="F56" s="85">
        <v>20</v>
      </c>
      <c r="G56" s="84">
        <f t="shared" ref="G56:G66" si="36">C56-F56</f>
        <v>9</v>
      </c>
      <c r="H56" s="84"/>
      <c r="I56" s="84"/>
      <c r="J56" s="78">
        <f t="shared" si="3"/>
        <v>29</v>
      </c>
      <c r="K56" s="149">
        <v>38018</v>
      </c>
      <c r="L56" s="508">
        <v>7.2561839648691021E-2</v>
      </c>
      <c r="M56" s="509">
        <v>6.659083232393101E-2</v>
      </c>
      <c r="N56" s="132">
        <f t="shared" si="5"/>
        <v>0.75017568309458926</v>
      </c>
      <c r="O56" s="133">
        <f>VLOOKUP(K56,Inflation!$B$8:$C$266,2)</f>
        <v>1.1174038970143587</v>
      </c>
      <c r="P56" s="132"/>
      <c r="Q56" s="134">
        <f>VLOOKUP(K56,'Fuel Curve'!$B$11:$F$268,5)</f>
        <v>4.6539655172413807</v>
      </c>
      <c r="R56" s="238">
        <f>VLOOKUP(K56,'Fuel Curve Simulation'!$B$12:$J$258,9)</f>
        <v>4.6539655172413807</v>
      </c>
      <c r="S56" s="134">
        <f t="shared" si="6"/>
        <v>44.580335689655186</v>
      </c>
      <c r="T56" s="136"/>
      <c r="V56" s="135">
        <f>VLOOKUP(K56,PJM_01212000!$A$7:$C$259,3)</f>
        <v>36.824998474121088</v>
      </c>
      <c r="W56" s="486"/>
      <c r="X56" s="118">
        <f>'PJM Curve Simulation'!J56</f>
        <v>36.824998474121088</v>
      </c>
      <c r="Y56" s="512"/>
      <c r="Z56" s="137"/>
      <c r="AA56" s="78">
        <f t="shared" si="9"/>
        <v>315</v>
      </c>
      <c r="AB56" s="85">
        <f t="shared" si="10"/>
        <v>100800</v>
      </c>
      <c r="AC56" s="85">
        <f>VLOOKUP(K56,'Company Volumes'!$B$20:$C$259,2)</f>
        <v>761.8879230075554</v>
      </c>
      <c r="AD56" s="153">
        <f t="shared" si="11"/>
        <v>0</v>
      </c>
      <c r="AE56" s="150"/>
      <c r="AF56" s="150">
        <v>0</v>
      </c>
      <c r="AG56" s="150">
        <v>0</v>
      </c>
      <c r="AH56" s="150">
        <f t="shared" si="12"/>
        <v>0</v>
      </c>
      <c r="AI56" s="150">
        <f t="shared" si="13"/>
        <v>0</v>
      </c>
      <c r="AJ56" s="150">
        <f t="shared" si="14"/>
        <v>0</v>
      </c>
      <c r="AK56" s="85">
        <f t="shared" si="15"/>
        <v>55870.194850717933</v>
      </c>
      <c r="AL56" s="85">
        <f t="shared" si="16"/>
        <v>142468.99686933073</v>
      </c>
      <c r="AM56" s="85">
        <f t="shared" si="17"/>
        <v>0</v>
      </c>
      <c r="AN56" s="85">
        <f t="shared" si="7"/>
        <v>127756.51222530834</v>
      </c>
      <c r="AO56" s="85">
        <f t="shared" si="18"/>
        <v>27935.097425358967</v>
      </c>
      <c r="AP56" s="85">
        <f t="shared" si="30"/>
        <v>46500.558215233643</v>
      </c>
      <c r="AQ56" s="84">
        <f t="shared" si="19"/>
        <v>400531.35958594957</v>
      </c>
      <c r="AR56" s="85">
        <f t="shared" si="20"/>
        <v>13967.548712679483</v>
      </c>
      <c r="AS56" s="84">
        <f t="shared" si="35"/>
        <v>30387.755000000001</v>
      </c>
      <c r="AT56" s="85">
        <f t="shared" si="21"/>
        <v>0</v>
      </c>
      <c r="AU56" s="84">
        <f t="shared" si="22"/>
        <v>444886.66329862911</v>
      </c>
      <c r="AV56" s="84">
        <f t="shared" si="8"/>
        <v>-444886.66329862911</v>
      </c>
      <c r="AW56" s="453"/>
      <c r="AX56" s="93">
        <f t="shared" si="4"/>
        <v>38018</v>
      </c>
      <c r="BA56" s="315"/>
      <c r="BB56" s="134">
        <f t="shared" si="23"/>
        <v>36.824998474121088</v>
      </c>
      <c r="BC56" s="134">
        <f>'Curve Analysis - Base Case'!D48</f>
        <v>46.815143483683904</v>
      </c>
      <c r="BD56" s="131">
        <f t="shared" si="24"/>
        <v>7.2561839648691021E-2</v>
      </c>
      <c r="BE56" s="131">
        <f t="shared" si="25"/>
        <v>7.2561839648691021E-2</v>
      </c>
      <c r="BF56" s="365">
        <f>PJM_01212000!X56</f>
        <v>0.17867519999999998</v>
      </c>
      <c r="BG56" s="85">
        <f t="shared" si="26"/>
        <v>1444</v>
      </c>
      <c r="BH56" s="84">
        <f t="shared" si="27"/>
        <v>0</v>
      </c>
      <c r="BJ56" s="537">
        <f>_xll.EURO(BB56,BC56,BD56,BE56,BF56,BG56,1,0)*BH56</f>
        <v>0</v>
      </c>
      <c r="BK56" s="84">
        <f t="shared" si="28"/>
        <v>0</v>
      </c>
      <c r="BM56" s="84">
        <f t="shared" si="29"/>
        <v>0</v>
      </c>
    </row>
    <row r="57" spans="1:65">
      <c r="A57" s="78">
        <f t="shared" si="1"/>
        <v>51</v>
      </c>
      <c r="C57" s="78">
        <v>31</v>
      </c>
      <c r="D57" s="78" t="s">
        <v>64</v>
      </c>
      <c r="E57" s="113">
        <f t="shared" si="2"/>
        <v>38047</v>
      </c>
      <c r="F57" s="85">
        <v>23</v>
      </c>
      <c r="G57" s="84">
        <f t="shared" si="36"/>
        <v>8</v>
      </c>
      <c r="H57" s="84"/>
      <c r="I57" s="84"/>
      <c r="J57" s="78">
        <f t="shared" si="3"/>
        <v>31</v>
      </c>
      <c r="K57" s="149">
        <v>38047</v>
      </c>
      <c r="L57" s="508">
        <v>7.2615247147275006E-2</v>
      </c>
      <c r="M57" s="509">
        <v>6.6621115469606015E-2</v>
      </c>
      <c r="N57" s="132">
        <f t="shared" si="5"/>
        <v>0.74578421285638075</v>
      </c>
      <c r="O57" s="133">
        <f>VLOOKUP(K57,Inflation!$B$8:$C$266,2)</f>
        <v>1.1198874694146836</v>
      </c>
      <c r="P57" s="132"/>
      <c r="Q57" s="134">
        <f>VLOOKUP(K57,'Fuel Curve'!$B$11:$F$268,5)</f>
        <v>4.5505172413793114</v>
      </c>
      <c r="R57" s="238">
        <f>VLOOKUP(K57,'Fuel Curve Simulation'!$B$12:$J$258,9)</f>
        <v>4.5505172413793114</v>
      </c>
      <c r="S57" s="134">
        <f t="shared" si="6"/>
        <v>43.589404655172423</v>
      </c>
      <c r="T57" s="136"/>
      <c r="V57" s="135">
        <f>VLOOKUP(K57,PJM_01212000!$A$7:$C$259,3)</f>
        <v>26.550000762939455</v>
      </c>
      <c r="W57" s="486"/>
      <c r="X57" s="118">
        <f>'PJM Curve Simulation'!J57</f>
        <v>26.550000762939455</v>
      </c>
      <c r="Y57" s="512"/>
      <c r="Z57" s="137"/>
      <c r="AA57" s="78">
        <f t="shared" si="9"/>
        <v>315</v>
      </c>
      <c r="AB57" s="85">
        <f t="shared" si="10"/>
        <v>115920</v>
      </c>
      <c r="AC57" s="85">
        <f>VLOOKUP(K57,'Company Volumes'!$B$20:$C$259,2)</f>
        <v>761.8879230075554</v>
      </c>
      <c r="AD57" s="153">
        <f t="shared" si="11"/>
        <v>0</v>
      </c>
      <c r="AE57" s="150"/>
      <c r="AF57" s="150">
        <v>0</v>
      </c>
      <c r="AG57" s="150">
        <v>0</v>
      </c>
      <c r="AH57" s="150">
        <f t="shared" si="12"/>
        <v>0</v>
      </c>
      <c r="AI57" s="150">
        <f t="shared" si="13"/>
        <v>0</v>
      </c>
      <c r="AJ57" s="150">
        <f t="shared" si="14"/>
        <v>0</v>
      </c>
      <c r="AK57" s="85">
        <f t="shared" si="15"/>
        <v>55994.373470734186</v>
      </c>
      <c r="AL57" s="85">
        <f t="shared" si="16"/>
        <v>142785.65235037217</v>
      </c>
      <c r="AM57" s="85">
        <f t="shared" si="17"/>
        <v>0</v>
      </c>
      <c r="AN57" s="85">
        <f t="shared" si="7"/>
        <v>128040.46733641216</v>
      </c>
      <c r="AO57" s="85">
        <f t="shared" si="18"/>
        <v>27997.186735367093</v>
      </c>
      <c r="AP57" s="85">
        <f t="shared" si="30"/>
        <v>46500.558215233643</v>
      </c>
      <c r="AQ57" s="84">
        <f t="shared" si="19"/>
        <v>401318.23810811923</v>
      </c>
      <c r="AR57" s="85">
        <f t="shared" si="20"/>
        <v>13998.593367683547</v>
      </c>
      <c r="AS57" s="84">
        <f t="shared" si="35"/>
        <v>30387.755000000001</v>
      </c>
      <c r="AT57" s="85">
        <f t="shared" si="21"/>
        <v>0</v>
      </c>
      <c r="AU57" s="84">
        <f t="shared" si="22"/>
        <v>445704.58647580282</v>
      </c>
      <c r="AV57" s="84">
        <f t="shared" si="8"/>
        <v>-445704.58647580282</v>
      </c>
      <c r="AW57" s="453"/>
      <c r="AX57" s="93">
        <f t="shared" si="4"/>
        <v>38047</v>
      </c>
      <c r="BA57" s="315"/>
      <c r="BB57" s="134">
        <f t="shared" si="23"/>
        <v>26.550000762939455</v>
      </c>
      <c r="BC57" s="134">
        <f>'Curve Analysis - Base Case'!D49</f>
        <v>45.829179594001793</v>
      </c>
      <c r="BD57" s="131">
        <f t="shared" si="24"/>
        <v>7.2615247147275006E-2</v>
      </c>
      <c r="BE57" s="131">
        <f t="shared" si="25"/>
        <v>7.2615247147275006E-2</v>
      </c>
      <c r="BF57" s="365">
        <f>PJM_01212000!X57</f>
        <v>0.14889599999999997</v>
      </c>
      <c r="BG57" s="85">
        <f t="shared" si="26"/>
        <v>1473</v>
      </c>
      <c r="BH57" s="84">
        <f t="shared" si="27"/>
        <v>0</v>
      </c>
      <c r="BJ57" s="537">
        <f>_xll.EURO(BB57,BC57,BD57,BE57,BF57,BG57,1,0)*BH57</f>
        <v>0</v>
      </c>
      <c r="BK57" s="84">
        <f t="shared" si="28"/>
        <v>0</v>
      </c>
      <c r="BM57" s="84">
        <f t="shared" si="29"/>
        <v>0</v>
      </c>
    </row>
    <row r="58" spans="1:65">
      <c r="A58" s="78">
        <f t="shared" si="1"/>
        <v>52</v>
      </c>
      <c r="C58" s="78">
        <v>30</v>
      </c>
      <c r="D58" s="78" t="s">
        <v>65</v>
      </c>
      <c r="E58" s="113">
        <f t="shared" si="2"/>
        <v>38078</v>
      </c>
      <c r="F58" s="85">
        <v>22</v>
      </c>
      <c r="G58" s="84">
        <f t="shared" si="36"/>
        <v>8</v>
      </c>
      <c r="H58" s="84"/>
      <c r="I58" s="84"/>
      <c r="J58" s="78">
        <f t="shared" si="3"/>
        <v>30</v>
      </c>
      <c r="K58" s="149">
        <v>38078</v>
      </c>
      <c r="L58" s="508">
        <v>7.2673184464531013E-2</v>
      </c>
      <c r="M58" s="509">
        <v>6.6653487115140006E-2</v>
      </c>
      <c r="N58" s="132">
        <f t="shared" si="5"/>
        <v>0.74110906328764004</v>
      </c>
      <c r="O58" s="133">
        <f>VLOOKUP(K58,Inflation!$B$8:$C$266,2)</f>
        <v>1.1223765618708132</v>
      </c>
      <c r="P58" s="132"/>
      <c r="Q58" s="134">
        <f>VLOOKUP(K58,'Fuel Curve'!$B$11:$F$268,5)</f>
        <v>4.4448275862068964</v>
      </c>
      <c r="R58" s="238">
        <f>VLOOKUP(K58,'Fuel Curve Simulation'!$B$12:$J$258,9)</f>
        <v>4.4448275862068964</v>
      </c>
      <c r="S58" s="134">
        <f t="shared" si="6"/>
        <v>42.57700344827586</v>
      </c>
      <c r="T58" s="136"/>
      <c r="V58" s="135">
        <f>VLOOKUP(K58,PJM_01212000!$A$7:$C$259,3)</f>
        <v>26.325000762939453</v>
      </c>
      <c r="W58" s="486"/>
      <c r="X58" s="118">
        <f>'PJM Curve Simulation'!J58</f>
        <v>26.325000762939453</v>
      </c>
      <c r="Y58" s="512"/>
      <c r="Z58" s="137"/>
      <c r="AA58" s="78">
        <f t="shared" si="9"/>
        <v>315</v>
      </c>
      <c r="AB58" s="85">
        <f t="shared" si="10"/>
        <v>110880</v>
      </c>
      <c r="AC58" s="85">
        <f>VLOOKUP(K58,'Company Volumes'!$B$20:$C$259,2)</f>
        <v>9712.4023690555532</v>
      </c>
      <c r="AD58" s="153">
        <f t="shared" si="11"/>
        <v>0</v>
      </c>
      <c r="AE58" s="150"/>
      <c r="AF58" s="150">
        <v>0</v>
      </c>
      <c r="AG58" s="150">
        <v>0</v>
      </c>
      <c r="AH58" s="150">
        <f t="shared" si="12"/>
        <v>0</v>
      </c>
      <c r="AI58" s="150">
        <f t="shared" si="13"/>
        <v>0</v>
      </c>
      <c r="AJ58" s="150">
        <f t="shared" si="14"/>
        <v>0</v>
      </c>
      <c r="AK58" s="85">
        <f t="shared" si="15"/>
        <v>56118.828093540658</v>
      </c>
      <c r="AL58" s="85">
        <f t="shared" si="16"/>
        <v>143103.0116385287</v>
      </c>
      <c r="AM58" s="85">
        <f t="shared" si="17"/>
        <v>0</v>
      </c>
      <c r="AN58" s="85">
        <f t="shared" si="7"/>
        <v>128325.05357389631</v>
      </c>
      <c r="AO58" s="85">
        <f t="shared" si="18"/>
        <v>28059.414046770329</v>
      </c>
      <c r="AP58" s="85">
        <f t="shared" si="30"/>
        <v>46500.558215233643</v>
      </c>
      <c r="AQ58" s="84">
        <f t="shared" si="19"/>
        <v>402106.86556796962</v>
      </c>
      <c r="AR58" s="85">
        <f t="shared" si="20"/>
        <v>14029.707023385165</v>
      </c>
      <c r="AS58" s="84">
        <f t="shared" si="35"/>
        <v>30387.755000000001</v>
      </c>
      <c r="AT58" s="85">
        <f t="shared" si="21"/>
        <v>0</v>
      </c>
      <c r="AU58" s="84">
        <f t="shared" si="22"/>
        <v>446524.32759135484</v>
      </c>
      <c r="AV58" s="84">
        <f t="shared" si="8"/>
        <v>-446524.32759135484</v>
      </c>
      <c r="AW58" s="453"/>
      <c r="AX58" s="93">
        <f t="shared" si="4"/>
        <v>38078</v>
      </c>
      <c r="BA58" s="315"/>
      <c r="BB58" s="134">
        <f t="shared" si="23"/>
        <v>26.325000762939453</v>
      </c>
      <c r="BC58" s="134">
        <f>'Curve Analysis - Base Case'!D50</f>
        <v>44.821756572017485</v>
      </c>
      <c r="BD58" s="131">
        <f t="shared" si="24"/>
        <v>7.2673184464531013E-2</v>
      </c>
      <c r="BE58" s="131">
        <f t="shared" si="25"/>
        <v>7.2673184464531013E-2</v>
      </c>
      <c r="BF58" s="365">
        <f>PJM_01212000!X58</f>
        <v>0.1414512</v>
      </c>
      <c r="BG58" s="85">
        <f t="shared" si="26"/>
        <v>1504</v>
      </c>
      <c r="BH58" s="84">
        <f t="shared" si="27"/>
        <v>0</v>
      </c>
      <c r="BJ58" s="537">
        <f>_xll.EURO(BB58,BC58,BD58,BE58,BF58,BG58,1,0)*BH58</f>
        <v>0</v>
      </c>
      <c r="BK58" s="84">
        <f t="shared" si="28"/>
        <v>0</v>
      </c>
      <c r="BM58" s="84">
        <f t="shared" si="29"/>
        <v>0</v>
      </c>
    </row>
    <row r="59" spans="1:65">
      <c r="A59" s="78">
        <f t="shared" si="1"/>
        <v>53</v>
      </c>
      <c r="C59" s="78">
        <v>31</v>
      </c>
      <c r="D59" s="78" t="s">
        <v>38</v>
      </c>
      <c r="E59" s="113">
        <f t="shared" si="2"/>
        <v>38108</v>
      </c>
      <c r="F59" s="85">
        <v>21</v>
      </c>
      <c r="G59" s="84">
        <f t="shared" si="36"/>
        <v>10</v>
      </c>
      <c r="H59" s="84"/>
      <c r="I59" s="84"/>
      <c r="J59" s="78">
        <f t="shared" si="3"/>
        <v>31</v>
      </c>
      <c r="K59" s="149">
        <v>38108</v>
      </c>
      <c r="L59" s="508">
        <v>7.2730126686808005E-2</v>
      </c>
      <c r="M59" s="509">
        <v>6.6684814520984001E-2</v>
      </c>
      <c r="N59" s="132">
        <f t="shared" si="5"/>
        <v>0.73660332252317651</v>
      </c>
      <c r="O59" s="133">
        <f>VLOOKUP(K59,Inflation!$B$8:$C$266,2)</f>
        <v>1.1248711866517742</v>
      </c>
      <c r="P59" s="132"/>
      <c r="Q59" s="134">
        <f>VLOOKUP(K59,'Fuel Curve'!$B$11:$F$268,5)</f>
        <v>4.3715517241379311</v>
      </c>
      <c r="R59" s="238">
        <f>VLOOKUP(K59,'Fuel Curve Simulation'!$B$12:$J$258,9)</f>
        <v>4.3715517241379311</v>
      </c>
      <c r="S59" s="134">
        <f t="shared" si="6"/>
        <v>41.875093965517237</v>
      </c>
      <c r="T59" s="136"/>
      <c r="V59" s="135">
        <f>VLOOKUP(K59,PJM_01212000!$A$7:$C$259,3)</f>
        <v>31.324999999999999</v>
      </c>
      <c r="W59" s="486"/>
      <c r="X59" s="118">
        <f>'PJM Curve Simulation'!J59</f>
        <v>31.324999999999999</v>
      </c>
      <c r="Y59" s="512"/>
      <c r="Z59" s="137"/>
      <c r="AA59" s="78">
        <f t="shared" si="9"/>
        <v>315</v>
      </c>
      <c r="AB59" s="85">
        <f t="shared" si="10"/>
        <v>105840</v>
      </c>
      <c r="AC59" s="85">
        <f>VLOOKUP(K59,'Company Volumes'!$B$20:$C$259,2)</f>
        <v>17254.389406809329</v>
      </c>
      <c r="AD59" s="153">
        <f t="shared" si="11"/>
        <v>0</v>
      </c>
      <c r="AE59" s="150"/>
      <c r="AF59" s="150">
        <v>0</v>
      </c>
      <c r="AG59" s="150">
        <v>0</v>
      </c>
      <c r="AH59" s="150">
        <f t="shared" si="12"/>
        <v>0</v>
      </c>
      <c r="AI59" s="150">
        <f t="shared" si="13"/>
        <v>0</v>
      </c>
      <c r="AJ59" s="150">
        <f t="shared" si="14"/>
        <v>0</v>
      </c>
      <c r="AK59" s="85">
        <f t="shared" si="15"/>
        <v>56243.559332588709</v>
      </c>
      <c r="AL59" s="85">
        <f t="shared" si="16"/>
        <v>143421.07629810119</v>
      </c>
      <c r="AM59" s="85">
        <f t="shared" si="17"/>
        <v>0</v>
      </c>
      <c r="AN59" s="85">
        <f t="shared" si="7"/>
        <v>128610.27234051951</v>
      </c>
      <c r="AO59" s="85">
        <f t="shared" si="18"/>
        <v>28121.779666294355</v>
      </c>
      <c r="AP59" s="85">
        <f t="shared" si="30"/>
        <v>46500.558215233643</v>
      </c>
      <c r="AQ59" s="84">
        <f t="shared" si="19"/>
        <v>402897.24585273745</v>
      </c>
      <c r="AR59" s="85">
        <f t="shared" si="20"/>
        <v>14060.889833147177</v>
      </c>
      <c r="AS59" s="84">
        <f t="shared" si="35"/>
        <v>30387.755000000001</v>
      </c>
      <c r="AT59" s="85">
        <f t="shared" si="21"/>
        <v>0</v>
      </c>
      <c r="AU59" s="84">
        <f t="shared" si="22"/>
        <v>447345.89068588463</v>
      </c>
      <c r="AV59" s="84">
        <f t="shared" si="8"/>
        <v>-447345.89068588463</v>
      </c>
      <c r="AW59" s="453"/>
      <c r="AX59" s="93">
        <f t="shared" si="4"/>
        <v>38108</v>
      </c>
      <c r="BA59" s="315"/>
      <c r="BB59" s="134">
        <f t="shared" si="23"/>
        <v>31.324999999999999</v>
      </c>
      <c r="BC59" s="134">
        <f>'Curve Analysis - Base Case'!D51</f>
        <v>44.124836338820785</v>
      </c>
      <c r="BD59" s="131">
        <f t="shared" si="24"/>
        <v>7.2730126686808005E-2</v>
      </c>
      <c r="BE59" s="131">
        <f t="shared" si="25"/>
        <v>7.2730126686808005E-2</v>
      </c>
      <c r="BF59" s="365">
        <f>PJM_01212000!X59</f>
        <v>0.15634079999999997</v>
      </c>
      <c r="BG59" s="85">
        <f t="shared" si="26"/>
        <v>1534</v>
      </c>
      <c r="BH59" s="84">
        <f t="shared" si="27"/>
        <v>0</v>
      </c>
      <c r="BJ59" s="537">
        <f>_xll.EURO(BB59,BC59,BD59,BE59,BF59,BG59,1,0)*BH59</f>
        <v>0</v>
      </c>
      <c r="BK59" s="84">
        <f t="shared" si="28"/>
        <v>0</v>
      </c>
      <c r="BM59" s="84">
        <f t="shared" si="29"/>
        <v>0</v>
      </c>
    </row>
    <row r="60" spans="1:65">
      <c r="A60" s="78">
        <f t="shared" si="1"/>
        <v>54</v>
      </c>
      <c r="C60" s="78">
        <v>30</v>
      </c>
      <c r="D60" s="78" t="s">
        <v>66</v>
      </c>
      <c r="E60" s="113">
        <f t="shared" si="2"/>
        <v>38139</v>
      </c>
      <c r="F60" s="85">
        <v>22</v>
      </c>
      <c r="G60" s="84">
        <f t="shared" si="36"/>
        <v>8</v>
      </c>
      <c r="H60" s="84"/>
      <c r="I60" s="84"/>
      <c r="J60" s="78">
        <f t="shared" si="3"/>
        <v>30</v>
      </c>
      <c r="K60" s="149">
        <v>38139</v>
      </c>
      <c r="L60" s="508">
        <v>7.2788966984285011E-2</v>
      </c>
      <c r="M60" s="509">
        <v>6.6717186180860005E-2</v>
      </c>
      <c r="N60" s="132">
        <f t="shared" si="5"/>
        <v>0.73196923140271486</v>
      </c>
      <c r="O60" s="133">
        <f>VLOOKUP(K60,Inflation!$B$8:$C$266,2)</f>
        <v>1.1273713560538623</v>
      </c>
      <c r="P60" s="132"/>
      <c r="Q60" s="134">
        <f>VLOOKUP(K60,'Fuel Curve'!$B$11:$F$268,5)</f>
        <v>4.3606896551724148</v>
      </c>
      <c r="R60" s="238">
        <f>VLOOKUP(K60,'Fuel Curve Simulation'!$B$12:$J$258,9)</f>
        <v>4.3606896551724148</v>
      </c>
      <c r="S60" s="134">
        <f t="shared" si="6"/>
        <v>41.771046206896564</v>
      </c>
      <c r="T60" s="136"/>
      <c r="V60" s="135">
        <f>VLOOKUP(K60,PJM_01212000!$A$7:$C$259,3)</f>
        <v>55.599998474121094</v>
      </c>
      <c r="W60" s="486"/>
      <c r="X60" s="118">
        <f>'PJM Curve Simulation'!J60</f>
        <v>55.599998474121094</v>
      </c>
      <c r="Y60" s="512"/>
      <c r="Z60" s="137"/>
      <c r="AA60" s="78">
        <f t="shared" si="9"/>
        <v>315</v>
      </c>
      <c r="AB60" s="85">
        <f t="shared" si="10"/>
        <v>110880</v>
      </c>
      <c r="AC60" s="85">
        <f>VLOOKUP(K60,'Company Volumes'!$B$20:$C$259,2)</f>
        <v>33059.526153552884</v>
      </c>
      <c r="AD60" s="153">
        <f t="shared" si="11"/>
        <v>110880</v>
      </c>
      <c r="AE60" s="150"/>
      <c r="AF60" s="150">
        <v>0</v>
      </c>
      <c r="AG60" s="150">
        <v>0</v>
      </c>
      <c r="AH60" s="150">
        <f t="shared" si="12"/>
        <v>6164927.8308105469</v>
      </c>
      <c r="AI60" s="150">
        <f t="shared" si="13"/>
        <v>6164927.8308105469</v>
      </c>
      <c r="AJ60" s="150">
        <f t="shared" si="14"/>
        <v>4631573.6034206906</v>
      </c>
      <c r="AK60" s="85">
        <f t="shared" si="15"/>
        <v>56368.567802693113</v>
      </c>
      <c r="AL60" s="85">
        <f t="shared" si="16"/>
        <v>143739.84789686746</v>
      </c>
      <c r="AM60" s="85">
        <f t="shared" si="17"/>
        <v>250005.8719185045</v>
      </c>
      <c r="AN60" s="85">
        <f t="shared" si="7"/>
        <v>128896.12504215825</v>
      </c>
      <c r="AO60" s="85">
        <f t="shared" si="18"/>
        <v>28184.283901346556</v>
      </c>
      <c r="AP60" s="85">
        <f t="shared" si="30"/>
        <v>46500.558215233643</v>
      </c>
      <c r="AQ60" s="84">
        <f t="shared" si="19"/>
        <v>653695.25477680343</v>
      </c>
      <c r="AR60" s="85">
        <f t="shared" si="20"/>
        <v>14092.141950673278</v>
      </c>
      <c r="AS60" s="84">
        <f t="shared" si="35"/>
        <v>30387.755000000001</v>
      </c>
      <c r="AT60" s="85">
        <f t="shared" si="21"/>
        <v>41700.978291570485</v>
      </c>
      <c r="AU60" s="84">
        <f t="shared" si="22"/>
        <v>5371449.733439737</v>
      </c>
      <c r="AV60" s="84">
        <f t="shared" si="8"/>
        <v>793478.09737080988</v>
      </c>
      <c r="AW60" s="453"/>
      <c r="AX60" s="93">
        <f t="shared" si="4"/>
        <v>38139</v>
      </c>
      <c r="BA60" s="315"/>
      <c r="BB60" s="134">
        <f t="shared" si="23"/>
        <v>55.599998474121094</v>
      </c>
      <c r="BC60" s="134">
        <f>'Curve Analysis - Base Case'!D52</f>
        <v>44.025788919004292</v>
      </c>
      <c r="BD60" s="131">
        <f t="shared" si="24"/>
        <v>7.2788966984285011E-2</v>
      </c>
      <c r="BE60" s="131">
        <f t="shared" si="25"/>
        <v>7.2788966984285011E-2</v>
      </c>
      <c r="BF60" s="365">
        <f>PJM_01212000!X60</f>
        <v>0.20100959999999998</v>
      </c>
      <c r="BG60" s="85">
        <f t="shared" si="26"/>
        <v>1565</v>
      </c>
      <c r="BH60" s="84">
        <f t="shared" si="27"/>
        <v>110880</v>
      </c>
      <c r="BJ60" s="537">
        <f>_xll.EURO(BB60,BC60,BD60,BE60,BF60,BG60,1,0)*BH60</f>
        <v>1236263.0112926504</v>
      </c>
      <c r="BK60" s="84">
        <f t="shared" si="28"/>
        <v>1122368.1152906567</v>
      </c>
      <c r="BM60" s="84">
        <f t="shared" si="29"/>
        <v>113894.89600199368</v>
      </c>
    </row>
    <row r="61" spans="1:65">
      <c r="A61" s="78">
        <f t="shared" si="1"/>
        <v>55</v>
      </c>
      <c r="C61" s="78">
        <v>31</v>
      </c>
      <c r="D61" s="78" t="s">
        <v>67</v>
      </c>
      <c r="E61" s="113">
        <f t="shared" si="2"/>
        <v>38169</v>
      </c>
      <c r="F61" s="85">
        <v>22</v>
      </c>
      <c r="G61" s="84">
        <f t="shared" si="36"/>
        <v>9</v>
      </c>
      <c r="H61" s="84"/>
      <c r="I61" s="84"/>
      <c r="J61" s="78">
        <f t="shared" si="3"/>
        <v>31</v>
      </c>
      <c r="K61" s="149">
        <v>38169</v>
      </c>
      <c r="L61" s="508">
        <v>7.2845909208738999E-2</v>
      </c>
      <c r="M61" s="509">
        <v>6.674851360058201E-2</v>
      </c>
      <c r="N61" s="132">
        <f t="shared" si="5"/>
        <v>0.72750571660407293</v>
      </c>
      <c r="O61" s="133">
        <f>VLOOKUP(K61,Inflation!$B$8:$C$266,2)</f>
        <v>1.1298770824007041</v>
      </c>
      <c r="P61" s="132"/>
      <c r="Q61" s="134">
        <f>VLOOKUP(K61,'Fuel Curve'!$B$11:$F$268,5)</f>
        <v>4.4113793103448282</v>
      </c>
      <c r="R61" s="238">
        <f>VLOOKUP(K61,'Fuel Curve Simulation'!$B$12:$J$258,9)</f>
        <v>4.4113793103448282</v>
      </c>
      <c r="S61" s="134">
        <f t="shared" si="6"/>
        <v>42.256602413793111</v>
      </c>
      <c r="T61" s="136"/>
      <c r="V61" s="135">
        <f>VLOOKUP(K61,PJM_01212000!$A$7:$C$259,3)</f>
        <v>94.449996948242188</v>
      </c>
      <c r="W61" s="486"/>
      <c r="X61" s="118">
        <f>'PJM Curve Simulation'!J61</f>
        <v>94.449996948242188</v>
      </c>
      <c r="Y61" s="512"/>
      <c r="Z61" s="137"/>
      <c r="AA61" s="78">
        <f t="shared" si="9"/>
        <v>315</v>
      </c>
      <c r="AB61" s="85">
        <f t="shared" si="10"/>
        <v>110880</v>
      </c>
      <c r="AC61" s="85">
        <f>VLOOKUP(K61,'Company Volumes'!$B$20:$C$259,2)</f>
        <v>52080.594725612435</v>
      </c>
      <c r="AD61" s="153">
        <f t="shared" si="11"/>
        <v>110880</v>
      </c>
      <c r="AE61" s="150"/>
      <c r="AF61" s="150">
        <v>0</v>
      </c>
      <c r="AG61" s="150">
        <v>0</v>
      </c>
      <c r="AH61" s="150">
        <f t="shared" si="12"/>
        <v>10472615.661621094</v>
      </c>
      <c r="AI61" s="150">
        <f t="shared" si="13"/>
        <v>10472615.661621094</v>
      </c>
      <c r="AJ61" s="150">
        <f t="shared" si="14"/>
        <v>4685412.0756413797</v>
      </c>
      <c r="AK61" s="85">
        <f t="shared" si="15"/>
        <v>56493.854120035197</v>
      </c>
      <c r="AL61" s="85">
        <f t="shared" si="16"/>
        <v>144059.32800608975</v>
      </c>
      <c r="AM61" s="85">
        <f t="shared" si="17"/>
        <v>250561.54179318013</v>
      </c>
      <c r="AN61" s="85">
        <f t="shared" si="7"/>
        <v>129182.61308781385</v>
      </c>
      <c r="AO61" s="85">
        <f t="shared" si="18"/>
        <v>28246.927060017599</v>
      </c>
      <c r="AP61" s="85">
        <f t="shared" si="30"/>
        <v>46500.558215233643</v>
      </c>
      <c r="AQ61" s="84">
        <f t="shared" si="19"/>
        <v>655044.82228237018</v>
      </c>
      <c r="AR61" s="85">
        <f t="shared" si="20"/>
        <v>14123.463530008799</v>
      </c>
      <c r="AS61" s="84">
        <f t="shared" si="35"/>
        <v>30387.755000000001</v>
      </c>
      <c r="AT61" s="85">
        <f t="shared" si="21"/>
        <v>70996.610573138169</v>
      </c>
      <c r="AU61" s="84">
        <f t="shared" si="22"/>
        <v>5455964.7270268966</v>
      </c>
      <c r="AV61" s="84">
        <f t="shared" si="8"/>
        <v>5016650.9345941972</v>
      </c>
      <c r="AW61" s="453"/>
      <c r="AX61" s="93">
        <f t="shared" si="4"/>
        <v>38169</v>
      </c>
      <c r="BA61" s="315"/>
      <c r="BB61" s="134">
        <f t="shared" si="23"/>
        <v>94.449996948242188</v>
      </c>
      <c r="BC61" s="134">
        <f>'Curve Analysis - Base Case'!D53</f>
        <v>44.516356578594518</v>
      </c>
      <c r="BD61" s="131">
        <f t="shared" si="24"/>
        <v>7.2845909208738999E-2</v>
      </c>
      <c r="BE61" s="131">
        <f t="shared" si="25"/>
        <v>7.2845909208738999E-2</v>
      </c>
      <c r="BF61" s="365">
        <f>PJM_01212000!X61</f>
        <v>0.24567839999999999</v>
      </c>
      <c r="BG61" s="85">
        <f t="shared" si="26"/>
        <v>1595</v>
      </c>
      <c r="BH61" s="84">
        <f t="shared" si="27"/>
        <v>110880</v>
      </c>
      <c r="BJ61" s="537">
        <f>_xll.EURO(BB61,BC61,BD61,BE61,BF61,BG61,1,0)*BH61</f>
        <v>4111213.4320069086</v>
      </c>
      <c r="BK61" s="84">
        <f t="shared" si="28"/>
        <v>4210223.6919518327</v>
      </c>
      <c r="BM61" s="84">
        <f t="shared" si="29"/>
        <v>-99010.259944924153</v>
      </c>
    </row>
    <row r="62" spans="1:65">
      <c r="A62" s="78">
        <f t="shared" si="1"/>
        <v>56</v>
      </c>
      <c r="C62" s="78">
        <v>31</v>
      </c>
      <c r="D62" s="78" t="s">
        <v>68</v>
      </c>
      <c r="E62" s="113">
        <f t="shared" si="2"/>
        <v>38200</v>
      </c>
      <c r="F62" s="85">
        <v>22</v>
      </c>
      <c r="G62" s="84">
        <f t="shared" si="36"/>
        <v>9</v>
      </c>
      <c r="H62" s="84"/>
      <c r="I62" s="84"/>
      <c r="J62" s="78">
        <f t="shared" si="3"/>
        <v>31</v>
      </c>
      <c r="K62" s="149">
        <v>38200</v>
      </c>
      <c r="L62" s="508">
        <v>7.2904749508467023E-2</v>
      </c>
      <c r="M62" s="509">
        <v>6.6780885274799001E-2</v>
      </c>
      <c r="N62" s="132">
        <f t="shared" si="5"/>
        <v>0.722915161120814</v>
      </c>
      <c r="O62" s="133">
        <f>VLOOKUP(K62,Inflation!$B$8:$C$266,2)</f>
        <v>1.1323883780433164</v>
      </c>
      <c r="P62" s="132"/>
      <c r="Q62" s="134">
        <f>VLOOKUP(K62,'Fuel Curve'!$B$11:$F$268,5)</f>
        <v>4.4962068965517243</v>
      </c>
      <c r="R62" s="238">
        <f>VLOOKUP(K62,'Fuel Curve Simulation'!$B$12:$J$258,9)</f>
        <v>4.4962068965517243</v>
      </c>
      <c r="S62" s="134">
        <f t="shared" si="6"/>
        <v>43.069165862068971</v>
      </c>
      <c r="T62" s="136"/>
      <c r="V62" s="135">
        <f>VLOOKUP(K62,PJM_01212000!$A$7:$C$259,3)</f>
        <v>81.449996948242188</v>
      </c>
      <c r="W62" s="486"/>
      <c r="X62" s="118">
        <f>'PJM Curve Simulation'!J62</f>
        <v>81.449996948242188</v>
      </c>
      <c r="Y62" s="512"/>
      <c r="Z62" s="137"/>
      <c r="AA62" s="78">
        <f t="shared" si="9"/>
        <v>315</v>
      </c>
      <c r="AB62" s="85">
        <f t="shared" si="10"/>
        <v>110880</v>
      </c>
      <c r="AC62" s="85">
        <f>VLOOKUP(K62,'Company Volumes'!$B$20:$C$259,2)</f>
        <v>34720.396483412878</v>
      </c>
      <c r="AD62" s="153">
        <f t="shared" si="11"/>
        <v>110880</v>
      </c>
      <c r="AE62" s="150"/>
      <c r="AF62" s="150">
        <v>0</v>
      </c>
      <c r="AG62" s="150">
        <v>0</v>
      </c>
      <c r="AH62" s="150">
        <f t="shared" si="12"/>
        <v>9031175.6616210938</v>
      </c>
      <c r="AI62" s="150">
        <f t="shared" si="13"/>
        <v>9031175.6616210938</v>
      </c>
      <c r="AJ62" s="150">
        <f t="shared" si="14"/>
        <v>4775509.110786207</v>
      </c>
      <c r="AK62" s="85">
        <f t="shared" si="15"/>
        <v>56619.418902165817</v>
      </c>
      <c r="AL62" s="85">
        <f t="shared" si="16"/>
        <v>144379.51820052284</v>
      </c>
      <c r="AM62" s="85">
        <f t="shared" si="17"/>
        <v>251118.44671488585</v>
      </c>
      <c r="AN62" s="85">
        <f t="shared" si="7"/>
        <v>129469.73788961917</v>
      </c>
      <c r="AO62" s="85">
        <f t="shared" si="18"/>
        <v>28309.709451082908</v>
      </c>
      <c r="AP62" s="85">
        <f t="shared" si="30"/>
        <v>46500.558215233643</v>
      </c>
      <c r="AQ62" s="84">
        <f t="shared" si="19"/>
        <v>656397.38937351014</v>
      </c>
      <c r="AR62" s="85">
        <f t="shared" si="20"/>
        <v>14154.854725541454</v>
      </c>
      <c r="AS62" s="84">
        <f t="shared" si="35"/>
        <v>30387.755000000001</v>
      </c>
      <c r="AT62" s="85">
        <f t="shared" si="21"/>
        <v>61360.790155724309</v>
      </c>
      <c r="AU62" s="84">
        <f t="shared" si="22"/>
        <v>5537809.9000409842</v>
      </c>
      <c r="AV62" s="84">
        <f t="shared" si="8"/>
        <v>3493365.7615801096</v>
      </c>
      <c r="AW62" s="453"/>
      <c r="AX62" s="93">
        <f t="shared" si="4"/>
        <v>38200</v>
      </c>
      <c r="BA62" s="315"/>
      <c r="BB62" s="134">
        <f t="shared" si="23"/>
        <v>81.449996948242188</v>
      </c>
      <c r="BC62" s="134">
        <f>'Curve Analysis - Base Case'!D54</f>
        <v>45.333942618155604</v>
      </c>
      <c r="BD62" s="131">
        <f t="shared" si="24"/>
        <v>7.2904749508467023E-2</v>
      </c>
      <c r="BE62" s="131">
        <f t="shared" si="25"/>
        <v>7.2904749508467023E-2</v>
      </c>
      <c r="BF62" s="365">
        <f>PJM_01212000!X62</f>
        <v>0.24567839999999999</v>
      </c>
      <c r="BG62" s="85">
        <f t="shared" si="26"/>
        <v>1626</v>
      </c>
      <c r="BH62" s="84">
        <f t="shared" si="27"/>
        <v>110880</v>
      </c>
      <c r="BJ62" s="537">
        <f>_xll.EURO(BB62,BC62,BD62,BE62,BF62,BG62,1,0)*BH62</f>
        <v>3054201.1531114299</v>
      </c>
      <c r="BK62" s="84">
        <f t="shared" si="28"/>
        <v>3076485.8702732609</v>
      </c>
      <c r="BM62" s="84">
        <f t="shared" si="29"/>
        <v>-22284.71716183098</v>
      </c>
    </row>
    <row r="63" spans="1:65">
      <c r="A63" s="78">
        <f t="shared" si="1"/>
        <v>57</v>
      </c>
      <c r="C63" s="78">
        <v>30</v>
      </c>
      <c r="D63" s="78" t="s">
        <v>69</v>
      </c>
      <c r="E63" s="113">
        <f t="shared" si="2"/>
        <v>38231</v>
      </c>
      <c r="F63" s="85">
        <v>22</v>
      </c>
      <c r="G63" s="84">
        <f t="shared" si="36"/>
        <v>8</v>
      </c>
      <c r="H63" s="84"/>
      <c r="I63" s="84"/>
      <c r="J63" s="78">
        <f t="shared" si="3"/>
        <v>30</v>
      </c>
      <c r="K63" s="149">
        <v>38231</v>
      </c>
      <c r="L63" s="508">
        <v>7.2963589809337009E-2</v>
      </c>
      <c r="M63" s="509">
        <v>6.6642323666139994E-2</v>
      </c>
      <c r="N63" s="132">
        <f t="shared" si="5"/>
        <v>0.71834665474593562</v>
      </c>
      <c r="O63" s="133">
        <f>VLOOKUP(K63,Inflation!$B$8:$C$266,2)</f>
        <v>1.1349052553601684</v>
      </c>
      <c r="P63" s="132"/>
      <c r="Q63" s="134">
        <f>VLOOKUP(K63,'Fuel Curve'!$B$11:$F$268,5)</f>
        <v>4.5860344827586212</v>
      </c>
      <c r="R63" s="238">
        <f>VLOOKUP(K63,'Fuel Curve Simulation'!$B$12:$J$258,9)</f>
        <v>4.5860344827586212</v>
      </c>
      <c r="S63" s="134">
        <f t="shared" si="6"/>
        <v>43.929624310344835</v>
      </c>
      <c r="T63" s="136"/>
      <c r="V63" s="135">
        <f>VLOOKUP(K63,PJM_01212000!$A$7:$C$259,3)</f>
        <v>33.424998474121097</v>
      </c>
      <c r="W63" s="486"/>
      <c r="X63" s="118">
        <f>'PJM Curve Simulation'!J63</f>
        <v>33.424998474121097</v>
      </c>
      <c r="Y63" s="512"/>
      <c r="Z63" s="137"/>
      <c r="AA63" s="78">
        <f t="shared" si="9"/>
        <v>315</v>
      </c>
      <c r="AB63" s="85">
        <f t="shared" si="10"/>
        <v>110880</v>
      </c>
      <c r="AC63" s="85">
        <f>VLOOKUP(K63,'Company Volumes'!$B$20:$C$259,2)</f>
        <v>21088.698163549328</v>
      </c>
      <c r="AD63" s="153">
        <f t="shared" si="11"/>
        <v>0</v>
      </c>
      <c r="AE63" s="150"/>
      <c r="AF63" s="150">
        <v>0</v>
      </c>
      <c r="AG63" s="150">
        <v>0</v>
      </c>
      <c r="AH63" s="150">
        <f t="shared" si="12"/>
        <v>0</v>
      </c>
      <c r="AI63" s="150">
        <f t="shared" si="13"/>
        <v>0</v>
      </c>
      <c r="AJ63" s="150">
        <f t="shared" si="14"/>
        <v>0</v>
      </c>
      <c r="AK63" s="85">
        <f t="shared" si="15"/>
        <v>56745.262768008419</v>
      </c>
      <c r="AL63" s="85">
        <f t="shared" si="16"/>
        <v>144700.42005842147</v>
      </c>
      <c r="AM63" s="85">
        <f t="shared" si="17"/>
        <v>0</v>
      </c>
      <c r="AN63" s="85">
        <f t="shared" si="7"/>
        <v>129757.50086284592</v>
      </c>
      <c r="AO63" s="85">
        <f t="shared" si="18"/>
        <v>28372.631384004209</v>
      </c>
      <c r="AP63" s="85">
        <f t="shared" si="30"/>
        <v>46500.558215233643</v>
      </c>
      <c r="AQ63" s="84">
        <f t="shared" si="19"/>
        <v>406076.37328851363</v>
      </c>
      <c r="AR63" s="85">
        <f t="shared" si="20"/>
        <v>14186.315692002105</v>
      </c>
      <c r="AS63" s="84">
        <f t="shared" si="35"/>
        <v>30387.755000000001</v>
      </c>
      <c r="AT63" s="85">
        <f t="shared" si="21"/>
        <v>0</v>
      </c>
      <c r="AU63" s="84">
        <f t="shared" si="22"/>
        <v>450650.4439805157</v>
      </c>
      <c r="AV63" s="84">
        <f t="shared" si="8"/>
        <v>-450650.4439805157</v>
      </c>
      <c r="AW63" s="453"/>
      <c r="AX63" s="93">
        <f t="shared" si="4"/>
        <v>38231</v>
      </c>
      <c r="BA63" s="315"/>
      <c r="BB63" s="134">
        <f t="shared" si="23"/>
        <v>33.424998474121097</v>
      </c>
      <c r="BC63" s="134">
        <f>'Curve Analysis - Base Case'!D55</f>
        <v>46.199434821065168</v>
      </c>
      <c r="BD63" s="131">
        <f t="shared" si="24"/>
        <v>7.2963589809337009E-2</v>
      </c>
      <c r="BE63" s="131">
        <f t="shared" si="25"/>
        <v>7.2963589809337009E-2</v>
      </c>
      <c r="BF63" s="365">
        <f>PJM_01212000!X63</f>
        <v>0.15791999999999998</v>
      </c>
      <c r="BG63" s="85">
        <f t="shared" si="26"/>
        <v>1657</v>
      </c>
      <c r="BH63" s="84">
        <f t="shared" si="27"/>
        <v>0</v>
      </c>
      <c r="BJ63" s="537">
        <f>_xll.EURO(BB63,BC63,BD63,BE63,BF63,BG63,1,0)*BH63</f>
        <v>0</v>
      </c>
      <c r="BK63" s="84">
        <f t="shared" si="28"/>
        <v>0</v>
      </c>
      <c r="BM63" s="84">
        <f t="shared" si="29"/>
        <v>0</v>
      </c>
    </row>
    <row r="64" spans="1:65">
      <c r="A64" s="78">
        <f t="shared" si="1"/>
        <v>58</v>
      </c>
      <c r="C64" s="78">
        <v>31</v>
      </c>
      <c r="D64" s="78" t="s">
        <v>70</v>
      </c>
      <c r="E64" s="113">
        <f t="shared" si="2"/>
        <v>38261</v>
      </c>
      <c r="F64" s="85">
        <v>21</v>
      </c>
      <c r="G64" s="84">
        <f t="shared" si="36"/>
        <v>10</v>
      </c>
      <c r="H64" s="84"/>
      <c r="I64" s="84"/>
      <c r="J64" s="78">
        <f t="shared" si="3"/>
        <v>31</v>
      </c>
      <c r="K64" s="149">
        <v>38261</v>
      </c>
      <c r="L64" s="508">
        <v>7.3020532037074995E-2</v>
      </c>
      <c r="M64" s="509">
        <v>6.6372004516924016E-2</v>
      </c>
      <c r="N64" s="132">
        <f t="shared" si="5"/>
        <v>0.71394646487506941</v>
      </c>
      <c r="O64" s="133">
        <f>VLOOKUP(K64,Inflation!$B$8:$C$266,2)</f>
        <v>1.137427726757241</v>
      </c>
      <c r="P64" s="132"/>
      <c r="Q64" s="134">
        <f>VLOOKUP(K64,'Fuel Curve'!$B$11:$F$268,5)</f>
        <v>4.6729310344827599</v>
      </c>
      <c r="R64" s="238">
        <f>VLOOKUP(K64,'Fuel Curve Simulation'!$B$12:$J$258,9)</f>
        <v>4.6729310344827599</v>
      </c>
      <c r="S64" s="134">
        <f t="shared" si="6"/>
        <v>44.762006379310357</v>
      </c>
      <c r="T64" s="136"/>
      <c r="V64" s="135">
        <f>VLOOKUP(K64,PJM_01212000!$A$7:$C$259,3)</f>
        <v>27.075000381469728</v>
      </c>
      <c r="W64" s="486"/>
      <c r="X64" s="118">
        <f>'PJM Curve Simulation'!J64</f>
        <v>27.075000381469728</v>
      </c>
      <c r="Y64" s="512"/>
      <c r="Z64" s="137"/>
      <c r="AA64" s="78">
        <f t="shared" si="9"/>
        <v>315</v>
      </c>
      <c r="AB64" s="85">
        <f t="shared" si="10"/>
        <v>105840</v>
      </c>
      <c r="AC64" s="85">
        <f>VLOOKUP(K64,'Company Volumes'!$B$20:$C$259,2)</f>
        <v>3729.7611841839989</v>
      </c>
      <c r="AD64" s="153">
        <f t="shared" si="11"/>
        <v>0</v>
      </c>
      <c r="AE64" s="150"/>
      <c r="AF64" s="150">
        <v>0</v>
      </c>
      <c r="AG64" s="150">
        <v>0</v>
      </c>
      <c r="AH64" s="150">
        <f t="shared" si="12"/>
        <v>0</v>
      </c>
      <c r="AI64" s="150">
        <f t="shared" si="13"/>
        <v>0</v>
      </c>
      <c r="AJ64" s="150">
        <f t="shared" si="14"/>
        <v>0</v>
      </c>
      <c r="AK64" s="85">
        <f t="shared" si="15"/>
        <v>56871.386337862052</v>
      </c>
      <c r="AL64" s="85">
        <f t="shared" si="16"/>
        <v>145022.03516154824</v>
      </c>
      <c r="AM64" s="85">
        <f t="shared" si="17"/>
        <v>0</v>
      </c>
      <c r="AN64" s="85">
        <f t="shared" si="7"/>
        <v>130045.90342591122</v>
      </c>
      <c r="AO64" s="85">
        <f t="shared" si="18"/>
        <v>28435.693168931026</v>
      </c>
      <c r="AP64" s="85">
        <f t="shared" si="30"/>
        <v>46500.558215233643</v>
      </c>
      <c r="AQ64" s="84">
        <f t="shared" si="19"/>
        <v>406875.57630948618</v>
      </c>
      <c r="AR64" s="85">
        <f t="shared" si="20"/>
        <v>14217.846584465513</v>
      </c>
      <c r="AS64" s="84">
        <f t="shared" si="35"/>
        <v>30387.755000000001</v>
      </c>
      <c r="AT64" s="85">
        <f t="shared" si="21"/>
        <v>0</v>
      </c>
      <c r="AU64" s="84">
        <f t="shared" si="22"/>
        <v>451481.17789395165</v>
      </c>
      <c r="AV64" s="84">
        <f t="shared" si="8"/>
        <v>-451481.17789395165</v>
      </c>
      <c r="AW64" s="453"/>
      <c r="AX64" s="93">
        <f t="shared" si="4"/>
        <v>38261</v>
      </c>
      <c r="BA64" s="315"/>
      <c r="BB64" s="134">
        <f t="shared" si="23"/>
        <v>27.075000381469728</v>
      </c>
      <c r="BC64" s="134">
        <f>'Curve Analysis - Base Case'!D56</f>
        <v>47.03686183282484</v>
      </c>
      <c r="BD64" s="131">
        <f t="shared" si="24"/>
        <v>7.3020532037074995E-2</v>
      </c>
      <c r="BE64" s="131">
        <f t="shared" si="25"/>
        <v>7.3020532037074995E-2</v>
      </c>
      <c r="BF64" s="365">
        <f>PJM_01212000!X64</f>
        <v>0.11167199999999998</v>
      </c>
      <c r="BG64" s="85">
        <f t="shared" si="26"/>
        <v>1687</v>
      </c>
      <c r="BH64" s="84">
        <f t="shared" si="27"/>
        <v>0</v>
      </c>
      <c r="BJ64" s="537">
        <f>_xll.EURO(BB64,BC64,BD64,BE64,BF64,BG64,1,0)*BH64</f>
        <v>0</v>
      </c>
      <c r="BK64" s="84">
        <f t="shared" si="28"/>
        <v>0</v>
      </c>
      <c r="BM64" s="84">
        <f t="shared" si="29"/>
        <v>0</v>
      </c>
    </row>
    <row r="65" spans="1:65">
      <c r="A65" s="78">
        <f t="shared" si="1"/>
        <v>59</v>
      </c>
      <c r="C65" s="78">
        <v>30</v>
      </c>
      <c r="D65" s="78" t="s">
        <v>71</v>
      </c>
      <c r="E65" s="113">
        <f t="shared" si="2"/>
        <v>38292</v>
      </c>
      <c r="F65" s="85">
        <v>22</v>
      </c>
      <c r="G65" s="84">
        <f t="shared" si="36"/>
        <v>8</v>
      </c>
      <c r="H65" s="84"/>
      <c r="I65" s="84"/>
      <c r="J65" s="78">
        <f t="shared" si="3"/>
        <v>30</v>
      </c>
      <c r="K65" s="149">
        <v>38292</v>
      </c>
      <c r="L65" s="508">
        <v>7.3079372340195015E-2</v>
      </c>
      <c r="M65" s="509">
        <v>6.6092675263390022E-2</v>
      </c>
      <c r="N65" s="132">
        <f t="shared" si="5"/>
        <v>0.70942119524404046</v>
      </c>
      <c r="O65" s="133">
        <f>VLOOKUP(K65,Inflation!$B$8:$C$266,2)</f>
        <v>1.1399558046680904</v>
      </c>
      <c r="P65" s="132"/>
      <c r="Q65" s="134">
        <f>VLOOKUP(K65,'Fuel Curve'!$B$11:$F$268,5)</f>
        <v>4.7568965517241377</v>
      </c>
      <c r="R65" s="238">
        <f>VLOOKUP(K65,'Fuel Curve Simulation'!$B$12:$J$258,9)</f>
        <v>4.7568965517241377</v>
      </c>
      <c r="S65" s="134">
        <f t="shared" si="6"/>
        <v>45.566312068965516</v>
      </c>
      <c r="T65" s="136"/>
      <c r="V65" s="135">
        <f>VLOOKUP(K65,PJM_01212000!$A$7:$C$259,3)</f>
        <v>26.747499084472658</v>
      </c>
      <c r="W65" s="486"/>
      <c r="X65" s="118">
        <f>'PJM Curve Simulation'!J65</f>
        <v>26.747499084472658</v>
      </c>
      <c r="Y65" s="512"/>
      <c r="Z65" s="137"/>
      <c r="AA65" s="78">
        <f t="shared" si="9"/>
        <v>315</v>
      </c>
      <c r="AB65" s="85">
        <f t="shared" si="10"/>
        <v>110880</v>
      </c>
      <c r="AC65" s="85">
        <f>VLOOKUP(K65,'Company Volumes'!$B$20:$C$259,2)</f>
        <v>8546.1761982333319</v>
      </c>
      <c r="AD65" s="153">
        <f t="shared" si="11"/>
        <v>0</v>
      </c>
      <c r="AE65" s="150"/>
      <c r="AF65" s="150">
        <v>0</v>
      </c>
      <c r="AG65" s="150">
        <v>0</v>
      </c>
      <c r="AH65" s="150">
        <f t="shared" si="12"/>
        <v>0</v>
      </c>
      <c r="AI65" s="150">
        <f t="shared" si="13"/>
        <v>0</v>
      </c>
      <c r="AJ65" s="150">
        <f t="shared" si="14"/>
        <v>0</v>
      </c>
      <c r="AK65" s="85">
        <f t="shared" si="15"/>
        <v>56997.790233404521</v>
      </c>
      <c r="AL65" s="85">
        <f t="shared" si="16"/>
        <v>145344.36509518154</v>
      </c>
      <c r="AM65" s="85">
        <f t="shared" si="17"/>
        <v>0</v>
      </c>
      <c r="AN65" s="85">
        <f t="shared" si="7"/>
        <v>130334.94700038501</v>
      </c>
      <c r="AO65" s="85">
        <f t="shared" si="18"/>
        <v>28498.895116702261</v>
      </c>
      <c r="AP65" s="85">
        <f t="shared" si="30"/>
        <v>46500.558215233643</v>
      </c>
      <c r="AQ65" s="84">
        <f t="shared" si="19"/>
        <v>407676.55566090695</v>
      </c>
      <c r="AR65" s="85">
        <f t="shared" si="20"/>
        <v>14249.44755835113</v>
      </c>
      <c r="AS65" s="84">
        <f t="shared" si="35"/>
        <v>30387.755000000001</v>
      </c>
      <c r="AT65" s="85">
        <f t="shared" si="21"/>
        <v>0</v>
      </c>
      <c r="AU65" s="84">
        <f t="shared" si="22"/>
        <v>452313.75821925804</v>
      </c>
      <c r="AV65" s="84">
        <f t="shared" si="8"/>
        <v>-452313.75821925804</v>
      </c>
      <c r="AW65" s="453"/>
      <c r="AX65" s="93">
        <f t="shared" si="4"/>
        <v>38292</v>
      </c>
      <c r="BA65" s="315"/>
      <c r="BB65" s="134">
        <f t="shared" si="23"/>
        <v>26.747499084472658</v>
      </c>
      <c r="BC65" s="134">
        <f>'Curve Analysis - Base Case'!D57</f>
        <v>47.846223678301698</v>
      </c>
      <c r="BD65" s="131">
        <f t="shared" si="24"/>
        <v>7.3079372340195015E-2</v>
      </c>
      <c r="BE65" s="131">
        <f t="shared" si="25"/>
        <v>7.3079372340195015E-2</v>
      </c>
      <c r="BF65" s="365">
        <f>PJM_01212000!X65</f>
        <v>0.11167199999999998</v>
      </c>
      <c r="BG65" s="85">
        <f t="shared" si="26"/>
        <v>1718</v>
      </c>
      <c r="BH65" s="84">
        <f t="shared" si="27"/>
        <v>0</v>
      </c>
      <c r="BJ65" s="537">
        <f>_xll.EURO(BB65,BC65,BD65,BE65,BF65,BG65,1,0)*BH65</f>
        <v>0</v>
      </c>
      <c r="BK65" s="84">
        <f t="shared" si="28"/>
        <v>0</v>
      </c>
      <c r="BM65" s="84">
        <f t="shared" si="29"/>
        <v>0</v>
      </c>
    </row>
    <row r="66" spans="1:65">
      <c r="A66" s="78">
        <f t="shared" si="1"/>
        <v>60</v>
      </c>
      <c r="C66" s="78">
        <v>31</v>
      </c>
      <c r="D66" s="78" t="s">
        <v>72</v>
      </c>
      <c r="E66" s="113">
        <f t="shared" si="2"/>
        <v>38322</v>
      </c>
      <c r="F66" s="85">
        <v>23</v>
      </c>
      <c r="G66" s="84">
        <f t="shared" si="36"/>
        <v>8</v>
      </c>
      <c r="H66" s="84">
        <f>SUM(F55:G66)</f>
        <v>366</v>
      </c>
      <c r="I66" s="84"/>
      <c r="J66" s="78">
        <f t="shared" si="3"/>
        <v>31</v>
      </c>
      <c r="K66" s="149">
        <v>38322</v>
      </c>
      <c r="L66" s="508">
        <v>7.3136314570109023E-2</v>
      </c>
      <c r="M66" s="509">
        <v>6.595969522742301E-2</v>
      </c>
      <c r="N66" s="132">
        <f t="shared" si="5"/>
        <v>0.70506275032547461</v>
      </c>
      <c r="O66" s="133">
        <f>VLOOKUP(K66,Inflation!$B$8:$C$266,2)</f>
        <v>1.1424895015539065</v>
      </c>
      <c r="P66" s="132"/>
      <c r="Q66" s="134">
        <f>VLOOKUP(K66,'Fuel Curve'!$B$11:$F$268,5)</f>
        <v>4.7951724137931047</v>
      </c>
      <c r="R66" s="238">
        <f>VLOOKUP(K66,'Fuel Curve Simulation'!$B$12:$J$258,9)</f>
        <v>4.7951724137931047</v>
      </c>
      <c r="S66" s="134">
        <f t="shared" si="6"/>
        <v>45.932956551724153</v>
      </c>
      <c r="T66" s="136"/>
      <c r="V66" s="135">
        <f>VLOOKUP(K66,PJM_01212000!$A$7:$C$259,3)</f>
        <v>28.499999618530275</v>
      </c>
      <c r="W66" s="486"/>
      <c r="X66" s="118">
        <f>'PJM Curve Simulation'!J66</f>
        <v>28.499999618530275</v>
      </c>
      <c r="Y66" s="512"/>
      <c r="Z66" s="137"/>
      <c r="AA66" s="78">
        <f t="shared" si="9"/>
        <v>315</v>
      </c>
      <c r="AB66" s="85">
        <f t="shared" si="10"/>
        <v>115920</v>
      </c>
      <c r="AC66" s="85">
        <f>VLOOKUP(K66,'Company Volumes'!$B$20:$C$259,2)</f>
        <v>8546.1761982333319</v>
      </c>
      <c r="AD66" s="153">
        <f t="shared" si="11"/>
        <v>0</v>
      </c>
      <c r="AE66" s="150"/>
      <c r="AF66" s="150">
        <v>0</v>
      </c>
      <c r="AG66" s="150">
        <v>0</v>
      </c>
      <c r="AH66" s="150">
        <f t="shared" si="12"/>
        <v>0</v>
      </c>
      <c r="AI66" s="150">
        <f t="shared" si="13"/>
        <v>0</v>
      </c>
      <c r="AJ66" s="150">
        <f t="shared" si="14"/>
        <v>0</v>
      </c>
      <c r="AK66" s="85">
        <f t="shared" si="15"/>
        <v>57124.475077695322</v>
      </c>
      <c r="AL66" s="85">
        <f t="shared" si="16"/>
        <v>145667.41144812308</v>
      </c>
      <c r="AM66" s="85">
        <f t="shared" si="17"/>
        <v>0</v>
      </c>
      <c r="AN66" s="85">
        <f t="shared" si="7"/>
        <v>130624.63301099664</v>
      </c>
      <c r="AO66" s="85">
        <f t="shared" si="18"/>
        <v>28562.237538847661</v>
      </c>
      <c r="AP66" s="85">
        <f t="shared" si="30"/>
        <v>46500.558215233643</v>
      </c>
      <c r="AQ66" s="84">
        <f t="shared" si="19"/>
        <v>408479.31529089634</v>
      </c>
      <c r="AR66" s="85">
        <f t="shared" si="20"/>
        <v>14281.118769423831</v>
      </c>
      <c r="AS66" s="84">
        <f t="shared" si="35"/>
        <v>30387.755000000001</v>
      </c>
      <c r="AT66" s="85">
        <f t="shared" si="21"/>
        <v>0</v>
      </c>
      <c r="AU66" s="84">
        <f t="shared" si="22"/>
        <v>453148.18906032015</v>
      </c>
      <c r="AV66" s="84">
        <f t="shared" si="8"/>
        <v>-453148.18906032015</v>
      </c>
      <c r="AW66" s="453"/>
      <c r="AX66" s="93">
        <f t="shared" si="4"/>
        <v>38322</v>
      </c>
      <c r="AY66" s="85">
        <f ca="1">'Debt Amortization'!L8</f>
        <v>3054181.1942652259</v>
      </c>
      <c r="AZ66" s="85">
        <f ca="1">AY66*N66</f>
        <v>2153389.3928209827</v>
      </c>
      <c r="BA66" s="315"/>
      <c r="BB66" s="134">
        <f t="shared" si="23"/>
        <v>28.499999618530275</v>
      </c>
      <c r="BC66" s="134">
        <f>'Curve Analysis - Base Case'!D58</f>
        <v>48.217935554831968</v>
      </c>
      <c r="BD66" s="131">
        <f t="shared" si="24"/>
        <v>7.3136314570109023E-2</v>
      </c>
      <c r="BE66" s="131">
        <f t="shared" si="25"/>
        <v>7.3136314570109023E-2</v>
      </c>
      <c r="BF66" s="365">
        <f>PJM_01212000!X66</f>
        <v>0.11167199999999998</v>
      </c>
      <c r="BG66" s="85">
        <f t="shared" si="26"/>
        <v>1748</v>
      </c>
      <c r="BH66" s="84">
        <f t="shared" si="27"/>
        <v>0</v>
      </c>
      <c r="BJ66" s="537">
        <f>_xll.EURO(BB66,BC66,BD66,BE66,BF66,BG66,1,0)*BH66</f>
        <v>0</v>
      </c>
      <c r="BK66" s="84">
        <f t="shared" si="28"/>
        <v>0</v>
      </c>
      <c r="BM66" s="84">
        <f t="shared" si="29"/>
        <v>0</v>
      </c>
    </row>
    <row r="67" spans="1:65">
      <c r="A67" s="78">
        <f t="shared" si="1"/>
        <v>61</v>
      </c>
      <c r="C67" s="78">
        <v>31</v>
      </c>
      <c r="D67" s="78" t="s">
        <v>62</v>
      </c>
      <c r="E67" s="113">
        <f t="shared" si="2"/>
        <v>38353</v>
      </c>
      <c r="F67" s="85">
        <f>F19</f>
        <v>23</v>
      </c>
      <c r="G67" s="84">
        <f>C67-F67</f>
        <v>8</v>
      </c>
      <c r="H67" s="84"/>
      <c r="I67" s="84"/>
      <c r="J67" s="78">
        <f t="shared" si="3"/>
        <v>31</v>
      </c>
      <c r="K67" s="149">
        <v>38353</v>
      </c>
      <c r="L67" s="508">
        <v>7.3195154875478008E-2</v>
      </c>
      <c r="M67" s="509">
        <v>6.5946459160780999E-2</v>
      </c>
      <c r="N67" s="132">
        <f t="shared" si="5"/>
        <v>0.700580516261328</v>
      </c>
      <c r="O67" s="133">
        <f>VLOOKUP(K67,Inflation!$B$8:$C$266,2)</f>
        <v>1.1450288299035767</v>
      </c>
      <c r="P67" s="132"/>
      <c r="Q67" s="134">
        <f>VLOOKUP(K67,'Fuel Curve'!$B$11:$F$268,5)</f>
        <v>4.7344827586206897</v>
      </c>
      <c r="R67" s="238">
        <f>VLOOKUP(K67,'Fuel Curve Simulation'!$B$12:$J$258,9)</f>
        <v>4.7344827586206897</v>
      </c>
      <c r="S67" s="134">
        <f t="shared" si="6"/>
        <v>45.351610344827591</v>
      </c>
      <c r="T67" s="136"/>
      <c r="V67" s="135">
        <f>VLOOKUP(K67,PJM_01212000!$A$7:$C$259,3)</f>
        <v>37.324998474121088</v>
      </c>
      <c r="W67" s="486"/>
      <c r="X67" s="118">
        <f>'PJM Curve Simulation'!J67</f>
        <v>37.324998474121088</v>
      </c>
      <c r="Y67" s="512"/>
      <c r="Z67" s="137"/>
      <c r="AA67" s="78">
        <f t="shared" si="9"/>
        <v>315</v>
      </c>
      <c r="AB67" s="85">
        <f t="shared" si="10"/>
        <v>115920</v>
      </c>
      <c r="AC67" s="85">
        <f>VLOOKUP(K67,'Company Volumes'!$B$20:$C$259,2)</f>
        <v>16643.557970875103</v>
      </c>
      <c r="AD67" s="153">
        <f t="shared" si="11"/>
        <v>0</v>
      </c>
      <c r="AE67" s="150"/>
      <c r="AF67" s="150">
        <v>0</v>
      </c>
      <c r="AG67" s="150">
        <v>0</v>
      </c>
      <c r="AH67" s="150">
        <f t="shared" si="12"/>
        <v>0</v>
      </c>
      <c r="AI67" s="150">
        <f t="shared" si="13"/>
        <v>0</v>
      </c>
      <c r="AJ67" s="150">
        <f t="shared" si="14"/>
        <v>0</v>
      </c>
      <c r="AK67" s="85">
        <f t="shared" si="15"/>
        <v>57251.441495178828</v>
      </c>
      <c r="AL67" s="85">
        <f t="shared" si="16"/>
        <v>145991.17581270603</v>
      </c>
      <c r="AM67" s="85">
        <f t="shared" si="17"/>
        <v>0</v>
      </c>
      <c r="AN67" s="85">
        <f t="shared" si="7"/>
        <v>130914.96288564225</v>
      </c>
      <c r="AO67" s="85">
        <f t="shared" si="18"/>
        <v>28625.720747589414</v>
      </c>
      <c r="AP67" s="85">
        <f t="shared" si="30"/>
        <v>46500.558215233643</v>
      </c>
      <c r="AQ67" s="84">
        <f t="shared" si="19"/>
        <v>409283.85915635014</v>
      </c>
      <c r="AR67" s="85">
        <f t="shared" si="20"/>
        <v>14312.860373794707</v>
      </c>
      <c r="AS67" s="84">
        <f t="shared" si="35"/>
        <v>30387.755000000001</v>
      </c>
      <c r="AT67" s="85">
        <f t="shared" si="21"/>
        <v>0</v>
      </c>
      <c r="AU67" s="84">
        <f t="shared" si="22"/>
        <v>453984.47453014483</v>
      </c>
      <c r="AV67" s="84">
        <f t="shared" si="8"/>
        <v>-453984.47453014483</v>
      </c>
      <c r="AW67" s="453"/>
      <c r="AX67" s="93">
        <f t="shared" si="4"/>
        <v>38353</v>
      </c>
      <c r="BA67" s="315"/>
      <c r="BB67" s="134">
        <f t="shared" si="23"/>
        <v>37.324998474121088</v>
      </c>
      <c r="BC67" s="134">
        <f>'Curve Analysis - Base Case'!D59</f>
        <v>47.641668004634745</v>
      </c>
      <c r="BD67" s="131">
        <f t="shared" si="24"/>
        <v>7.3195154875478008E-2</v>
      </c>
      <c r="BE67" s="131">
        <f t="shared" si="25"/>
        <v>7.3195154875478008E-2</v>
      </c>
      <c r="BF67" s="365">
        <f>PJM_01212000!X67</f>
        <v>0.17152819199999997</v>
      </c>
      <c r="BG67" s="85">
        <f t="shared" si="26"/>
        <v>1779</v>
      </c>
      <c r="BH67" s="84">
        <f t="shared" si="27"/>
        <v>0</v>
      </c>
      <c r="BJ67" s="537">
        <f>_xll.EURO(BB67,BC67,BD67,BE67,BF67,BG67,1,0)*BH67</f>
        <v>0</v>
      </c>
      <c r="BK67" s="84">
        <f t="shared" si="28"/>
        <v>0</v>
      </c>
      <c r="BM67" s="84">
        <f t="shared" si="29"/>
        <v>0</v>
      </c>
    </row>
    <row r="68" spans="1:65">
      <c r="A68" s="78">
        <f t="shared" si="1"/>
        <v>62</v>
      </c>
      <c r="C68" s="78">
        <v>28</v>
      </c>
      <c r="D68" s="78" t="s">
        <v>63</v>
      </c>
      <c r="E68" s="113">
        <f t="shared" si="2"/>
        <v>38384</v>
      </c>
      <c r="F68" s="85">
        <f t="shared" ref="F68:F131" si="37">F20</f>
        <v>20</v>
      </c>
      <c r="G68" s="84">
        <f t="shared" ref="G68:G78" si="38">C68-F68</f>
        <v>8</v>
      </c>
      <c r="H68" s="84"/>
      <c r="I68" s="84"/>
      <c r="J68" s="78">
        <f t="shared" si="3"/>
        <v>28</v>
      </c>
      <c r="K68" s="149">
        <v>38384</v>
      </c>
      <c r="L68" s="508">
        <v>7.3253995182000028E-2</v>
      </c>
      <c r="M68" s="509">
        <v>6.5933223095356E-2</v>
      </c>
      <c r="N68" s="132">
        <f t="shared" si="5"/>
        <v>0.69612007488836769</v>
      </c>
      <c r="O68" s="133">
        <f>VLOOKUP(K68,Inflation!$B$8:$C$266,2)</f>
        <v>1.1475738022337463</v>
      </c>
      <c r="P68" s="132"/>
      <c r="Q68" s="134">
        <f>VLOOKUP(K68,'Fuel Curve'!$B$11:$F$268,5)</f>
        <v>4.6315517241379318</v>
      </c>
      <c r="R68" s="238">
        <f>VLOOKUP(K68,'Fuel Curve Simulation'!$B$12:$J$258,9)</f>
        <v>4.6315517241379318</v>
      </c>
      <c r="S68" s="134">
        <f t="shared" si="6"/>
        <v>44.365633965517247</v>
      </c>
      <c r="T68" s="136"/>
      <c r="V68" s="135">
        <f>VLOOKUP(K68,PJM_01212000!$A$7:$C$259,3)</f>
        <v>37.324998474121088</v>
      </c>
      <c r="W68" s="486"/>
      <c r="X68" s="118">
        <f>'PJM Curve Simulation'!J68</f>
        <v>37.324998474121088</v>
      </c>
      <c r="Y68" s="512"/>
      <c r="Z68" s="137"/>
      <c r="AA68" s="78">
        <f t="shared" si="9"/>
        <v>315</v>
      </c>
      <c r="AB68" s="85">
        <f t="shared" si="10"/>
        <v>100800</v>
      </c>
      <c r="AC68" s="85">
        <f>VLOOKUP(K68,'Company Volumes'!$B$20:$C$259,2)</f>
        <v>761.88792300755529</v>
      </c>
      <c r="AD68" s="153">
        <f t="shared" si="11"/>
        <v>0</v>
      </c>
      <c r="AE68" s="150"/>
      <c r="AF68" s="150">
        <v>0</v>
      </c>
      <c r="AG68" s="150">
        <v>0</v>
      </c>
      <c r="AH68" s="150">
        <f t="shared" si="12"/>
        <v>0</v>
      </c>
      <c r="AI68" s="150">
        <f t="shared" si="13"/>
        <v>0</v>
      </c>
      <c r="AJ68" s="150">
        <f t="shared" si="14"/>
        <v>0</v>
      </c>
      <c r="AK68" s="85">
        <f t="shared" si="15"/>
        <v>57378.690111687312</v>
      </c>
      <c r="AL68" s="85">
        <f t="shared" si="16"/>
        <v>146315.65978480264</v>
      </c>
      <c r="AM68" s="85">
        <f t="shared" si="17"/>
        <v>0</v>
      </c>
      <c r="AN68" s="85">
        <f t="shared" si="7"/>
        <v>131205.93805539166</v>
      </c>
      <c r="AO68" s="85">
        <f t="shared" si="18"/>
        <v>28689.345055843656</v>
      </c>
      <c r="AP68" s="85">
        <f t="shared" si="30"/>
        <v>46500.558215233643</v>
      </c>
      <c r="AQ68" s="84">
        <f t="shared" si="19"/>
        <v>410090.19122295897</v>
      </c>
      <c r="AR68" s="85">
        <f t="shared" si="20"/>
        <v>14344.672527921828</v>
      </c>
      <c r="AS68" s="84">
        <f t="shared" si="35"/>
        <v>30387.755000000001</v>
      </c>
      <c r="AT68" s="85">
        <f t="shared" si="21"/>
        <v>0</v>
      </c>
      <c r="AU68" s="84">
        <f t="shared" si="22"/>
        <v>454822.61875088082</v>
      </c>
      <c r="AV68" s="84">
        <f t="shared" si="8"/>
        <v>-454822.61875088082</v>
      </c>
      <c r="AW68" s="453"/>
      <c r="AX68" s="93">
        <f t="shared" si="4"/>
        <v>38384</v>
      </c>
      <c r="BA68" s="315"/>
      <c r="BB68" s="134">
        <f t="shared" si="23"/>
        <v>37.324998474121088</v>
      </c>
      <c r="BC68" s="134">
        <f>'Curve Analysis - Base Case'!D60</f>
        <v>46.660781569984742</v>
      </c>
      <c r="BD68" s="131">
        <f t="shared" si="24"/>
        <v>7.3253995182000028E-2</v>
      </c>
      <c r="BE68" s="131">
        <f t="shared" si="25"/>
        <v>7.3253995182000028E-2</v>
      </c>
      <c r="BF68" s="365">
        <f>PJM_01212000!X68</f>
        <v>0.17152819199999997</v>
      </c>
      <c r="BG68" s="85">
        <f t="shared" si="26"/>
        <v>1810</v>
      </c>
      <c r="BH68" s="84">
        <f t="shared" si="27"/>
        <v>0</v>
      </c>
      <c r="BJ68" s="537">
        <f>_xll.EURO(BB68,BC68,BD68,BE68,BF68,BG68,1,0)*BH68</f>
        <v>0</v>
      </c>
      <c r="BK68" s="84">
        <f t="shared" si="28"/>
        <v>0</v>
      </c>
      <c r="BM68" s="84">
        <f t="shared" si="29"/>
        <v>0</v>
      </c>
    </row>
    <row r="69" spans="1:65">
      <c r="A69" s="78">
        <f t="shared" si="1"/>
        <v>63</v>
      </c>
      <c r="C69" s="78">
        <v>31</v>
      </c>
      <c r="D69" s="78" t="s">
        <v>64</v>
      </c>
      <c r="E69" s="113">
        <f t="shared" si="2"/>
        <v>38412</v>
      </c>
      <c r="F69" s="85">
        <f t="shared" si="37"/>
        <v>22</v>
      </c>
      <c r="G69" s="84">
        <f t="shared" si="38"/>
        <v>9</v>
      </c>
      <c r="H69" s="84"/>
      <c r="I69" s="84"/>
      <c r="J69" s="78">
        <f t="shared" si="3"/>
        <v>31</v>
      </c>
      <c r="K69" s="149">
        <v>38412</v>
      </c>
      <c r="L69" s="508">
        <v>7.3307141266274009E-2</v>
      </c>
      <c r="M69" s="509">
        <v>6.5921267940538014E-2</v>
      </c>
      <c r="N69" s="132">
        <f t="shared" si="5"/>
        <v>0.69210997645630823</v>
      </c>
      <c r="O69" s="133">
        <f>VLOOKUP(K69,Inflation!$B$8:$C$266,2)</f>
        <v>1.1501244310888801</v>
      </c>
      <c r="P69" s="132"/>
      <c r="Q69" s="134">
        <f>VLOOKUP(K69,'Fuel Curve'!$B$11:$F$268,5)</f>
        <v>4.5301724137931041</v>
      </c>
      <c r="R69" s="238">
        <f>VLOOKUP(K69,'Fuel Curve Simulation'!$B$12:$J$258,9)</f>
        <v>4.5301724137931041</v>
      </c>
      <c r="S69" s="134">
        <f t="shared" si="6"/>
        <v>43.394521551724146</v>
      </c>
      <c r="T69" s="136"/>
      <c r="V69" s="135">
        <f>VLOOKUP(K69,PJM_01212000!$A$7:$C$259,3)</f>
        <v>27.050000762939455</v>
      </c>
      <c r="W69" s="486"/>
      <c r="X69" s="118">
        <f>'PJM Curve Simulation'!J69</f>
        <v>27.050000762939455</v>
      </c>
      <c r="Y69" s="512"/>
      <c r="Z69" s="137"/>
      <c r="AA69" s="78">
        <f t="shared" si="9"/>
        <v>315</v>
      </c>
      <c r="AB69" s="85">
        <f t="shared" si="10"/>
        <v>110880</v>
      </c>
      <c r="AC69" s="85">
        <f>VLOOKUP(K69,'Company Volumes'!$B$20:$C$259,2)</f>
        <v>761.88792300755529</v>
      </c>
      <c r="AD69" s="153">
        <f t="shared" si="11"/>
        <v>0</v>
      </c>
      <c r="AE69" s="150"/>
      <c r="AF69" s="150">
        <v>0</v>
      </c>
      <c r="AG69" s="150">
        <v>0</v>
      </c>
      <c r="AH69" s="150">
        <f t="shared" si="12"/>
        <v>0</v>
      </c>
      <c r="AI69" s="150">
        <f t="shared" si="13"/>
        <v>0</v>
      </c>
      <c r="AJ69" s="150">
        <f t="shared" si="14"/>
        <v>0</v>
      </c>
      <c r="AK69" s="85">
        <f t="shared" si="15"/>
        <v>57506.221554444004</v>
      </c>
      <c r="AL69" s="85">
        <f t="shared" si="16"/>
        <v>146640.86496383222</v>
      </c>
      <c r="AM69" s="85">
        <f t="shared" si="17"/>
        <v>0</v>
      </c>
      <c r="AN69" s="85">
        <f t="shared" si="7"/>
        <v>131497.55995449529</v>
      </c>
      <c r="AO69" s="85">
        <f t="shared" si="18"/>
        <v>28753.110777222002</v>
      </c>
      <c r="AP69" s="85">
        <f t="shared" si="30"/>
        <v>46500.558215233643</v>
      </c>
      <c r="AQ69" s="84">
        <f t="shared" si="19"/>
        <v>410898.31546522724</v>
      </c>
      <c r="AR69" s="85">
        <f t="shared" si="20"/>
        <v>14376.555388611001</v>
      </c>
      <c r="AS69" s="84">
        <f t="shared" si="35"/>
        <v>30387.755000000001</v>
      </c>
      <c r="AT69" s="85">
        <f t="shared" si="21"/>
        <v>0</v>
      </c>
      <c r="AU69" s="84">
        <f t="shared" si="22"/>
        <v>455662.62585383828</v>
      </c>
      <c r="AV69" s="84">
        <f t="shared" si="8"/>
        <v>-455662.62585383828</v>
      </c>
      <c r="AW69" s="453"/>
      <c r="AX69" s="93">
        <f t="shared" si="4"/>
        <v>38412</v>
      </c>
      <c r="BA69" s="315"/>
      <c r="BB69" s="134">
        <f t="shared" si="23"/>
        <v>27.050000762939455</v>
      </c>
      <c r="BC69" s="134">
        <f>'Curve Analysis - Base Case'!D61</f>
        <v>45.694770413901907</v>
      </c>
      <c r="BD69" s="131">
        <f t="shared" si="24"/>
        <v>7.3307141266274009E-2</v>
      </c>
      <c r="BE69" s="131">
        <f t="shared" si="25"/>
        <v>7.3307141266274009E-2</v>
      </c>
      <c r="BF69" s="365">
        <f>PJM_01212000!X69</f>
        <v>0.14294015999999996</v>
      </c>
      <c r="BG69" s="85">
        <f t="shared" si="26"/>
        <v>1838</v>
      </c>
      <c r="BH69" s="84">
        <f t="shared" si="27"/>
        <v>0</v>
      </c>
      <c r="BJ69" s="537">
        <f>_xll.EURO(BB69,BC69,BD69,BE69,BF69,BG69,1,0)*BH69</f>
        <v>0</v>
      </c>
      <c r="BK69" s="84">
        <f t="shared" si="28"/>
        <v>0</v>
      </c>
      <c r="BM69" s="84">
        <f t="shared" si="29"/>
        <v>0</v>
      </c>
    </row>
    <row r="70" spans="1:65">
      <c r="A70" s="78">
        <f t="shared" si="1"/>
        <v>64</v>
      </c>
      <c r="C70" s="78">
        <v>30</v>
      </c>
      <c r="D70" s="78" t="s">
        <v>65</v>
      </c>
      <c r="E70" s="113">
        <f t="shared" si="2"/>
        <v>38443</v>
      </c>
      <c r="F70" s="85">
        <f t="shared" si="37"/>
        <v>21</v>
      </c>
      <c r="G70" s="84">
        <f t="shared" si="38"/>
        <v>9</v>
      </c>
      <c r="H70" s="84"/>
      <c r="I70" s="84"/>
      <c r="J70" s="78">
        <f t="shared" si="3"/>
        <v>30</v>
      </c>
      <c r="K70" s="149">
        <v>38443</v>
      </c>
      <c r="L70" s="508">
        <v>7.3338081657494017E-2</v>
      </c>
      <c r="M70" s="509">
        <v>6.5908031877433007E-2</v>
      </c>
      <c r="N70" s="132">
        <f t="shared" si="5"/>
        <v>0.68778704626600484</v>
      </c>
      <c r="O70" s="133">
        <f>VLOOKUP(K70,Inflation!$B$8:$C$266,2)</f>
        <v>1.1526807290413252</v>
      </c>
      <c r="P70" s="132"/>
      <c r="Q70" s="134">
        <f>VLOOKUP(K70,'Fuel Curve'!$B$11:$F$268,5)</f>
        <v>4.4258620689655173</v>
      </c>
      <c r="R70" s="238">
        <f>VLOOKUP(K70,'Fuel Curve Simulation'!$B$12:$J$258,9)</f>
        <v>4.4258620689655173</v>
      </c>
      <c r="S70" s="134">
        <f t="shared" si="6"/>
        <v>42.39533275862069</v>
      </c>
      <c r="T70" s="136"/>
      <c r="V70" s="135">
        <f>VLOOKUP(K70,PJM_01212000!$A$7:$C$259,3)</f>
        <v>26.825000762939453</v>
      </c>
      <c r="W70" s="486"/>
      <c r="X70" s="118">
        <f>'PJM Curve Simulation'!J70</f>
        <v>26.825000762939453</v>
      </c>
      <c r="Y70" s="512"/>
      <c r="Z70" s="137"/>
      <c r="AA70" s="78">
        <f t="shared" si="9"/>
        <v>315</v>
      </c>
      <c r="AB70" s="85">
        <f t="shared" si="10"/>
        <v>105840</v>
      </c>
      <c r="AC70" s="85">
        <f>VLOOKUP(K70,'Company Volumes'!$B$20:$C$259,2)</f>
        <v>9170.6666975435528</v>
      </c>
      <c r="AD70" s="153">
        <f t="shared" si="11"/>
        <v>0</v>
      </c>
      <c r="AE70" s="150"/>
      <c r="AF70" s="150">
        <v>0</v>
      </c>
      <c r="AG70" s="150">
        <v>0</v>
      </c>
      <c r="AH70" s="150">
        <f t="shared" si="12"/>
        <v>0</v>
      </c>
      <c r="AI70" s="150">
        <f t="shared" si="13"/>
        <v>0</v>
      </c>
      <c r="AJ70" s="150">
        <f t="shared" si="14"/>
        <v>0</v>
      </c>
      <c r="AK70" s="85">
        <f t="shared" si="15"/>
        <v>57634.036452066262</v>
      </c>
      <c r="AL70" s="85">
        <f t="shared" si="16"/>
        <v>146966.79295276897</v>
      </c>
      <c r="AM70" s="85">
        <f t="shared" si="17"/>
        <v>0</v>
      </c>
      <c r="AN70" s="85">
        <f t="shared" si="7"/>
        <v>131789.83002039153</v>
      </c>
      <c r="AO70" s="85">
        <f t="shared" si="18"/>
        <v>28817.018226033131</v>
      </c>
      <c r="AP70" s="85">
        <f t="shared" si="30"/>
        <v>46500.558215233643</v>
      </c>
      <c r="AQ70" s="84">
        <f t="shared" si="19"/>
        <v>411708.23586649355</v>
      </c>
      <c r="AR70" s="85">
        <f t="shared" si="20"/>
        <v>14408.509113016566</v>
      </c>
      <c r="AS70" s="84">
        <f t="shared" si="35"/>
        <v>30387.755000000001</v>
      </c>
      <c r="AT70" s="85">
        <f t="shared" si="21"/>
        <v>0</v>
      </c>
      <c r="AU70" s="84">
        <f t="shared" si="22"/>
        <v>456504.49997951009</v>
      </c>
      <c r="AV70" s="84">
        <f t="shared" si="8"/>
        <v>-456504.49997951009</v>
      </c>
      <c r="AW70" s="453"/>
      <c r="AX70" s="93">
        <f t="shared" si="4"/>
        <v>38443</v>
      </c>
      <c r="BA70" s="315"/>
      <c r="BB70" s="134">
        <f t="shared" si="23"/>
        <v>26.825000762939453</v>
      </c>
      <c r="BC70" s="134">
        <f>'Curve Analysis - Base Case'!D62</f>
        <v>44.70069421670334</v>
      </c>
      <c r="BD70" s="131">
        <f t="shared" si="24"/>
        <v>7.3338081657494017E-2</v>
      </c>
      <c r="BE70" s="131">
        <f t="shared" si="25"/>
        <v>7.3338081657494017E-2</v>
      </c>
      <c r="BF70" s="365">
        <f>PJM_01212000!X70</f>
        <v>0.135793152</v>
      </c>
      <c r="BG70" s="85">
        <f t="shared" si="26"/>
        <v>1869</v>
      </c>
      <c r="BH70" s="84">
        <f t="shared" si="27"/>
        <v>0</v>
      </c>
      <c r="BJ70" s="537">
        <f>_xll.EURO(BB70,BC70,BD70,BE70,BF70,BG70,1,0)*BH70</f>
        <v>0</v>
      </c>
      <c r="BK70" s="84">
        <f t="shared" si="28"/>
        <v>0</v>
      </c>
      <c r="BM70" s="84">
        <f t="shared" si="29"/>
        <v>0</v>
      </c>
    </row>
    <row r="71" spans="1:65">
      <c r="A71" s="78">
        <f t="shared" si="1"/>
        <v>65</v>
      </c>
      <c r="C71" s="78">
        <v>31</v>
      </c>
      <c r="D71" s="78" t="s">
        <v>38</v>
      </c>
      <c r="E71" s="113">
        <f t="shared" si="2"/>
        <v>38473</v>
      </c>
      <c r="F71" s="85">
        <f t="shared" si="37"/>
        <v>23</v>
      </c>
      <c r="G71" s="84">
        <f t="shared" si="38"/>
        <v>8</v>
      </c>
      <c r="H71" s="84"/>
      <c r="I71" s="84"/>
      <c r="J71" s="78">
        <f t="shared" si="3"/>
        <v>31</v>
      </c>
      <c r="K71" s="149">
        <v>38473</v>
      </c>
      <c r="L71" s="508">
        <v>7.3361543991021017E-2</v>
      </c>
      <c r="M71" s="509">
        <v>6.5895222785267021E-2</v>
      </c>
      <c r="N71" s="132">
        <f t="shared" si="5"/>
        <v>0.68364853609648157</v>
      </c>
      <c r="O71" s="133">
        <f>VLOOKUP(K71,Inflation!$B$8:$C$266,2)</f>
        <v>1.1552427086913719</v>
      </c>
      <c r="P71" s="132"/>
      <c r="Q71" s="134">
        <f>VLOOKUP(K71,'Fuel Curve'!$B$11:$F$268,5)</f>
        <v>4.3543103448275868</v>
      </c>
      <c r="R71" s="238">
        <f>VLOOKUP(K71,'Fuel Curve Simulation'!$B$12:$J$258,9)</f>
        <v>4.3543103448275868</v>
      </c>
      <c r="S71" s="134">
        <f t="shared" si="6"/>
        <v>41.709938793103454</v>
      </c>
      <c r="T71" s="136"/>
      <c r="V71" s="135">
        <f>VLOOKUP(K71,PJM_01212000!$A$7:$C$259,3)</f>
        <v>31.824999999999999</v>
      </c>
      <c r="W71" s="486"/>
      <c r="X71" s="118">
        <f>'PJM Curve Simulation'!J71</f>
        <v>31.824999999999999</v>
      </c>
      <c r="Y71" s="512"/>
      <c r="Z71" s="137"/>
      <c r="AA71" s="78">
        <f t="shared" si="9"/>
        <v>315</v>
      </c>
      <c r="AB71" s="85">
        <f t="shared" si="10"/>
        <v>115920</v>
      </c>
      <c r="AC71" s="85">
        <f>VLOOKUP(K71,'Company Volumes'!$B$20:$C$259,2)</f>
        <v>15970.876490943105</v>
      </c>
      <c r="AD71" s="153">
        <f t="shared" si="11"/>
        <v>0</v>
      </c>
      <c r="AE71" s="150"/>
      <c r="AF71" s="150">
        <v>0</v>
      </c>
      <c r="AG71" s="150">
        <v>0</v>
      </c>
      <c r="AH71" s="150">
        <f t="shared" si="12"/>
        <v>0</v>
      </c>
      <c r="AI71" s="150">
        <f t="shared" si="13"/>
        <v>0</v>
      </c>
      <c r="AJ71" s="150">
        <f t="shared" si="14"/>
        <v>0</v>
      </c>
      <c r="AK71" s="85">
        <f t="shared" si="15"/>
        <v>57762.135434568598</v>
      </c>
      <c r="AL71" s="85">
        <f t="shared" si="16"/>
        <v>147293.44535814991</v>
      </c>
      <c r="AM71" s="85">
        <f t="shared" si="17"/>
        <v>0</v>
      </c>
      <c r="AN71" s="85">
        <f t="shared" si="7"/>
        <v>132082.7496937135</v>
      </c>
      <c r="AO71" s="85">
        <f t="shared" si="18"/>
        <v>28881.067717284299</v>
      </c>
      <c r="AP71" s="85">
        <f t="shared" si="30"/>
        <v>46500.558215233643</v>
      </c>
      <c r="AQ71" s="84">
        <f t="shared" si="19"/>
        <v>412519.95641894999</v>
      </c>
      <c r="AR71" s="85">
        <f t="shared" si="20"/>
        <v>14440.533858642149</v>
      </c>
      <c r="AS71" s="84">
        <f t="shared" si="35"/>
        <v>30387.755000000001</v>
      </c>
      <c r="AT71" s="85">
        <f t="shared" si="21"/>
        <v>0</v>
      </c>
      <c r="AU71" s="84">
        <f t="shared" si="22"/>
        <v>457348.2452775921</v>
      </c>
      <c r="AV71" s="84">
        <f t="shared" si="8"/>
        <v>-457348.2452775921</v>
      </c>
      <c r="AW71" s="453"/>
      <c r="AX71" s="93">
        <f t="shared" si="4"/>
        <v>38473</v>
      </c>
      <c r="BA71" s="315"/>
      <c r="BB71" s="134">
        <f t="shared" si="23"/>
        <v>31.824999999999999</v>
      </c>
      <c r="BC71" s="134">
        <f>'Curve Analysis - Base Case'!D63</f>
        <v>44.020424210486198</v>
      </c>
      <c r="BD71" s="131">
        <f t="shared" si="24"/>
        <v>7.3361543991021017E-2</v>
      </c>
      <c r="BE71" s="131">
        <f t="shared" si="25"/>
        <v>7.3361543991021017E-2</v>
      </c>
      <c r="BF71" s="365">
        <f>PJM_01212000!X71</f>
        <v>0.15008716799999997</v>
      </c>
      <c r="BG71" s="85">
        <f t="shared" si="26"/>
        <v>1899</v>
      </c>
      <c r="BH71" s="84">
        <f t="shared" si="27"/>
        <v>0</v>
      </c>
      <c r="BJ71" s="537">
        <f>_xll.EURO(BB71,BC71,BD71,BE71,BF71,BG71,1,0)*BH71</f>
        <v>0</v>
      </c>
      <c r="BK71" s="84">
        <f t="shared" si="28"/>
        <v>0</v>
      </c>
      <c r="BM71" s="84">
        <f t="shared" si="29"/>
        <v>0</v>
      </c>
    </row>
    <row r="72" spans="1:65">
      <c r="A72" s="78">
        <f t="shared" si="1"/>
        <v>66</v>
      </c>
      <c r="C72" s="78">
        <v>30</v>
      </c>
      <c r="D72" s="78" t="s">
        <v>66</v>
      </c>
      <c r="E72" s="113">
        <f t="shared" si="2"/>
        <v>38504</v>
      </c>
      <c r="F72" s="85">
        <f t="shared" si="37"/>
        <v>21</v>
      </c>
      <c r="G72" s="84">
        <f t="shared" si="38"/>
        <v>9</v>
      </c>
      <c r="H72" s="84"/>
      <c r="I72" s="84"/>
      <c r="J72" s="78">
        <f t="shared" si="3"/>
        <v>30</v>
      </c>
      <c r="K72" s="149">
        <v>38504</v>
      </c>
      <c r="L72" s="508">
        <v>7.3385788402523008E-2</v>
      </c>
      <c r="M72" s="509">
        <v>6.5881986724561026E-2</v>
      </c>
      <c r="N72" s="132">
        <f t="shared" ref="N72:N135" si="39">(1+L72/2)^(-2*((K72+$T$1)-$K$1)/365.25)</f>
        <v>0.67939558216018492</v>
      </c>
      <c r="O72" s="133">
        <f>VLOOKUP(K72,Inflation!$B$8:$C$266,2)</f>
        <v>1.1578103826673165</v>
      </c>
      <c r="P72" s="132"/>
      <c r="Q72" s="134">
        <f>VLOOKUP(K72,'Fuel Curve'!$B$11:$F$268,5)</f>
        <v>4.3441379310344832</v>
      </c>
      <c r="R72" s="238">
        <f>VLOOKUP(K72,'Fuel Curve Simulation'!$B$12:$J$258,9)</f>
        <v>4.3441379310344832</v>
      </c>
      <c r="S72" s="134">
        <f t="shared" si="6"/>
        <v>41.612497241379316</v>
      </c>
      <c r="T72" s="136"/>
      <c r="V72" s="135">
        <f>VLOOKUP(K72,PJM_01212000!$A$7:$C$259,3)</f>
        <v>56.349998474121094</v>
      </c>
      <c r="W72" s="486"/>
      <c r="X72" s="118">
        <f>'PJM Curve Simulation'!J72</f>
        <v>56.349998474121094</v>
      </c>
      <c r="Y72" s="512"/>
      <c r="Z72" s="137"/>
      <c r="AA72" s="78">
        <f t="shared" si="9"/>
        <v>315</v>
      </c>
      <c r="AB72" s="85">
        <f t="shared" si="10"/>
        <v>105840</v>
      </c>
      <c r="AC72" s="85">
        <f>VLOOKUP(K72,'Company Volumes'!$B$20:$C$259,2)</f>
        <v>30292.162001615103</v>
      </c>
      <c r="AD72" s="153">
        <f t="shared" si="11"/>
        <v>105840</v>
      </c>
      <c r="AE72" s="150"/>
      <c r="AF72" s="150">
        <v>0</v>
      </c>
      <c r="AG72" s="150">
        <v>0</v>
      </c>
      <c r="AH72" s="150">
        <f t="shared" si="12"/>
        <v>5964083.8385009766</v>
      </c>
      <c r="AI72" s="150">
        <f t="shared" si="13"/>
        <v>5964083.8385009766</v>
      </c>
      <c r="AJ72" s="150">
        <f t="shared" si="14"/>
        <v>4404266.7080275863</v>
      </c>
      <c r="AK72" s="85">
        <f t="shared" si="15"/>
        <v>57890.519133365829</v>
      </c>
      <c r="AL72" s="85">
        <f t="shared" si="16"/>
        <v>147620.82379008285</v>
      </c>
      <c r="AM72" s="85">
        <f t="shared" si="17"/>
        <v>245085.30180301756</v>
      </c>
      <c r="AN72" s="85">
        <f t="shared" si="7"/>
        <v>132376.32041829653</v>
      </c>
      <c r="AO72" s="85">
        <f t="shared" si="18"/>
        <v>28945.259566682915</v>
      </c>
      <c r="AP72" s="85">
        <f t="shared" si="30"/>
        <v>46500.558215233643</v>
      </c>
      <c r="AQ72" s="84">
        <f t="shared" si="19"/>
        <v>658418.78292667924</v>
      </c>
      <c r="AR72" s="85">
        <f t="shared" si="20"/>
        <v>14472.629783341457</v>
      </c>
      <c r="AS72" s="84">
        <f t="shared" si="35"/>
        <v>30387.755000000001</v>
      </c>
      <c r="AT72" s="85">
        <f t="shared" si="21"/>
        <v>41431.669147888642</v>
      </c>
      <c r="AU72" s="84">
        <f t="shared" si="22"/>
        <v>5148977.5448854957</v>
      </c>
      <c r="AV72" s="84">
        <f t="shared" si="8"/>
        <v>815106.29361548088</v>
      </c>
      <c r="AW72" s="453"/>
      <c r="AX72" s="93">
        <f t="shared" si="4"/>
        <v>38504</v>
      </c>
      <c r="BA72" s="315"/>
      <c r="BB72" s="134">
        <f t="shared" si="23"/>
        <v>56.349998474121094</v>
      </c>
      <c r="BC72" s="134">
        <f>'Curve Analysis - Base Case'!D64</f>
        <v>43.928118006713952</v>
      </c>
      <c r="BD72" s="131">
        <f t="shared" si="24"/>
        <v>7.3385788402523008E-2</v>
      </c>
      <c r="BE72" s="131">
        <f t="shared" si="25"/>
        <v>7.3385788402523008E-2</v>
      </c>
      <c r="BF72" s="365">
        <f>PJM_01212000!X72</f>
        <v>0.19296921599999997</v>
      </c>
      <c r="BG72" s="85">
        <f t="shared" si="26"/>
        <v>1930</v>
      </c>
      <c r="BH72" s="84">
        <f t="shared" si="27"/>
        <v>105840</v>
      </c>
      <c r="BJ72" s="537">
        <f>_xll.EURO(BB72,BC72,BD72,BE72,BF72,BG72,1,0)*BH72</f>
        <v>1172989.8189912576</v>
      </c>
      <c r="BK72" s="84">
        <f t="shared" si="28"/>
        <v>1059732.8674213982</v>
      </c>
      <c r="BM72" s="84">
        <f t="shared" si="29"/>
        <v>113256.9515698594</v>
      </c>
    </row>
    <row r="73" spans="1:65">
      <c r="A73" s="78">
        <f t="shared" ref="A73:A136" si="40">A72+1</f>
        <v>67</v>
      </c>
      <c r="C73" s="78">
        <v>31</v>
      </c>
      <c r="D73" s="78" t="s">
        <v>67</v>
      </c>
      <c r="E73" s="113">
        <f t="shared" ref="E73:E136" si="41">E72+C72</f>
        <v>38534</v>
      </c>
      <c r="F73" s="85">
        <f t="shared" si="37"/>
        <v>22</v>
      </c>
      <c r="G73" s="84">
        <f t="shared" si="38"/>
        <v>9</v>
      </c>
      <c r="H73" s="84"/>
      <c r="I73" s="84"/>
      <c r="J73" s="78">
        <f t="shared" ref="J73:J136" si="42">K74-K73</f>
        <v>31</v>
      </c>
      <c r="K73" s="149">
        <v>38534</v>
      </c>
      <c r="L73" s="508">
        <v>7.3409250736419004E-2</v>
      </c>
      <c r="M73" s="509">
        <v>6.5869177634716017E-2</v>
      </c>
      <c r="N73" s="132">
        <f t="shared" si="39"/>
        <v>0.67530246149529427</v>
      </c>
      <c r="O73" s="133">
        <f>VLOOKUP(K73,Inflation!$B$8:$C$266,2)</f>
        <v>1.160383763625523</v>
      </c>
      <c r="P73" s="132"/>
      <c r="Q73" s="134">
        <f>VLOOKUP(K73,'Fuel Curve'!$B$11:$F$268,5)</f>
        <v>4.3968965517241392</v>
      </c>
      <c r="R73" s="238">
        <f>VLOOKUP(K73,'Fuel Curve Simulation'!$B$12:$J$258,9)</f>
        <v>4.3968965517241392</v>
      </c>
      <c r="S73" s="134">
        <f t="shared" si="6"/>
        <v>42.117872068965532</v>
      </c>
      <c r="T73" s="136"/>
      <c r="V73" s="135">
        <f>VLOOKUP(K73,PJM_01212000!$A$7:$C$259,3)</f>
        <v>95.699996948242188</v>
      </c>
      <c r="W73" s="486"/>
      <c r="X73" s="118">
        <f>'PJM Curve Simulation'!J73</f>
        <v>95.699996948242188</v>
      </c>
      <c r="Y73" s="512"/>
      <c r="Z73" s="137"/>
      <c r="AA73" s="78">
        <f t="shared" si="9"/>
        <v>315</v>
      </c>
      <c r="AB73" s="85">
        <f t="shared" si="10"/>
        <v>110880</v>
      </c>
      <c r="AC73" s="85">
        <f>VLOOKUP(K73,'Company Volumes'!$B$20:$C$259,2)</f>
        <v>50413.408785450651</v>
      </c>
      <c r="AD73" s="153">
        <f t="shared" si="11"/>
        <v>110880</v>
      </c>
      <c r="AE73" s="150"/>
      <c r="AF73" s="150">
        <v>0</v>
      </c>
      <c r="AG73" s="150">
        <v>0</v>
      </c>
      <c r="AH73" s="150">
        <f t="shared" si="12"/>
        <v>10611215.661621094</v>
      </c>
      <c r="AI73" s="150">
        <f t="shared" si="13"/>
        <v>10611215.661621094</v>
      </c>
      <c r="AJ73" s="150">
        <f t="shared" si="14"/>
        <v>4670029.6550068976</v>
      </c>
      <c r="AK73" s="85">
        <f t="shared" si="15"/>
        <v>58019.188181276149</v>
      </c>
      <c r="AL73" s="85">
        <f t="shared" si="16"/>
        <v>147948.92986225418</v>
      </c>
      <c r="AM73" s="85">
        <f t="shared" si="17"/>
        <v>257326.70342159597</v>
      </c>
      <c r="AN73" s="85">
        <f t="shared" si="7"/>
        <v>132670.54364118478</v>
      </c>
      <c r="AO73" s="85">
        <f t="shared" si="18"/>
        <v>29009.594090638075</v>
      </c>
      <c r="AP73" s="85">
        <f t="shared" si="30"/>
        <v>46500.558215233643</v>
      </c>
      <c r="AQ73" s="84">
        <f t="shared" si="19"/>
        <v>671475.51741218276</v>
      </c>
      <c r="AR73" s="85">
        <f t="shared" si="20"/>
        <v>14504.797045319037</v>
      </c>
      <c r="AS73" s="84">
        <f t="shared" si="35"/>
        <v>30387.755000000001</v>
      </c>
      <c r="AT73" s="85">
        <f t="shared" si="21"/>
        <v>73878.494196443877</v>
      </c>
      <c r="AU73" s="84">
        <f t="shared" si="22"/>
        <v>5460276.2186608426</v>
      </c>
      <c r="AV73" s="84">
        <f t="shared" si="8"/>
        <v>5150939.4429602511</v>
      </c>
      <c r="AW73" s="453"/>
      <c r="AX73" s="93">
        <f t="shared" ref="AX73:AX136" si="43">K73</f>
        <v>38534</v>
      </c>
      <c r="BA73" s="315"/>
      <c r="BB73" s="134">
        <f t="shared" si="23"/>
        <v>95.699996948242188</v>
      </c>
      <c r="BC73" s="134">
        <f>'Curve Analysis - Base Case'!D65</f>
        <v>44.438639596216575</v>
      </c>
      <c r="BD73" s="131">
        <f t="shared" si="24"/>
        <v>7.3409250736419004E-2</v>
      </c>
      <c r="BE73" s="131">
        <f t="shared" si="25"/>
        <v>7.3409250736419004E-2</v>
      </c>
      <c r="BF73" s="365">
        <f>PJM_01212000!X73</f>
        <v>0.23585126399999998</v>
      </c>
      <c r="BG73" s="85">
        <f t="shared" si="26"/>
        <v>1960</v>
      </c>
      <c r="BH73" s="84">
        <f t="shared" si="27"/>
        <v>110880</v>
      </c>
      <c r="BJ73" s="537">
        <f>_xll.EURO(BB73,BC73,BD73,BE73,BF73,BG73,1,0)*BH73</f>
        <v>3927511.1816508407</v>
      </c>
      <c r="BK73" s="84">
        <f t="shared" si="28"/>
        <v>4012097.5344679644</v>
      </c>
      <c r="BM73" s="84">
        <f t="shared" si="29"/>
        <v>-84586.352817123756</v>
      </c>
    </row>
    <row r="74" spans="1:65">
      <c r="A74" s="78">
        <f t="shared" si="40"/>
        <v>68</v>
      </c>
      <c r="C74" s="78">
        <v>31</v>
      </c>
      <c r="D74" s="78" t="s">
        <v>68</v>
      </c>
      <c r="E74" s="113">
        <f t="shared" si="41"/>
        <v>38565</v>
      </c>
      <c r="F74" s="85">
        <f t="shared" si="37"/>
        <v>23</v>
      </c>
      <c r="G74" s="84">
        <f t="shared" si="38"/>
        <v>8</v>
      </c>
      <c r="H74" s="84"/>
      <c r="I74" s="84"/>
      <c r="J74" s="78">
        <f t="shared" si="42"/>
        <v>31</v>
      </c>
      <c r="K74" s="149">
        <v>38565</v>
      </c>
      <c r="L74" s="508">
        <v>7.3433495148302011E-2</v>
      </c>
      <c r="M74" s="509">
        <v>6.5855941576409005E-2</v>
      </c>
      <c r="N74" s="132">
        <f t="shared" si="39"/>
        <v>0.67109618793239023</v>
      </c>
      <c r="O74" s="133">
        <f>VLOOKUP(K74,Inflation!$B$8:$C$266,2)</f>
        <v>1.1629628642504859</v>
      </c>
      <c r="P74" s="132"/>
      <c r="Q74" s="134">
        <f>VLOOKUP(K74,'Fuel Curve'!$B$11:$F$268,5)</f>
        <v>4.4837931034482761</v>
      </c>
      <c r="R74" s="238">
        <f>VLOOKUP(K74,'Fuel Curve Simulation'!$B$12:$J$258,9)</f>
        <v>4.4837931034482761</v>
      </c>
      <c r="S74" s="134">
        <f t="shared" si="6"/>
        <v>42.950254137931033</v>
      </c>
      <c r="T74" s="136"/>
      <c r="V74" s="135">
        <f>VLOOKUP(K74,PJM_01212000!$A$7:$C$259,3)</f>
        <v>82.699996948242188</v>
      </c>
      <c r="W74" s="486"/>
      <c r="X74" s="118">
        <f>'PJM Curve Simulation'!J74</f>
        <v>82.699996948242188</v>
      </c>
      <c r="Y74" s="512"/>
      <c r="Z74" s="137"/>
      <c r="AA74" s="78">
        <f t="shared" ref="AA74:AA137" si="44">AA73</f>
        <v>315</v>
      </c>
      <c r="AB74" s="85">
        <f t="shared" si="10"/>
        <v>115920</v>
      </c>
      <c r="AC74" s="85">
        <f>VLOOKUP(K74,'Company Volumes'!$B$20:$C$259,2)</f>
        <v>33608.939190300436</v>
      </c>
      <c r="AD74" s="153">
        <f t="shared" si="11"/>
        <v>115920</v>
      </c>
      <c r="AE74" s="150"/>
      <c r="AF74" s="150">
        <v>0</v>
      </c>
      <c r="AG74" s="150">
        <v>0</v>
      </c>
      <c r="AH74" s="150">
        <f t="shared" si="12"/>
        <v>9586583.6462402344</v>
      </c>
      <c r="AI74" s="150">
        <f t="shared" si="13"/>
        <v>9586583.6462402344</v>
      </c>
      <c r="AJ74" s="150">
        <f t="shared" si="14"/>
        <v>4978793.4596689651</v>
      </c>
      <c r="AK74" s="85">
        <f t="shared" si="15"/>
        <v>58148.143212524294</v>
      </c>
      <c r="AL74" s="85">
        <f t="shared" si="16"/>
        <v>148277.76519193695</v>
      </c>
      <c r="AM74" s="85">
        <f t="shared" si="17"/>
        <v>269621.31044783263</v>
      </c>
      <c r="AN74" s="85">
        <f t="shared" si="7"/>
        <v>132965.42081263888</v>
      </c>
      <c r="AO74" s="85">
        <f t="shared" si="18"/>
        <v>29074.071606262147</v>
      </c>
      <c r="AP74" s="85">
        <f t="shared" si="30"/>
        <v>46500.558215233643</v>
      </c>
      <c r="AQ74" s="84">
        <f t="shared" si="19"/>
        <v>684587.26948642859</v>
      </c>
      <c r="AR74" s="85">
        <f t="shared" si="20"/>
        <v>14537.035803131073</v>
      </c>
      <c r="AS74" s="84">
        <f t="shared" si="35"/>
        <v>30387.755000000001</v>
      </c>
      <c r="AT74" s="85">
        <f t="shared" si="21"/>
        <v>66893.044653650446</v>
      </c>
      <c r="AU74" s="84">
        <f t="shared" si="22"/>
        <v>5775198.5646121744</v>
      </c>
      <c r="AV74" s="84">
        <f t="shared" si="8"/>
        <v>3811385.08162806</v>
      </c>
      <c r="AW74" s="453"/>
      <c r="AX74" s="93">
        <f t="shared" si="43"/>
        <v>38565</v>
      </c>
      <c r="BA74" s="315"/>
      <c r="BB74" s="134">
        <f t="shared" si="23"/>
        <v>82.699996948242188</v>
      </c>
      <c r="BC74" s="134">
        <f>'Curve Analysis - Base Case'!D66</f>
        <v>45.276179866432003</v>
      </c>
      <c r="BD74" s="131">
        <f t="shared" si="24"/>
        <v>7.3433495148302011E-2</v>
      </c>
      <c r="BE74" s="131">
        <f t="shared" si="25"/>
        <v>7.3433495148302011E-2</v>
      </c>
      <c r="BF74" s="365">
        <f>PJM_01212000!X74</f>
        <v>0.23585126399999998</v>
      </c>
      <c r="BG74" s="85">
        <f t="shared" si="26"/>
        <v>1991</v>
      </c>
      <c r="BH74" s="84">
        <f t="shared" si="27"/>
        <v>115920</v>
      </c>
      <c r="BJ74" s="537">
        <f>_xll.EURO(BB74,BC74,BD74,BE74,BF74,BG74,1,0)*BH74</f>
        <v>3084409.5888274624</v>
      </c>
      <c r="BK74" s="84">
        <f t="shared" si="28"/>
        <v>3092270.4290002561</v>
      </c>
      <c r="BM74" s="84">
        <f t="shared" si="29"/>
        <v>-7860.8401727937162</v>
      </c>
    </row>
    <row r="75" spans="1:65">
      <c r="A75" s="78">
        <f t="shared" si="40"/>
        <v>69</v>
      </c>
      <c r="C75" s="78">
        <v>30</v>
      </c>
      <c r="D75" s="78" t="s">
        <v>69</v>
      </c>
      <c r="E75" s="113">
        <f t="shared" si="41"/>
        <v>38596</v>
      </c>
      <c r="F75" s="85">
        <f t="shared" si="37"/>
        <v>20</v>
      </c>
      <c r="G75" s="84">
        <f t="shared" si="38"/>
        <v>10</v>
      </c>
      <c r="H75" s="84"/>
      <c r="I75" s="84"/>
      <c r="J75" s="78">
        <f t="shared" si="42"/>
        <v>30</v>
      </c>
      <c r="K75" s="149">
        <v>38596</v>
      </c>
      <c r="L75" s="508">
        <v>7.3457739560380028E-2</v>
      </c>
      <c r="M75" s="509">
        <v>6.5842705519321004E-2</v>
      </c>
      <c r="N75" s="132">
        <f t="shared" si="39"/>
        <v>0.6669134676770353</v>
      </c>
      <c r="O75" s="133">
        <f>VLOOKUP(K75,Inflation!$B$8:$C$266,2)</f>
        <v>1.1655476972548928</v>
      </c>
      <c r="P75" s="132"/>
      <c r="Q75" s="134">
        <f>VLOOKUP(K75,'Fuel Curve'!$B$11:$F$268,5)</f>
        <v>4.5743103448275866</v>
      </c>
      <c r="R75" s="238">
        <f>VLOOKUP(K75,'Fuel Curve Simulation'!$B$12:$J$258,9)</f>
        <v>4.5743103448275866</v>
      </c>
      <c r="S75" s="134">
        <f t="shared" si="6"/>
        <v>43.817318793103453</v>
      </c>
      <c r="T75" s="136"/>
      <c r="V75" s="135">
        <f>VLOOKUP(K75,PJM_01212000!$A$7:$C$259,3)</f>
        <v>33.924998474121097</v>
      </c>
      <c r="W75" s="486"/>
      <c r="X75" s="118">
        <f>'PJM Curve Simulation'!J75</f>
        <v>33.924998474121097</v>
      </c>
      <c r="Y75" s="512"/>
      <c r="Z75" s="137"/>
      <c r="AA75" s="78">
        <f t="shared" si="44"/>
        <v>315</v>
      </c>
      <c r="AB75" s="85">
        <f t="shared" si="10"/>
        <v>100800</v>
      </c>
      <c r="AC75" s="85">
        <f>VLOOKUP(K75,'Company Volumes'!$B$20:$C$259,2)</f>
        <v>19519.960156473771</v>
      </c>
      <c r="AD75" s="153">
        <f t="shared" si="11"/>
        <v>0</v>
      </c>
      <c r="AE75" s="150"/>
      <c r="AF75" s="150">
        <v>0</v>
      </c>
      <c r="AG75" s="150">
        <v>0</v>
      </c>
      <c r="AH75" s="150">
        <f t="shared" si="12"/>
        <v>0</v>
      </c>
      <c r="AI75" s="150">
        <f t="shared" si="13"/>
        <v>0</v>
      </c>
      <c r="AJ75" s="150">
        <f t="shared" si="14"/>
        <v>0</v>
      </c>
      <c r="AK75" s="85">
        <f t="shared" si="15"/>
        <v>58277.384862744635</v>
      </c>
      <c r="AL75" s="85">
        <f t="shared" si="16"/>
        <v>148607.33139999883</v>
      </c>
      <c r="AM75" s="85">
        <f t="shared" si="17"/>
        <v>0</v>
      </c>
      <c r="AN75" s="85">
        <f t="shared" si="7"/>
        <v>133260.95338614273</v>
      </c>
      <c r="AO75" s="85">
        <f t="shared" si="18"/>
        <v>29138.692431372318</v>
      </c>
      <c r="AP75" s="85">
        <f t="shared" si="30"/>
        <v>46500.558215233643</v>
      </c>
      <c r="AQ75" s="84">
        <f t="shared" si="19"/>
        <v>415784.92029549216</v>
      </c>
      <c r="AR75" s="85">
        <f t="shared" si="20"/>
        <v>14569.346215686159</v>
      </c>
      <c r="AS75" s="84">
        <f t="shared" si="35"/>
        <v>30387.755000000001</v>
      </c>
      <c r="AT75" s="85">
        <f t="shared" si="21"/>
        <v>0</v>
      </c>
      <c r="AU75" s="84">
        <f t="shared" si="22"/>
        <v>460742.02151117835</v>
      </c>
      <c r="AV75" s="84">
        <f t="shared" si="8"/>
        <v>-460742.02151117835</v>
      </c>
      <c r="AW75" s="453"/>
      <c r="AX75" s="93">
        <f t="shared" si="43"/>
        <v>38596</v>
      </c>
      <c r="BA75" s="315"/>
      <c r="BB75" s="134">
        <f t="shared" si="23"/>
        <v>33.924998474121097</v>
      </c>
      <c r="BC75" s="134">
        <f>'Curve Analysis - Base Case'!D67</f>
        <v>46.148414187613241</v>
      </c>
      <c r="BD75" s="131">
        <f t="shared" si="24"/>
        <v>7.3457739560380028E-2</v>
      </c>
      <c r="BE75" s="131">
        <f t="shared" si="25"/>
        <v>7.3457739560380028E-2</v>
      </c>
      <c r="BF75" s="365">
        <f>PJM_01212000!X75</f>
        <v>0.15160319999999997</v>
      </c>
      <c r="BG75" s="85">
        <f t="shared" si="26"/>
        <v>2022</v>
      </c>
      <c r="BH75" s="84">
        <f t="shared" si="27"/>
        <v>0</v>
      </c>
      <c r="BJ75" s="537">
        <f>_xll.EURO(BB75,BC75,BD75,BE75,BF75,BG75,1,0)*BH75</f>
        <v>0</v>
      </c>
      <c r="BK75" s="84">
        <f t="shared" si="28"/>
        <v>0</v>
      </c>
      <c r="BM75" s="84">
        <f t="shared" si="29"/>
        <v>0</v>
      </c>
    </row>
    <row r="76" spans="1:65">
      <c r="A76" s="78">
        <f t="shared" si="40"/>
        <v>70</v>
      </c>
      <c r="C76" s="78">
        <v>31</v>
      </c>
      <c r="D76" s="78" t="s">
        <v>70</v>
      </c>
      <c r="E76" s="113">
        <f t="shared" si="41"/>
        <v>38626</v>
      </c>
      <c r="F76" s="85">
        <f t="shared" si="37"/>
        <v>23</v>
      </c>
      <c r="G76" s="84">
        <f t="shared" si="38"/>
        <v>8</v>
      </c>
      <c r="H76" s="84"/>
      <c r="I76" s="84"/>
      <c r="J76" s="78">
        <f t="shared" si="42"/>
        <v>31</v>
      </c>
      <c r="K76" s="149">
        <v>38626</v>
      </c>
      <c r="L76" s="508">
        <v>7.3481201894832995E-2</v>
      </c>
      <c r="M76" s="509">
        <v>6.5829896432977014E-2</v>
      </c>
      <c r="N76" s="132">
        <f t="shared" si="39"/>
        <v>0.66288799270644394</v>
      </c>
      <c r="O76" s="133">
        <f>VLOOKUP(K76,Inflation!$B$8:$C$266,2)</f>
        <v>1.1681382753796865</v>
      </c>
      <c r="P76" s="132"/>
      <c r="Q76" s="134">
        <f>VLOOKUP(K76,'Fuel Curve'!$B$11:$F$268,5)</f>
        <v>4.6634482758620699</v>
      </c>
      <c r="R76" s="238">
        <f>VLOOKUP(K76,'Fuel Curve Simulation'!$B$12:$J$258,9)</f>
        <v>4.6634482758620699</v>
      </c>
      <c r="S76" s="134">
        <f t="shared" ref="S76:S139" si="45">(R76*$S$2)/1000</f>
        <v>44.671171034482768</v>
      </c>
      <c r="T76" s="136"/>
      <c r="V76" s="135">
        <f>VLOOKUP(K76,PJM_01212000!$A$7:$C$259,3)</f>
        <v>27.575000381469728</v>
      </c>
      <c r="W76" s="486"/>
      <c r="X76" s="118">
        <f>'PJM Curve Simulation'!J76</f>
        <v>27.575000381469728</v>
      </c>
      <c r="Y76" s="512"/>
      <c r="Z76" s="137"/>
      <c r="AA76" s="78">
        <f t="shared" si="44"/>
        <v>315</v>
      </c>
      <c r="AB76" s="85">
        <f t="shared" ref="AB76:AB139" si="46">AA76*F76*16</f>
        <v>115920</v>
      </c>
      <c r="AC76" s="85">
        <f>VLOOKUP(K76,'Company Volumes'!$B$20:$C$259,2)</f>
        <v>3662.9201713035541</v>
      </c>
      <c r="AD76" s="153">
        <f t="shared" si="11"/>
        <v>0</v>
      </c>
      <c r="AE76" s="150"/>
      <c r="AF76" s="150">
        <v>0</v>
      </c>
      <c r="AG76" s="150">
        <v>0</v>
      </c>
      <c r="AH76" s="150">
        <f t="shared" si="12"/>
        <v>0</v>
      </c>
      <c r="AI76" s="150">
        <f t="shared" si="13"/>
        <v>0</v>
      </c>
      <c r="AJ76" s="150">
        <f t="shared" si="14"/>
        <v>0</v>
      </c>
      <c r="AK76" s="85">
        <f t="shared" si="15"/>
        <v>58406.913768984326</v>
      </c>
      <c r="AL76" s="85">
        <f t="shared" si="16"/>
        <v>148937.63011091002</v>
      </c>
      <c r="AM76" s="85">
        <f t="shared" ref="AM76:AM139" si="47">AD76*$AM$5*1000*O76</f>
        <v>0</v>
      </c>
      <c r="AN76" s="85">
        <f t="shared" ref="AN76:AN139" si="48">(($AN$5*O76)/12)*$S$4</f>
        <v>133557.14281841082</v>
      </c>
      <c r="AO76" s="85">
        <f t="shared" si="18"/>
        <v>29203.456884492163</v>
      </c>
      <c r="AP76" s="85">
        <f t="shared" si="30"/>
        <v>46500.558215233643</v>
      </c>
      <c r="AQ76" s="84">
        <f t="shared" si="19"/>
        <v>416605.70179803099</v>
      </c>
      <c r="AR76" s="85">
        <f t="shared" si="20"/>
        <v>14601.728442246082</v>
      </c>
      <c r="AS76" s="84">
        <f t="shared" si="35"/>
        <v>30387.755000000001</v>
      </c>
      <c r="AT76" s="85">
        <f t="shared" si="21"/>
        <v>0</v>
      </c>
      <c r="AU76" s="84">
        <f t="shared" si="22"/>
        <v>461595.18524027709</v>
      </c>
      <c r="AV76" s="84">
        <f t="shared" ref="AV76:AV139" si="49">AI76-AU76</f>
        <v>-461595.18524027709</v>
      </c>
      <c r="AW76" s="453"/>
      <c r="AX76" s="93">
        <f t="shared" si="43"/>
        <v>38626</v>
      </c>
      <c r="BA76" s="315"/>
      <c r="BB76" s="134">
        <f t="shared" si="23"/>
        <v>27.575000381469728</v>
      </c>
      <c r="BC76" s="134">
        <f>'Curve Analysis - Base Case'!D68</f>
        <v>47.00744758524214</v>
      </c>
      <c r="BD76" s="131">
        <f t="shared" si="24"/>
        <v>7.3481201894832995E-2</v>
      </c>
      <c r="BE76" s="131">
        <f t="shared" si="25"/>
        <v>7.3481201894832995E-2</v>
      </c>
      <c r="BF76" s="365">
        <f>PJM_01212000!X76</f>
        <v>0.10720511999999997</v>
      </c>
      <c r="BG76" s="85">
        <f t="shared" si="26"/>
        <v>2052</v>
      </c>
      <c r="BH76" s="84">
        <f t="shared" si="27"/>
        <v>0</v>
      </c>
      <c r="BJ76" s="537">
        <f>_xll.EURO(BB76,BC76,BD76,BE76,BF76,BG76,1,0)*BH76</f>
        <v>0</v>
      </c>
      <c r="BK76" s="84">
        <f t="shared" si="28"/>
        <v>0</v>
      </c>
      <c r="BM76" s="84">
        <f t="shared" si="29"/>
        <v>0</v>
      </c>
    </row>
    <row r="77" spans="1:65">
      <c r="A77" s="78">
        <f t="shared" si="40"/>
        <v>71</v>
      </c>
      <c r="C77" s="78">
        <v>30</v>
      </c>
      <c r="D77" s="78" t="s">
        <v>71</v>
      </c>
      <c r="E77" s="113">
        <f t="shared" si="41"/>
        <v>38657</v>
      </c>
      <c r="F77" s="85">
        <f t="shared" si="37"/>
        <v>22</v>
      </c>
      <c r="G77" s="84">
        <f t="shared" si="38"/>
        <v>8</v>
      </c>
      <c r="H77" s="84"/>
      <c r="I77" s="84"/>
      <c r="J77" s="78">
        <f t="shared" si="42"/>
        <v>30</v>
      </c>
      <c r="K77" s="149">
        <v>38657</v>
      </c>
      <c r="L77" s="508">
        <v>7.3505446307292013E-2</v>
      </c>
      <c r="M77" s="509">
        <v>6.5816660378287012E-2</v>
      </c>
      <c r="N77" s="132">
        <f t="shared" si="39"/>
        <v>0.65875128780759895</v>
      </c>
      <c r="O77" s="133">
        <f>VLOOKUP(K77,Inflation!$B$8:$C$266,2)</f>
        <v>1.1707346113941288</v>
      </c>
      <c r="P77" s="132"/>
      <c r="Q77" s="134">
        <f>VLOOKUP(K77,'Fuel Curve'!$B$11:$F$268,5)</f>
        <v>4.7489655172413805</v>
      </c>
      <c r="R77" s="238">
        <f>VLOOKUP(K77,'Fuel Curve Simulation'!$B$12:$J$258,9)</f>
        <v>4.7489655172413805</v>
      </c>
      <c r="S77" s="134">
        <f t="shared" si="45"/>
        <v>45.490340689655184</v>
      </c>
      <c r="T77" s="136"/>
      <c r="V77" s="135">
        <f>VLOOKUP(K77,PJM_01212000!$A$7:$C$259,3)</f>
        <v>27.247499084472658</v>
      </c>
      <c r="W77" s="486"/>
      <c r="X77" s="118">
        <f>'PJM Curve Simulation'!J77</f>
        <v>27.247499084472658</v>
      </c>
      <c r="Y77" s="512"/>
      <c r="Z77" s="137"/>
      <c r="AA77" s="78">
        <f t="shared" si="44"/>
        <v>315</v>
      </c>
      <c r="AB77" s="85">
        <f t="shared" si="46"/>
        <v>110880</v>
      </c>
      <c r="AC77" s="85">
        <f>VLOOKUP(K77,'Company Volumes'!$B$20:$C$259,2)</f>
        <v>8335.2542727128857</v>
      </c>
      <c r="AD77" s="153">
        <f t="shared" ref="AD77:AD140" si="50">IF(V77&gt;S77+($AM$5*1000*O77),AA77*F77*16,0)</f>
        <v>0</v>
      </c>
      <c r="AE77" s="150"/>
      <c r="AF77" s="150">
        <v>0</v>
      </c>
      <c r="AG77" s="150">
        <v>0</v>
      </c>
      <c r="AH77" s="150">
        <f t="shared" ref="AH77:AH140" si="51">X77*AD77</f>
        <v>0</v>
      </c>
      <c r="AI77" s="150">
        <f t="shared" ref="AI77:AI140" si="52">SUM(AF77:AH77)</f>
        <v>0</v>
      </c>
      <c r="AJ77" s="150">
        <f t="shared" ref="AJ77:AJ140" si="53">(AD77*1000*$S$2)/1000000*R77</f>
        <v>0</v>
      </c>
      <c r="AK77" s="85">
        <f t="shared" ref="AK77:AK140" si="54">($AK$5*O77)/12</f>
        <v>58536.730569706444</v>
      </c>
      <c r="AL77" s="85">
        <f t="shared" ref="AL77:AL140" si="55">($AL$5*O77)/12</f>
        <v>149268.66295275142</v>
      </c>
      <c r="AM77" s="85">
        <f t="shared" si="47"/>
        <v>0</v>
      </c>
      <c r="AN77" s="85">
        <f t="shared" si="48"/>
        <v>133853.99056939539</v>
      </c>
      <c r="AO77" s="85">
        <f t="shared" ref="AO77:AO140" si="56">($AO$5*O77)/12</f>
        <v>29268.365284853222</v>
      </c>
      <c r="AP77" s="85">
        <f t="shared" si="30"/>
        <v>46500.558215233643</v>
      </c>
      <c r="AQ77" s="84">
        <f t="shared" ref="AQ77:AQ140" si="57">SUM(AK77:AP77)</f>
        <v>417428.30759194016</v>
      </c>
      <c r="AR77" s="85">
        <f t="shared" ref="AR77:AR140" si="58">($AR$5*O77)/12</f>
        <v>14634.182642426611</v>
      </c>
      <c r="AS77" s="84">
        <f t="shared" si="35"/>
        <v>30387.755000000001</v>
      </c>
      <c r="AT77" s="85">
        <f t="shared" ref="AT77:AT140" si="59">(AI77/100)*$AT$6*O77</f>
        <v>0</v>
      </c>
      <c r="AU77" s="84">
        <f t="shared" ref="AU77:AU140" si="60">SUM(AJ77:AT77)-AQ77</f>
        <v>462450.24523436674</v>
      </c>
      <c r="AV77" s="84">
        <f t="shared" si="49"/>
        <v>-462450.24523436674</v>
      </c>
      <c r="AW77" s="453"/>
      <c r="AX77" s="93">
        <f t="shared" si="43"/>
        <v>38657</v>
      </c>
      <c r="BA77" s="315"/>
      <c r="BB77" s="134">
        <f t="shared" ref="BB77:BB140" si="61">X77</f>
        <v>27.247499084472658</v>
      </c>
      <c r="BC77" s="134">
        <f>'Curve Analysis - Base Case'!D69</f>
        <v>47.83180991244344</v>
      </c>
      <c r="BD77" s="131">
        <f t="shared" ref="BD77:BD140" si="62">L77</f>
        <v>7.3505446307292013E-2</v>
      </c>
      <c r="BE77" s="131">
        <f t="shared" ref="BE77:BE140" si="63">L77</f>
        <v>7.3505446307292013E-2</v>
      </c>
      <c r="BF77" s="365">
        <f>PJM_01212000!X77</f>
        <v>0.10720511999999997</v>
      </c>
      <c r="BG77" s="85">
        <f t="shared" ref="BG77:BG140" si="64">(AX77+15)-$K$1</f>
        <v>2083</v>
      </c>
      <c r="BH77" s="84">
        <f t="shared" ref="BH77:BH140" si="65">AD77</f>
        <v>0</v>
      </c>
      <c r="BJ77" s="537">
        <f>_xll.EURO(BB77,BC77,BD77,BE77,BF77,BG77,1,0)*BH77</f>
        <v>0</v>
      </c>
      <c r="BK77" s="84">
        <f t="shared" ref="BK77:BK140" si="66">(AI77-AJ77)*N77</f>
        <v>0</v>
      </c>
      <c r="BM77" s="84">
        <f t="shared" ref="BM77:BM140" si="67">BJ77-BK77</f>
        <v>0</v>
      </c>
    </row>
    <row r="78" spans="1:65">
      <c r="A78" s="78">
        <f t="shared" si="40"/>
        <v>72</v>
      </c>
      <c r="C78" s="78">
        <v>31</v>
      </c>
      <c r="D78" s="78" t="s">
        <v>72</v>
      </c>
      <c r="E78" s="113">
        <f t="shared" si="41"/>
        <v>38687</v>
      </c>
      <c r="F78" s="85">
        <f t="shared" si="37"/>
        <v>21</v>
      </c>
      <c r="G78" s="84">
        <f t="shared" si="38"/>
        <v>10</v>
      </c>
      <c r="H78" s="84">
        <f>SUM(F67:G78)</f>
        <v>365</v>
      </c>
      <c r="I78" s="84"/>
      <c r="J78" s="78">
        <f t="shared" si="42"/>
        <v>31</v>
      </c>
      <c r="K78" s="149">
        <v>38687</v>
      </c>
      <c r="L78" s="508">
        <v>7.3528908642115018E-2</v>
      </c>
      <c r="M78" s="509">
        <v>6.5803851294264998E-2</v>
      </c>
      <c r="N78" s="132">
        <f t="shared" si="39"/>
        <v>0.6547701320602235</v>
      </c>
      <c r="O78" s="133">
        <f>VLOOKUP(K78,Inflation!$B$8:$C$266,2)</f>
        <v>1.1733367180958618</v>
      </c>
      <c r="P78" s="132"/>
      <c r="Q78" s="134">
        <f>VLOOKUP(K78,'Fuel Curve'!$B$11:$F$268,5)</f>
        <v>4.7894827586206903</v>
      </c>
      <c r="R78" s="238">
        <f>VLOOKUP(K78,'Fuel Curve Simulation'!$B$12:$J$258,9)</f>
        <v>4.7894827586206903</v>
      </c>
      <c r="S78" s="134">
        <f t="shared" si="45"/>
        <v>45.878455344827593</v>
      </c>
      <c r="T78" s="136"/>
      <c r="V78" s="135">
        <f>VLOOKUP(K78,PJM_01212000!$A$7:$C$259,3)</f>
        <v>28.999999618530275</v>
      </c>
      <c r="W78" s="486"/>
      <c r="X78" s="118">
        <f>'PJM Curve Simulation'!J78</f>
        <v>28.999999618530275</v>
      </c>
      <c r="Y78" s="512"/>
      <c r="Z78" s="137"/>
      <c r="AA78" s="78">
        <f t="shared" si="44"/>
        <v>315</v>
      </c>
      <c r="AB78" s="85">
        <f t="shared" si="46"/>
        <v>105840</v>
      </c>
      <c r="AC78" s="85">
        <f>VLOOKUP(K78,'Company Volumes'!$B$20:$C$259,2)</f>
        <v>8335.2542727128857</v>
      </c>
      <c r="AD78" s="153">
        <f t="shared" si="50"/>
        <v>0</v>
      </c>
      <c r="AE78" s="150"/>
      <c r="AF78" s="150">
        <v>0</v>
      </c>
      <c r="AG78" s="150">
        <v>0</v>
      </c>
      <c r="AH78" s="150">
        <f t="shared" si="51"/>
        <v>0</v>
      </c>
      <c r="AI78" s="150">
        <f t="shared" si="52"/>
        <v>0</v>
      </c>
      <c r="AJ78" s="150">
        <f t="shared" si="53"/>
        <v>0</v>
      </c>
      <c r="AK78" s="85">
        <f t="shared" si="54"/>
        <v>58666.835904793086</v>
      </c>
      <c r="AL78" s="85">
        <f t="shared" si="55"/>
        <v>149600.43155722239</v>
      </c>
      <c r="AM78" s="85">
        <f t="shared" si="47"/>
        <v>0</v>
      </c>
      <c r="AN78" s="85">
        <f t="shared" si="48"/>
        <v>134151.49810229352</v>
      </c>
      <c r="AO78" s="85">
        <f t="shared" si="56"/>
        <v>29333.417952396543</v>
      </c>
      <c r="AP78" s="85">
        <f t="shared" ref="AP78:AP141" si="68">AP77</f>
        <v>46500.558215233643</v>
      </c>
      <c r="AQ78" s="84">
        <f t="shared" si="57"/>
        <v>418252.74173193914</v>
      </c>
      <c r="AR78" s="85">
        <f t="shared" si="58"/>
        <v>14666.708976198272</v>
      </c>
      <c r="AS78" s="84">
        <f t="shared" si="35"/>
        <v>30387.755000000001</v>
      </c>
      <c r="AT78" s="85">
        <f t="shared" si="59"/>
        <v>0</v>
      </c>
      <c r="AU78" s="84">
        <f t="shared" si="60"/>
        <v>463307.20570813736</v>
      </c>
      <c r="AV78" s="84">
        <f t="shared" si="49"/>
        <v>-463307.20570813736</v>
      </c>
      <c r="AW78" s="453"/>
      <c r="AX78" s="93">
        <f t="shared" si="43"/>
        <v>38687</v>
      </c>
      <c r="AY78" s="85">
        <f ca="1">'Debt Amortization'!M8</f>
        <v>3321396.0809372067</v>
      </c>
      <c r="AZ78" s="85">
        <f ca="1">AY78*N78</f>
        <v>2174750.9505395638</v>
      </c>
      <c r="BA78" s="315"/>
      <c r="BB78" s="134">
        <f t="shared" si="61"/>
        <v>28.999999618530275</v>
      </c>
      <c r="BC78" s="134">
        <f>'Curve Analysis - Base Case'!D70</f>
        <v>48.225128781019315</v>
      </c>
      <c r="BD78" s="131">
        <f t="shared" si="62"/>
        <v>7.3528908642115018E-2</v>
      </c>
      <c r="BE78" s="131">
        <f t="shared" si="63"/>
        <v>7.3528908642115018E-2</v>
      </c>
      <c r="BF78" s="365">
        <f>PJM_01212000!X78</f>
        <v>0.10720511999999997</v>
      </c>
      <c r="BG78" s="85">
        <f t="shared" si="64"/>
        <v>2113</v>
      </c>
      <c r="BH78" s="84">
        <f t="shared" si="65"/>
        <v>0</v>
      </c>
      <c r="BJ78" s="537">
        <f>_xll.EURO(BB78,BC78,BD78,BE78,BF78,BG78,1,0)*BH78</f>
        <v>0</v>
      </c>
      <c r="BK78" s="84">
        <f t="shared" si="66"/>
        <v>0</v>
      </c>
      <c r="BM78" s="84">
        <f t="shared" si="67"/>
        <v>0</v>
      </c>
    </row>
    <row r="79" spans="1:65">
      <c r="A79" s="78">
        <f t="shared" si="40"/>
        <v>73</v>
      </c>
      <c r="C79" s="78">
        <v>31</v>
      </c>
      <c r="D79" s="78" t="s">
        <v>62</v>
      </c>
      <c r="E79" s="113">
        <f t="shared" si="41"/>
        <v>38718</v>
      </c>
      <c r="F79" s="85">
        <f t="shared" si="37"/>
        <v>23</v>
      </c>
      <c r="G79" s="84">
        <f>C79-F79</f>
        <v>8</v>
      </c>
      <c r="H79" s="84"/>
      <c r="I79" s="84"/>
      <c r="J79" s="78">
        <f t="shared" si="42"/>
        <v>31</v>
      </c>
      <c r="K79" s="149">
        <v>38718</v>
      </c>
      <c r="L79" s="508">
        <v>7.3553153054956008E-2</v>
      </c>
      <c r="M79" s="509">
        <v>6.5790615241974021E-2</v>
      </c>
      <c r="N79" s="132">
        <f t="shared" si="39"/>
        <v>0.65067900568650605</v>
      </c>
      <c r="O79" s="133">
        <f>VLOOKUP(K79,Inflation!$B$8:$C$266,2)</f>
        <v>1.175944608310973</v>
      </c>
      <c r="P79" s="132"/>
      <c r="Q79" s="134">
        <f>VLOOKUP(K79,'Fuel Curve'!$B$11:$F$268,5)</f>
        <v>4.7308620689655179</v>
      </c>
      <c r="R79" s="238">
        <f>VLOOKUP(K79,'Fuel Curve Simulation'!$B$12:$J$258,9)</f>
        <v>4.7308620689655179</v>
      </c>
      <c r="S79" s="134">
        <f t="shared" si="45"/>
        <v>45.316927758620693</v>
      </c>
      <c r="T79" s="136"/>
      <c r="V79" s="135">
        <f>VLOOKUP(K79,PJM_01212000!$A$7:$C$259,3)</f>
        <v>37.824998474121088</v>
      </c>
      <c r="W79" s="486"/>
      <c r="X79" s="118">
        <f>'PJM Curve Simulation'!J79</f>
        <v>37.824998474121088</v>
      </c>
      <c r="Y79" s="512"/>
      <c r="Z79" s="137"/>
      <c r="AA79" s="78">
        <f t="shared" si="44"/>
        <v>315</v>
      </c>
      <c r="AB79" s="85">
        <f t="shared" si="46"/>
        <v>115920</v>
      </c>
      <c r="AC79" s="85">
        <f>VLOOKUP(K79,'Company Volumes'!$B$20:$C$259,2)</f>
        <v>17347.411018992443</v>
      </c>
      <c r="AD79" s="153">
        <f t="shared" si="50"/>
        <v>0</v>
      </c>
      <c r="AE79" s="150"/>
      <c r="AF79" s="150">
        <v>0</v>
      </c>
      <c r="AG79" s="150">
        <v>0</v>
      </c>
      <c r="AH79" s="150">
        <f t="shared" si="51"/>
        <v>0</v>
      </c>
      <c r="AI79" s="150">
        <f t="shared" si="52"/>
        <v>0</v>
      </c>
      <c r="AJ79" s="150">
        <f t="shared" si="53"/>
        <v>0</v>
      </c>
      <c r="AK79" s="85">
        <f t="shared" si="54"/>
        <v>58797.230415548656</v>
      </c>
      <c r="AL79" s="85">
        <f t="shared" si="55"/>
        <v>149932.93755964906</v>
      </c>
      <c r="AM79" s="85">
        <f t="shared" si="47"/>
        <v>0</v>
      </c>
      <c r="AN79" s="85">
        <f t="shared" si="48"/>
        <v>134449.6668835546</v>
      </c>
      <c r="AO79" s="85">
        <f t="shared" si="56"/>
        <v>29398.615207774328</v>
      </c>
      <c r="AP79" s="85">
        <f t="shared" si="68"/>
        <v>46500.558215233643</v>
      </c>
      <c r="AQ79" s="84">
        <f t="shared" si="57"/>
        <v>419079.00828176027</v>
      </c>
      <c r="AR79" s="85">
        <f t="shared" si="58"/>
        <v>14699.307603887164</v>
      </c>
      <c r="AS79" s="84">
        <f t="shared" si="35"/>
        <v>30387.755000000001</v>
      </c>
      <c r="AT79" s="85">
        <f t="shared" si="59"/>
        <v>0</v>
      </c>
      <c r="AU79" s="84">
        <f t="shared" si="60"/>
        <v>464166.07088564744</v>
      </c>
      <c r="AV79" s="84">
        <f t="shared" si="49"/>
        <v>-464166.07088564744</v>
      </c>
      <c r="AW79" s="453"/>
      <c r="AX79" s="93">
        <f t="shared" si="43"/>
        <v>38718</v>
      </c>
      <c r="BA79" s="315"/>
      <c r="BB79" s="134">
        <f t="shared" si="61"/>
        <v>37.824998474121088</v>
      </c>
      <c r="BC79" s="134">
        <f>'Curve Analysis - Base Case'!D71</f>
        <v>47.668816975242642</v>
      </c>
      <c r="BD79" s="131">
        <f t="shared" si="62"/>
        <v>7.3553153054956008E-2</v>
      </c>
      <c r="BE79" s="131">
        <f t="shared" si="63"/>
        <v>7.3553153054956008E-2</v>
      </c>
      <c r="BF79" s="365">
        <f>PJM_01212000!X79</f>
        <v>0.16466706431999997</v>
      </c>
      <c r="BG79" s="85">
        <f t="shared" si="64"/>
        <v>2144</v>
      </c>
      <c r="BH79" s="84">
        <f t="shared" si="65"/>
        <v>0</v>
      </c>
      <c r="BJ79" s="537">
        <f>_xll.EURO(BB79,BC79,BD79,BE79,BF79,BG79,1,0)*BH79</f>
        <v>0</v>
      </c>
      <c r="BK79" s="84">
        <f t="shared" si="66"/>
        <v>0</v>
      </c>
      <c r="BM79" s="84">
        <f t="shared" si="67"/>
        <v>0</v>
      </c>
    </row>
    <row r="80" spans="1:65">
      <c r="A80" s="78">
        <f t="shared" si="40"/>
        <v>74</v>
      </c>
      <c r="C80" s="78">
        <v>28</v>
      </c>
      <c r="D80" s="78" t="s">
        <v>63</v>
      </c>
      <c r="E80" s="113">
        <f t="shared" si="41"/>
        <v>38749</v>
      </c>
      <c r="F80" s="85">
        <f t="shared" si="37"/>
        <v>20</v>
      </c>
      <c r="G80" s="84">
        <f t="shared" ref="G80:G90" si="69">C80-F80</f>
        <v>8</v>
      </c>
      <c r="H80" s="84"/>
      <c r="I80" s="84"/>
      <c r="J80" s="78">
        <f t="shared" si="42"/>
        <v>28</v>
      </c>
      <c r="K80" s="149">
        <v>38749</v>
      </c>
      <c r="L80" s="508">
        <v>7.3577397468000016E-2</v>
      </c>
      <c r="M80" s="509">
        <v>6.5777379190902013E-2</v>
      </c>
      <c r="N80" s="132">
        <f t="shared" si="39"/>
        <v>0.64661087580678567</v>
      </c>
      <c r="O80" s="133">
        <f>VLOOKUP(K80,Inflation!$B$8:$C$266,2)</f>
        <v>1.1785582948940572</v>
      </c>
      <c r="P80" s="132"/>
      <c r="Q80" s="134">
        <f>VLOOKUP(K80,'Fuel Curve'!$B$11:$F$268,5)</f>
        <v>4.6294827586206901</v>
      </c>
      <c r="R80" s="238">
        <f>VLOOKUP(K80,'Fuel Curve Simulation'!$B$12:$J$258,9)</f>
        <v>4.6294827586206901</v>
      </c>
      <c r="S80" s="134">
        <f t="shared" si="45"/>
        <v>44.345815344827592</v>
      </c>
      <c r="T80" s="136"/>
      <c r="V80" s="135">
        <f>VLOOKUP(K80,PJM_01212000!$A$7:$C$259,3)</f>
        <v>37.824998474121088</v>
      </c>
      <c r="W80" s="486"/>
      <c r="X80" s="118">
        <f>'PJM Curve Simulation'!J80</f>
        <v>37.824998474121088</v>
      </c>
      <c r="Y80" s="512"/>
      <c r="Z80" s="137"/>
      <c r="AA80" s="78">
        <f t="shared" si="44"/>
        <v>315</v>
      </c>
      <c r="AB80" s="85">
        <f t="shared" si="46"/>
        <v>100800</v>
      </c>
      <c r="AC80" s="85">
        <f>VLOOKUP(K80,'Company Volumes'!$B$20:$C$259,2)</f>
        <v>752.76341374577783</v>
      </c>
      <c r="AD80" s="153">
        <f t="shared" si="50"/>
        <v>0</v>
      </c>
      <c r="AE80" s="150"/>
      <c r="AF80" s="150">
        <v>0</v>
      </c>
      <c r="AG80" s="150">
        <v>0</v>
      </c>
      <c r="AH80" s="150">
        <f t="shared" si="51"/>
        <v>0</v>
      </c>
      <c r="AI80" s="150">
        <f t="shared" si="52"/>
        <v>0</v>
      </c>
      <c r="AJ80" s="150">
        <f t="shared" si="53"/>
        <v>0</v>
      </c>
      <c r="AK80" s="85">
        <f t="shared" si="54"/>
        <v>58927.914744702859</v>
      </c>
      <c r="AL80" s="85">
        <f t="shared" si="55"/>
        <v>150266.18259899228</v>
      </c>
      <c r="AM80" s="85">
        <f t="shared" si="47"/>
        <v>0</v>
      </c>
      <c r="AN80" s="85">
        <f t="shared" si="48"/>
        <v>134748.49838288719</v>
      </c>
      <c r="AO80" s="85">
        <f t="shared" si="56"/>
        <v>29463.95737235143</v>
      </c>
      <c r="AP80" s="85">
        <f t="shared" si="68"/>
        <v>46500.558215233643</v>
      </c>
      <c r="AQ80" s="84">
        <f t="shared" si="57"/>
        <v>419907.11131416738</v>
      </c>
      <c r="AR80" s="85">
        <f t="shared" si="58"/>
        <v>14731.978686175715</v>
      </c>
      <c r="AS80" s="84">
        <f t="shared" si="35"/>
        <v>30387.755000000001</v>
      </c>
      <c r="AT80" s="85">
        <f t="shared" si="59"/>
        <v>0</v>
      </c>
      <c r="AU80" s="84">
        <f t="shared" si="60"/>
        <v>465026.84500034305</v>
      </c>
      <c r="AV80" s="84">
        <f t="shared" si="49"/>
        <v>-465026.84500034305</v>
      </c>
      <c r="AW80" s="453"/>
      <c r="AX80" s="93">
        <f t="shared" si="43"/>
        <v>38749</v>
      </c>
      <c r="BA80" s="315"/>
      <c r="BB80" s="134">
        <f t="shared" si="61"/>
        <v>37.824998474121088</v>
      </c>
      <c r="BC80" s="134">
        <f>'Curve Analysis - Base Case'!D72</f>
        <v>46.702931934615705</v>
      </c>
      <c r="BD80" s="131">
        <f t="shared" si="62"/>
        <v>7.3577397468000016E-2</v>
      </c>
      <c r="BE80" s="131">
        <f t="shared" si="63"/>
        <v>7.3577397468000016E-2</v>
      </c>
      <c r="BF80" s="365">
        <f>PJM_01212000!X80</f>
        <v>0.16466706431999997</v>
      </c>
      <c r="BG80" s="85">
        <f t="shared" si="64"/>
        <v>2175</v>
      </c>
      <c r="BH80" s="84">
        <f t="shared" si="65"/>
        <v>0</v>
      </c>
      <c r="BJ80" s="537">
        <f>_xll.EURO(BB80,BC80,BD80,BE80,BF80,BG80,1,0)*BH80</f>
        <v>0</v>
      </c>
      <c r="BK80" s="84">
        <f t="shared" si="66"/>
        <v>0</v>
      </c>
      <c r="BM80" s="84">
        <f t="shared" si="67"/>
        <v>0</v>
      </c>
    </row>
    <row r="81" spans="1:65">
      <c r="A81" s="78">
        <f t="shared" si="40"/>
        <v>75</v>
      </c>
      <c r="C81" s="78">
        <v>31</v>
      </c>
      <c r="D81" s="78" t="s">
        <v>64</v>
      </c>
      <c r="E81" s="113">
        <f t="shared" si="41"/>
        <v>38777</v>
      </c>
      <c r="F81" s="85">
        <f t="shared" si="37"/>
        <v>21</v>
      </c>
      <c r="G81" s="84">
        <f t="shared" si="69"/>
        <v>10</v>
      </c>
      <c r="H81" s="84"/>
      <c r="I81" s="84"/>
      <c r="J81" s="78">
        <f t="shared" si="42"/>
        <v>31</v>
      </c>
      <c r="K81" s="149">
        <v>38777</v>
      </c>
      <c r="L81" s="508">
        <v>7.3599295647674035E-2</v>
      </c>
      <c r="M81" s="509">
        <v>6.576542404904602E-2</v>
      </c>
      <c r="N81" s="132">
        <f t="shared" si="39"/>
        <v>0.64295610909713796</v>
      </c>
      <c r="O81" s="133">
        <f>VLOOKUP(K81,Inflation!$B$8:$C$266,2)</f>
        <v>1.1811777907282799</v>
      </c>
      <c r="P81" s="132"/>
      <c r="Q81" s="134">
        <f>VLOOKUP(K81,'Fuel Curve'!$B$11:$F$268,5)</f>
        <v>4.5308620689655177</v>
      </c>
      <c r="R81" s="238">
        <f>VLOOKUP(K81,'Fuel Curve Simulation'!$B$12:$J$258,9)</f>
        <v>4.5308620689655177</v>
      </c>
      <c r="S81" s="134">
        <f t="shared" si="45"/>
        <v>43.401127758620696</v>
      </c>
      <c r="T81" s="136"/>
      <c r="V81" s="135">
        <f>VLOOKUP(K81,PJM_01212000!$A$7:$C$259,3)</f>
        <v>27.550000762939455</v>
      </c>
      <c r="W81" s="486"/>
      <c r="X81" s="118">
        <f>'PJM Curve Simulation'!J81</f>
        <v>27.550000762939455</v>
      </c>
      <c r="Y81" s="512"/>
      <c r="Z81" s="137"/>
      <c r="AA81" s="78">
        <f t="shared" si="44"/>
        <v>315</v>
      </c>
      <c r="AB81" s="85">
        <f t="shared" si="46"/>
        <v>105840</v>
      </c>
      <c r="AC81" s="85">
        <f>VLOOKUP(K81,'Company Volumes'!$B$20:$C$259,2)</f>
        <v>752.76341374577783</v>
      </c>
      <c r="AD81" s="153">
        <f t="shared" si="50"/>
        <v>0</v>
      </c>
      <c r="AE81" s="150"/>
      <c r="AF81" s="150">
        <v>0</v>
      </c>
      <c r="AG81" s="150">
        <v>0</v>
      </c>
      <c r="AH81" s="150">
        <f t="shared" si="51"/>
        <v>0</v>
      </c>
      <c r="AI81" s="150">
        <f t="shared" si="52"/>
        <v>0</v>
      </c>
      <c r="AJ81" s="150">
        <f t="shared" si="53"/>
        <v>0</v>
      </c>
      <c r="AK81" s="85">
        <f t="shared" si="54"/>
        <v>59058.889536413997</v>
      </c>
      <c r="AL81" s="85">
        <f t="shared" si="55"/>
        <v>150600.16831785569</v>
      </c>
      <c r="AM81" s="85">
        <f t="shared" si="47"/>
        <v>0</v>
      </c>
      <c r="AN81" s="85">
        <f t="shared" si="48"/>
        <v>135047.99407326666</v>
      </c>
      <c r="AO81" s="85">
        <f t="shared" si="56"/>
        <v>29529.444768206999</v>
      </c>
      <c r="AP81" s="85">
        <f t="shared" si="68"/>
        <v>46500.558215233643</v>
      </c>
      <c r="AQ81" s="84">
        <f t="shared" si="57"/>
        <v>420737.05491097702</v>
      </c>
      <c r="AR81" s="85">
        <f t="shared" si="58"/>
        <v>14764.722384103499</v>
      </c>
      <c r="AS81" s="84">
        <f t="shared" si="35"/>
        <v>30387.755000000001</v>
      </c>
      <c r="AT81" s="85">
        <f t="shared" si="59"/>
        <v>0</v>
      </c>
      <c r="AU81" s="84">
        <f t="shared" si="60"/>
        <v>465889.53229508048</v>
      </c>
      <c r="AV81" s="84">
        <f t="shared" si="49"/>
        <v>-465889.53229508048</v>
      </c>
      <c r="AW81" s="453"/>
      <c r="AX81" s="93">
        <f t="shared" si="43"/>
        <v>38777</v>
      </c>
      <c r="BA81" s="315"/>
      <c r="BB81" s="134">
        <f t="shared" si="61"/>
        <v>27.550000762939455</v>
      </c>
      <c r="BC81" s="134">
        <f>'Curve Analysis - Base Case'!D73</f>
        <v>45.763483340077258</v>
      </c>
      <c r="BD81" s="131">
        <f t="shared" si="62"/>
        <v>7.3599295647674035E-2</v>
      </c>
      <c r="BE81" s="131">
        <f t="shared" si="63"/>
        <v>7.3599295647674035E-2</v>
      </c>
      <c r="BF81" s="365">
        <f>PJM_01212000!X81</f>
        <v>0.13722255359999996</v>
      </c>
      <c r="BG81" s="85">
        <f t="shared" si="64"/>
        <v>2203</v>
      </c>
      <c r="BH81" s="84">
        <f t="shared" si="65"/>
        <v>0</v>
      </c>
      <c r="BJ81" s="537">
        <f>_xll.EURO(BB81,BC81,BD81,BE81,BF81,BG81,1,0)*BH81</f>
        <v>0</v>
      </c>
      <c r="BK81" s="84">
        <f t="shared" si="66"/>
        <v>0</v>
      </c>
      <c r="BM81" s="84">
        <f t="shared" si="67"/>
        <v>0</v>
      </c>
    </row>
    <row r="82" spans="1:65">
      <c r="A82" s="78">
        <f t="shared" si="40"/>
        <v>76</v>
      </c>
      <c r="C82" s="78">
        <v>30</v>
      </c>
      <c r="D82" s="78" t="s">
        <v>65</v>
      </c>
      <c r="E82" s="113">
        <f t="shared" si="41"/>
        <v>38808</v>
      </c>
      <c r="F82" s="85">
        <f t="shared" si="37"/>
        <v>22</v>
      </c>
      <c r="G82" s="84">
        <f t="shared" si="69"/>
        <v>8</v>
      </c>
      <c r="H82" s="84"/>
      <c r="I82" s="84"/>
      <c r="J82" s="78">
        <f t="shared" si="42"/>
        <v>30</v>
      </c>
      <c r="K82" s="149">
        <v>38808</v>
      </c>
      <c r="L82" s="508">
        <v>7.3623540061079004E-2</v>
      </c>
      <c r="M82" s="509">
        <v>6.5752188000294004E-2</v>
      </c>
      <c r="N82" s="132">
        <f t="shared" si="39"/>
        <v>0.63893143890679971</v>
      </c>
      <c r="O82" s="133">
        <f>VLOOKUP(K82,Inflation!$B$8:$C$266,2)</f>
        <v>1.1838031087254408</v>
      </c>
      <c r="P82" s="132"/>
      <c r="Q82" s="134">
        <f>VLOOKUP(K82,'Fuel Curve'!$B$11:$F$268,5)</f>
        <v>4.4287931034482764</v>
      </c>
      <c r="R82" s="238">
        <f>VLOOKUP(K82,'Fuel Curve Simulation'!$B$12:$J$258,9)</f>
        <v>4.4287931034482764</v>
      </c>
      <c r="S82" s="134">
        <f t="shared" si="45"/>
        <v>42.423409137931039</v>
      </c>
      <c r="T82" s="136"/>
      <c r="V82" s="135">
        <f>VLOOKUP(K82,PJM_01212000!$A$7:$C$259,3)</f>
        <v>27.325000762939453</v>
      </c>
      <c r="W82" s="486"/>
      <c r="X82" s="118">
        <f>'PJM Curve Simulation'!J82</f>
        <v>27.325000762939453</v>
      </c>
      <c r="Y82" s="512"/>
      <c r="Z82" s="137"/>
      <c r="AA82" s="78">
        <f t="shared" si="44"/>
        <v>315</v>
      </c>
      <c r="AB82" s="85">
        <f t="shared" si="46"/>
        <v>110880</v>
      </c>
      <c r="AC82" s="85">
        <f>VLOOKUP(K82,'Company Volumes'!$B$20:$C$259,2)</f>
        <v>8623.6274809191109</v>
      </c>
      <c r="AD82" s="153">
        <f t="shared" si="50"/>
        <v>0</v>
      </c>
      <c r="AE82" s="150"/>
      <c r="AF82" s="150">
        <v>0</v>
      </c>
      <c r="AG82" s="150">
        <v>0</v>
      </c>
      <c r="AH82" s="150">
        <f t="shared" si="51"/>
        <v>0</v>
      </c>
      <c r="AI82" s="150">
        <f t="shared" si="52"/>
        <v>0</v>
      </c>
      <c r="AJ82" s="150">
        <f t="shared" si="53"/>
        <v>0</v>
      </c>
      <c r="AK82" s="85">
        <f t="shared" si="54"/>
        <v>59190.155436272042</v>
      </c>
      <c r="AL82" s="85">
        <f t="shared" si="55"/>
        <v>150934.89636249372</v>
      </c>
      <c r="AM82" s="85">
        <f t="shared" si="47"/>
        <v>0</v>
      </c>
      <c r="AN82" s="85">
        <f t="shared" si="48"/>
        <v>135348.15543094208</v>
      </c>
      <c r="AO82" s="85">
        <f t="shared" si="56"/>
        <v>29595.077718136021</v>
      </c>
      <c r="AP82" s="85">
        <f t="shared" si="68"/>
        <v>46500.558215233643</v>
      </c>
      <c r="AQ82" s="84">
        <f t="shared" si="57"/>
        <v>421568.84316307749</v>
      </c>
      <c r="AR82" s="85">
        <f t="shared" si="58"/>
        <v>14797.53885906801</v>
      </c>
      <c r="AS82" s="84">
        <f t="shared" si="35"/>
        <v>30387.755000000001</v>
      </c>
      <c r="AT82" s="85">
        <f t="shared" si="59"/>
        <v>0</v>
      </c>
      <c r="AU82" s="84">
        <f t="shared" si="60"/>
        <v>466754.13702214556</v>
      </c>
      <c r="AV82" s="84">
        <f t="shared" si="49"/>
        <v>-466754.13702214556</v>
      </c>
      <c r="AW82" s="453"/>
      <c r="AX82" s="93">
        <f t="shared" si="43"/>
        <v>38808</v>
      </c>
      <c r="BA82" s="315"/>
      <c r="BB82" s="134">
        <f t="shared" si="61"/>
        <v>27.325000762939453</v>
      </c>
      <c r="BC82" s="134">
        <f>'Curve Analysis - Base Case'!D74</f>
        <v>44.791015355381923</v>
      </c>
      <c r="BD82" s="131">
        <f t="shared" si="62"/>
        <v>7.3623540061079004E-2</v>
      </c>
      <c r="BE82" s="131">
        <f t="shared" si="63"/>
        <v>7.3623540061079004E-2</v>
      </c>
      <c r="BF82" s="365">
        <f>PJM_01212000!X82</f>
        <v>0.13036142592</v>
      </c>
      <c r="BG82" s="85">
        <f t="shared" si="64"/>
        <v>2234</v>
      </c>
      <c r="BH82" s="84">
        <f t="shared" si="65"/>
        <v>0</v>
      </c>
      <c r="BJ82" s="537">
        <f>_xll.EURO(BB82,BC82,BD82,BE82,BF82,BG82,1,0)*BH82</f>
        <v>0</v>
      </c>
      <c r="BK82" s="84">
        <f t="shared" si="66"/>
        <v>0</v>
      </c>
      <c r="BM82" s="84">
        <f t="shared" si="67"/>
        <v>0</v>
      </c>
    </row>
    <row r="83" spans="1:65">
      <c r="A83" s="78">
        <f t="shared" si="40"/>
        <v>77</v>
      </c>
      <c r="C83" s="78">
        <v>31</v>
      </c>
      <c r="D83" s="78" t="s">
        <v>38</v>
      </c>
      <c r="E83" s="113">
        <f t="shared" si="41"/>
        <v>38838</v>
      </c>
      <c r="F83" s="85">
        <f t="shared" si="37"/>
        <v>23</v>
      </c>
      <c r="G83" s="84">
        <f t="shared" si="69"/>
        <v>8</v>
      </c>
      <c r="H83" s="84"/>
      <c r="I83" s="84"/>
      <c r="J83" s="78">
        <f t="shared" si="42"/>
        <v>31</v>
      </c>
      <c r="K83" s="149">
        <v>38838</v>
      </c>
      <c r="L83" s="508">
        <v>7.3647002396816028E-2</v>
      </c>
      <c r="M83" s="509">
        <v>6.5739378922018019E-2</v>
      </c>
      <c r="N83" s="132">
        <f t="shared" si="39"/>
        <v>0.63505818640712919</v>
      </c>
      <c r="O83" s="133">
        <f>VLOOKUP(K83,Inflation!$B$8:$C$266,2)</f>
        <v>1.1864342618260388</v>
      </c>
      <c r="P83" s="132"/>
      <c r="Q83" s="134">
        <f>VLOOKUP(K83,'Fuel Curve'!$B$11:$F$268,5)</f>
        <v>4.3593103448275867</v>
      </c>
      <c r="R83" s="238">
        <f>VLOOKUP(K83,'Fuel Curve Simulation'!$B$12:$J$258,9)</f>
        <v>4.3593103448275867</v>
      </c>
      <c r="S83" s="134">
        <f t="shared" si="45"/>
        <v>41.757833793103458</v>
      </c>
      <c r="T83" s="136"/>
      <c r="V83" s="135">
        <f>VLOOKUP(K83,PJM_01212000!$A$7:$C$259,3)</f>
        <v>32.575000000000003</v>
      </c>
      <c r="W83" s="486"/>
      <c r="X83" s="118">
        <f>'PJM Curve Simulation'!J83</f>
        <v>32.575000000000003</v>
      </c>
      <c r="Y83" s="512"/>
      <c r="Z83" s="137"/>
      <c r="AA83" s="78">
        <f t="shared" si="44"/>
        <v>315</v>
      </c>
      <c r="AB83" s="85">
        <f t="shared" si="46"/>
        <v>115920</v>
      </c>
      <c r="AC83" s="85">
        <f>VLOOKUP(K83,'Company Volumes'!$B$20:$C$259,2)</f>
        <v>17152.251015374222</v>
      </c>
      <c r="AD83" s="153">
        <f t="shared" si="50"/>
        <v>0</v>
      </c>
      <c r="AE83" s="150"/>
      <c r="AF83" s="150">
        <v>0</v>
      </c>
      <c r="AG83" s="150">
        <v>0</v>
      </c>
      <c r="AH83" s="150">
        <f t="shared" si="51"/>
        <v>0</v>
      </c>
      <c r="AI83" s="150">
        <f t="shared" si="52"/>
        <v>0</v>
      </c>
      <c r="AJ83" s="150">
        <f t="shared" si="53"/>
        <v>0</v>
      </c>
      <c r="AK83" s="85">
        <f t="shared" si="54"/>
        <v>59321.713091301943</v>
      </c>
      <c r="AL83" s="85">
        <f t="shared" si="55"/>
        <v>151270.36838281996</v>
      </c>
      <c r="AM83" s="85">
        <f t="shared" si="47"/>
        <v>0</v>
      </c>
      <c r="AN83" s="85">
        <f t="shared" si="48"/>
        <v>135648.98393544377</v>
      </c>
      <c r="AO83" s="85">
        <f t="shared" si="56"/>
        <v>29660.856545650971</v>
      </c>
      <c r="AP83" s="85">
        <f t="shared" si="68"/>
        <v>46500.558215233643</v>
      </c>
      <c r="AQ83" s="84">
        <f t="shared" si="57"/>
        <v>422402.48017045029</v>
      </c>
      <c r="AR83" s="85">
        <f t="shared" si="58"/>
        <v>14830.428272825486</v>
      </c>
      <c r="AS83" s="84">
        <f t="shared" si="35"/>
        <v>30387.755000000001</v>
      </c>
      <c r="AT83" s="85">
        <f t="shared" si="59"/>
        <v>0</v>
      </c>
      <c r="AU83" s="84">
        <f t="shared" si="60"/>
        <v>467620.66344327573</v>
      </c>
      <c r="AV83" s="84">
        <f t="shared" si="49"/>
        <v>-467620.66344327573</v>
      </c>
      <c r="AW83" s="453"/>
      <c r="AX83" s="93">
        <f t="shared" si="43"/>
        <v>38838</v>
      </c>
      <c r="BA83" s="315"/>
      <c r="BB83" s="134">
        <f t="shared" si="61"/>
        <v>32.575000000000003</v>
      </c>
      <c r="BC83" s="134">
        <f>'Curve Analysis - Base Case'!D75</f>
        <v>44.130702316755539</v>
      </c>
      <c r="BD83" s="131">
        <f t="shared" si="62"/>
        <v>7.3647002396816028E-2</v>
      </c>
      <c r="BE83" s="131">
        <f t="shared" si="63"/>
        <v>7.3647002396816028E-2</v>
      </c>
      <c r="BF83" s="365">
        <f>PJM_01212000!X83</f>
        <v>0.14408368127999996</v>
      </c>
      <c r="BG83" s="85">
        <f t="shared" si="64"/>
        <v>2264</v>
      </c>
      <c r="BH83" s="84">
        <f t="shared" si="65"/>
        <v>0</v>
      </c>
      <c r="BJ83" s="537">
        <f>_xll.EURO(BB83,BC83,BD83,BE83,BF83,BG83,1,0)*BH83</f>
        <v>0</v>
      </c>
      <c r="BK83" s="84">
        <f t="shared" si="66"/>
        <v>0</v>
      </c>
      <c r="BM83" s="84">
        <f t="shared" si="67"/>
        <v>0</v>
      </c>
    </row>
    <row r="84" spans="1:65">
      <c r="A84" s="78">
        <f t="shared" si="40"/>
        <v>78</v>
      </c>
      <c r="C84" s="78">
        <v>30</v>
      </c>
      <c r="D84" s="78" t="s">
        <v>66</v>
      </c>
      <c r="E84" s="113">
        <f t="shared" si="41"/>
        <v>38869</v>
      </c>
      <c r="F84" s="85">
        <f t="shared" si="37"/>
        <v>20</v>
      </c>
      <c r="G84" s="84">
        <f t="shared" si="69"/>
        <v>10</v>
      </c>
      <c r="H84" s="84"/>
      <c r="I84" s="84"/>
      <c r="J84" s="78">
        <f t="shared" si="42"/>
        <v>30</v>
      </c>
      <c r="K84" s="149">
        <v>38869</v>
      </c>
      <c r="L84" s="508">
        <v>7.3671246810602012E-2</v>
      </c>
      <c r="M84" s="509">
        <v>6.5726142875664015E-2</v>
      </c>
      <c r="N84" s="132">
        <f t="shared" si="39"/>
        <v>0.63107802738640284</v>
      </c>
      <c r="O84" s="133">
        <f>VLOOKUP(K84,Inflation!$B$8:$C$266,2)</f>
        <v>1.1890712629993339</v>
      </c>
      <c r="P84" s="132"/>
      <c r="Q84" s="134">
        <f>VLOOKUP(K84,'Fuel Curve'!$B$11:$F$268,5)</f>
        <v>4.3513793103448286</v>
      </c>
      <c r="R84" s="238">
        <f>VLOOKUP(K84,'Fuel Curve Simulation'!$B$12:$J$258,9)</f>
        <v>4.3513793103448286</v>
      </c>
      <c r="S84" s="134">
        <f t="shared" si="45"/>
        <v>41.681862413793112</v>
      </c>
      <c r="T84" s="136"/>
      <c r="V84" s="135">
        <f>VLOOKUP(K84,PJM_01212000!$A$7:$C$259,3)</f>
        <v>57.349998474121094</v>
      </c>
      <c r="W84" s="486"/>
      <c r="X84" s="118">
        <f>'PJM Curve Simulation'!J84</f>
        <v>57.349998474121094</v>
      </c>
      <c r="Y84" s="512"/>
      <c r="Z84" s="137"/>
      <c r="AA84" s="78">
        <f t="shared" si="44"/>
        <v>315</v>
      </c>
      <c r="AB84" s="85">
        <f t="shared" si="46"/>
        <v>100800</v>
      </c>
      <c r="AC84" s="85">
        <f>VLOOKUP(K84,'Company Volumes'!$B$20:$C$259,2)</f>
        <v>32157.369513552887</v>
      </c>
      <c r="AD84" s="153">
        <f t="shared" si="50"/>
        <v>100800</v>
      </c>
      <c r="AE84" s="150"/>
      <c r="AF84" s="150">
        <v>0</v>
      </c>
      <c r="AG84" s="150">
        <v>0</v>
      </c>
      <c r="AH84" s="150">
        <f t="shared" si="51"/>
        <v>5780879.8461914063</v>
      </c>
      <c r="AI84" s="150">
        <f t="shared" si="52"/>
        <v>5780879.8461914063</v>
      </c>
      <c r="AJ84" s="150">
        <f t="shared" si="53"/>
        <v>4201531.7313103452</v>
      </c>
      <c r="AK84" s="85">
        <f t="shared" si="54"/>
        <v>59453.5631499667</v>
      </c>
      <c r="AL84" s="85">
        <f t="shared" si="55"/>
        <v>151606.58603241507</v>
      </c>
      <c r="AM84" s="85">
        <f t="shared" si="47"/>
        <v>239716.7666206657</v>
      </c>
      <c r="AN84" s="85">
        <f t="shared" si="48"/>
        <v>135950.48106959052</v>
      </c>
      <c r="AO84" s="85">
        <f t="shared" si="56"/>
        <v>29726.78157498335</v>
      </c>
      <c r="AP84" s="85">
        <f t="shared" si="68"/>
        <v>46500.558215233643</v>
      </c>
      <c r="AQ84" s="84">
        <f t="shared" si="57"/>
        <v>662954.73666285502</v>
      </c>
      <c r="AR84" s="85">
        <f t="shared" si="58"/>
        <v>14863.390787491675</v>
      </c>
      <c r="AS84" s="84">
        <f t="shared" si="35"/>
        <v>30387.755000000001</v>
      </c>
      <c r="AT84" s="85">
        <f t="shared" si="59"/>
        <v>41243.268599749259</v>
      </c>
      <c r="AU84" s="84">
        <f t="shared" si="60"/>
        <v>4950980.8823604407</v>
      </c>
      <c r="AV84" s="84">
        <f t="shared" si="49"/>
        <v>829898.96383096557</v>
      </c>
      <c r="AW84" s="453"/>
      <c r="AX84" s="93">
        <f t="shared" si="43"/>
        <v>38869</v>
      </c>
      <c r="BA84" s="315"/>
      <c r="BB84" s="134">
        <f t="shared" si="61"/>
        <v>57.349998474121094</v>
      </c>
      <c r="BC84" s="134">
        <f>'Curve Analysis - Base Case'!D76</f>
        <v>44.060004939791781</v>
      </c>
      <c r="BD84" s="131">
        <f t="shared" si="62"/>
        <v>7.3671246810602012E-2</v>
      </c>
      <c r="BE84" s="131">
        <f t="shared" si="63"/>
        <v>7.3671246810602012E-2</v>
      </c>
      <c r="BF84" s="365">
        <f>PJM_01212000!X84</f>
        <v>0.18525044735999996</v>
      </c>
      <c r="BG84" s="85">
        <f t="shared" si="64"/>
        <v>2295</v>
      </c>
      <c r="BH84" s="84">
        <f t="shared" si="65"/>
        <v>100800</v>
      </c>
      <c r="BJ84" s="537">
        <f>_xll.EURO(BB84,BC84,BD84,BE84,BF84,BG84,1,0)*BH84</f>
        <v>1102700.8420483647</v>
      </c>
      <c r="BK84" s="84">
        <f t="shared" si="66"/>
        <v>996691.89289557387</v>
      </c>
      <c r="BM84" s="84">
        <f t="shared" si="67"/>
        <v>106008.94915279082</v>
      </c>
    </row>
    <row r="85" spans="1:65">
      <c r="A85" s="78">
        <f t="shared" si="40"/>
        <v>79</v>
      </c>
      <c r="C85" s="78">
        <v>31</v>
      </c>
      <c r="D85" s="78" t="s">
        <v>67</v>
      </c>
      <c r="E85" s="113">
        <f t="shared" si="41"/>
        <v>38899</v>
      </c>
      <c r="F85" s="85">
        <f t="shared" si="37"/>
        <v>23</v>
      </c>
      <c r="G85" s="84">
        <f t="shared" si="69"/>
        <v>8</v>
      </c>
      <c r="H85" s="84"/>
      <c r="I85" s="84"/>
      <c r="J85" s="78">
        <f t="shared" si="42"/>
        <v>31</v>
      </c>
      <c r="K85" s="149">
        <v>38899</v>
      </c>
      <c r="L85" s="508">
        <v>7.3694709146709017E-2</v>
      </c>
      <c r="M85" s="509">
        <v>6.571333379970902E-2</v>
      </c>
      <c r="N85" s="132">
        <f t="shared" si="39"/>
        <v>0.62724764389992926</v>
      </c>
      <c r="O85" s="133">
        <f>VLOOKUP(K85,Inflation!$B$8:$C$266,2)</f>
        <v>1.191714125243412</v>
      </c>
      <c r="P85" s="132"/>
      <c r="Q85" s="134">
        <f>VLOOKUP(K85,'Fuel Curve'!$B$11:$F$268,5)</f>
        <v>4.4063793103448283</v>
      </c>
      <c r="R85" s="238">
        <f>VLOOKUP(K85,'Fuel Curve Simulation'!$B$12:$J$258,9)</f>
        <v>4.4063793103448283</v>
      </c>
      <c r="S85" s="134">
        <f t="shared" si="45"/>
        <v>42.208707413793114</v>
      </c>
      <c r="T85" s="136"/>
      <c r="V85" s="135">
        <f>VLOOKUP(K85,PJM_01212000!$A$7:$C$259,3)</f>
        <v>97.949996948242188</v>
      </c>
      <c r="W85" s="486"/>
      <c r="X85" s="118">
        <f>'PJM Curve Simulation'!J85</f>
        <v>97.949996948242188</v>
      </c>
      <c r="Y85" s="512"/>
      <c r="Z85" s="137"/>
      <c r="AA85" s="78">
        <f t="shared" si="44"/>
        <v>315</v>
      </c>
      <c r="AB85" s="85">
        <f t="shared" si="46"/>
        <v>115920</v>
      </c>
      <c r="AC85" s="85">
        <f>VLOOKUP(K85,'Company Volumes'!$B$20:$C$259,2)</f>
        <v>51574.485499506663</v>
      </c>
      <c r="AD85" s="153">
        <f t="shared" si="50"/>
        <v>115920</v>
      </c>
      <c r="AE85" s="150"/>
      <c r="AF85" s="150">
        <v>0</v>
      </c>
      <c r="AG85" s="150">
        <v>0</v>
      </c>
      <c r="AH85" s="150">
        <f t="shared" si="51"/>
        <v>11354363.646240234</v>
      </c>
      <c r="AI85" s="150">
        <f t="shared" si="52"/>
        <v>11354363.646240234</v>
      </c>
      <c r="AJ85" s="150">
        <f t="shared" si="53"/>
        <v>4892833.3634068975</v>
      </c>
      <c r="AK85" s="85">
        <f t="shared" si="54"/>
        <v>59585.706262170599</v>
      </c>
      <c r="AL85" s="85">
        <f t="shared" si="55"/>
        <v>151943.55096853504</v>
      </c>
      <c r="AM85" s="85">
        <f t="shared" si="47"/>
        <v>276287.00279643264</v>
      </c>
      <c r="AN85" s="85">
        <f t="shared" si="48"/>
        <v>136252.64831949677</v>
      </c>
      <c r="AO85" s="85">
        <f t="shared" si="56"/>
        <v>29792.8531310853</v>
      </c>
      <c r="AP85" s="85">
        <f t="shared" si="68"/>
        <v>46500.558215233643</v>
      </c>
      <c r="AQ85" s="84">
        <f t="shared" si="57"/>
        <v>700362.31969295396</v>
      </c>
      <c r="AR85" s="85">
        <f t="shared" si="58"/>
        <v>14896.42656554265</v>
      </c>
      <c r="AS85" s="84">
        <f t="shared" si="35"/>
        <v>30387.755000000001</v>
      </c>
      <c r="AT85" s="85">
        <f t="shared" si="59"/>
        <v>81186.933242248662</v>
      </c>
      <c r="AU85" s="84">
        <f t="shared" si="60"/>
        <v>5719666.797907643</v>
      </c>
      <c r="AV85" s="84">
        <f t="shared" si="49"/>
        <v>5634696.8483325914</v>
      </c>
      <c r="AW85" s="453"/>
      <c r="AX85" s="93">
        <f t="shared" si="43"/>
        <v>38899</v>
      </c>
      <c r="BA85" s="315"/>
      <c r="BB85" s="134">
        <f t="shared" si="61"/>
        <v>97.949996948242188</v>
      </c>
      <c r="BC85" s="134">
        <f>'Curve Analysis - Base Case'!D77</f>
        <v>44.592135664279937</v>
      </c>
      <c r="BD85" s="131">
        <f t="shared" si="62"/>
        <v>7.3694709146709017E-2</v>
      </c>
      <c r="BE85" s="131">
        <f t="shared" si="63"/>
        <v>7.3694709146709017E-2</v>
      </c>
      <c r="BF85" s="365">
        <f>PJM_01212000!X85</f>
        <v>0.22641721343999996</v>
      </c>
      <c r="BG85" s="85">
        <f t="shared" si="64"/>
        <v>2325</v>
      </c>
      <c r="BH85" s="84">
        <f t="shared" si="65"/>
        <v>115920</v>
      </c>
      <c r="BJ85" s="537">
        <f>_xll.EURO(BB85,BC85,BD85,BE85,BF85,BG85,1,0)*BH85</f>
        <v>3971738.539562087</v>
      </c>
      <c r="BK85" s="84">
        <f t="shared" si="66"/>
        <v>4052979.6458952539</v>
      </c>
      <c r="BM85" s="84">
        <f t="shared" si="67"/>
        <v>-81241.106333166827</v>
      </c>
    </row>
    <row r="86" spans="1:65">
      <c r="A86" s="78">
        <f t="shared" si="40"/>
        <v>80</v>
      </c>
      <c r="C86" s="78">
        <v>31</v>
      </c>
      <c r="D86" s="78" t="s">
        <v>68</v>
      </c>
      <c r="E86" s="113">
        <f t="shared" si="41"/>
        <v>38930</v>
      </c>
      <c r="F86" s="85">
        <f t="shared" si="37"/>
        <v>22</v>
      </c>
      <c r="G86" s="84">
        <f t="shared" si="69"/>
        <v>9</v>
      </c>
      <c r="H86" s="84"/>
      <c r="I86" s="84"/>
      <c r="J86" s="78">
        <f t="shared" si="42"/>
        <v>31</v>
      </c>
      <c r="K86" s="149">
        <v>38930</v>
      </c>
      <c r="L86" s="508">
        <v>7.3718953560877015E-2</v>
      </c>
      <c r="M86" s="509">
        <v>6.5700097755754014E-2</v>
      </c>
      <c r="N86" s="132">
        <f t="shared" si="39"/>
        <v>0.62331157047885244</v>
      </c>
      <c r="O86" s="133">
        <f>VLOOKUP(K86,Inflation!$B$8:$C$266,2)</f>
        <v>1.1943628615852488</v>
      </c>
      <c r="P86" s="132"/>
      <c r="Q86" s="134">
        <f>VLOOKUP(K86,'Fuel Curve'!$B$11:$F$268,5)</f>
        <v>4.4946551724137933</v>
      </c>
      <c r="R86" s="238">
        <f>VLOOKUP(K86,'Fuel Curve Simulation'!$B$12:$J$258,9)</f>
        <v>4.4946551724137933</v>
      </c>
      <c r="S86" s="134">
        <f t="shared" si="45"/>
        <v>43.054301896551728</v>
      </c>
      <c r="T86" s="136"/>
      <c r="V86" s="135">
        <f>VLOOKUP(K86,PJM_01212000!$A$7:$C$259,3)</f>
        <v>84.949996948242188</v>
      </c>
      <c r="W86" s="486"/>
      <c r="X86" s="118">
        <f>'PJM Curve Simulation'!J86</f>
        <v>84.949996948242188</v>
      </c>
      <c r="Y86" s="512"/>
      <c r="Z86" s="137"/>
      <c r="AA86" s="78">
        <f t="shared" si="44"/>
        <v>315</v>
      </c>
      <c r="AB86" s="85">
        <f t="shared" si="46"/>
        <v>110880</v>
      </c>
      <c r="AC86" s="85">
        <f>VLOOKUP(K86,'Company Volumes'!$B$20:$C$259,2)</f>
        <v>34382.99033300444</v>
      </c>
      <c r="AD86" s="153">
        <f t="shared" si="50"/>
        <v>110880</v>
      </c>
      <c r="AE86" s="150"/>
      <c r="AF86" s="150">
        <v>0</v>
      </c>
      <c r="AG86" s="150">
        <v>0</v>
      </c>
      <c r="AH86" s="150">
        <f t="shared" si="51"/>
        <v>9419255.6616210938</v>
      </c>
      <c r="AI86" s="150">
        <f t="shared" si="52"/>
        <v>9419255.6616210938</v>
      </c>
      <c r="AJ86" s="150">
        <f t="shared" si="53"/>
        <v>4773860.9942896552</v>
      </c>
      <c r="AK86" s="85">
        <f t="shared" si="54"/>
        <v>59718.143079262438</v>
      </c>
      <c r="AL86" s="85">
        <f t="shared" si="55"/>
        <v>152281.26485211923</v>
      </c>
      <c r="AM86" s="85">
        <f t="shared" si="47"/>
        <v>264861.90818514477</v>
      </c>
      <c r="AN86" s="85">
        <f t="shared" si="48"/>
        <v>136555.48717458014</v>
      </c>
      <c r="AO86" s="85">
        <f t="shared" si="56"/>
        <v>29859.071539631219</v>
      </c>
      <c r="AP86" s="85">
        <f t="shared" si="68"/>
        <v>46500.558215233643</v>
      </c>
      <c r="AQ86" s="84">
        <f t="shared" si="57"/>
        <v>689776.43304597144</v>
      </c>
      <c r="AR86" s="85">
        <f t="shared" si="58"/>
        <v>14929.535769815609</v>
      </c>
      <c r="AS86" s="84">
        <f t="shared" si="35"/>
        <v>30387.755000000001</v>
      </c>
      <c r="AT86" s="85">
        <f t="shared" si="59"/>
        <v>67500.054876100956</v>
      </c>
      <c r="AU86" s="84">
        <f t="shared" si="60"/>
        <v>5576454.7729815431</v>
      </c>
      <c r="AV86" s="84">
        <f t="shared" si="49"/>
        <v>3842800.8886395507</v>
      </c>
      <c r="AW86" s="453"/>
      <c r="AX86" s="93">
        <f t="shared" si="43"/>
        <v>38930</v>
      </c>
      <c r="BA86" s="315"/>
      <c r="BB86" s="134">
        <f t="shared" si="61"/>
        <v>84.949996948242188</v>
      </c>
      <c r="BC86" s="134">
        <f>'Curve Analysis - Base Case'!D78</f>
        <v>45.443027619722223</v>
      </c>
      <c r="BD86" s="131">
        <f t="shared" si="62"/>
        <v>7.3718953560877015E-2</v>
      </c>
      <c r="BE86" s="131">
        <f t="shared" si="63"/>
        <v>7.3718953560877015E-2</v>
      </c>
      <c r="BF86" s="365">
        <f>PJM_01212000!X86</f>
        <v>0.22641721343999996</v>
      </c>
      <c r="BG86" s="85">
        <f t="shared" si="64"/>
        <v>2356</v>
      </c>
      <c r="BH86" s="84">
        <f t="shared" si="65"/>
        <v>110880</v>
      </c>
      <c r="BJ86" s="537">
        <f>_xll.EURO(BB86,BC86,BD86,BE86,BF86,BG86,1,0)*BH86</f>
        <v>2891229.1354928343</v>
      </c>
      <c r="BK86" s="84">
        <f t="shared" si="66"/>
        <v>2895528.2455884451</v>
      </c>
      <c r="BM86" s="84">
        <f t="shared" si="67"/>
        <v>-4299.1100956108421</v>
      </c>
    </row>
    <row r="87" spans="1:65">
      <c r="A87" s="78">
        <f t="shared" si="40"/>
        <v>81</v>
      </c>
      <c r="C87" s="78">
        <v>30</v>
      </c>
      <c r="D87" s="78" t="s">
        <v>69</v>
      </c>
      <c r="E87" s="113">
        <f t="shared" si="41"/>
        <v>38961</v>
      </c>
      <c r="F87" s="85">
        <f t="shared" si="37"/>
        <v>21</v>
      </c>
      <c r="G87" s="84">
        <f t="shared" si="69"/>
        <v>9</v>
      </c>
      <c r="H87" s="84"/>
      <c r="I87" s="84"/>
      <c r="J87" s="78">
        <f t="shared" si="42"/>
        <v>30</v>
      </c>
      <c r="K87" s="149">
        <v>38961</v>
      </c>
      <c r="L87" s="508">
        <v>7.3743197975238997E-2</v>
      </c>
      <c r="M87" s="509">
        <v>6.5686861713019018E-2</v>
      </c>
      <c r="N87" s="132">
        <f t="shared" si="39"/>
        <v>0.61939773915277652</v>
      </c>
      <c r="O87" s="133">
        <f>VLOOKUP(K87,Inflation!$B$8:$C$266,2)</f>
        <v>1.1970174850807747</v>
      </c>
      <c r="P87" s="132"/>
      <c r="Q87" s="134">
        <f>VLOOKUP(K87,'Fuel Curve'!$B$11:$F$268,5)</f>
        <v>4.588103448275862</v>
      </c>
      <c r="R87" s="238">
        <f>VLOOKUP(K87,'Fuel Curve Simulation'!$B$12:$J$258,9)</f>
        <v>4.588103448275862</v>
      </c>
      <c r="S87" s="134">
        <f t="shared" si="45"/>
        <v>43.949442931034483</v>
      </c>
      <c r="T87" s="136"/>
      <c r="V87" s="135">
        <f>VLOOKUP(K87,PJM_01212000!$A$7:$C$259,3)</f>
        <v>34.424998474121097</v>
      </c>
      <c r="W87" s="486"/>
      <c r="X87" s="118">
        <f>'PJM Curve Simulation'!J87</f>
        <v>34.424998474121097</v>
      </c>
      <c r="Y87" s="512"/>
      <c r="Z87" s="137"/>
      <c r="AA87" s="78">
        <f t="shared" si="44"/>
        <v>315</v>
      </c>
      <c r="AB87" s="85">
        <f t="shared" si="46"/>
        <v>105840</v>
      </c>
      <c r="AC87" s="85">
        <f>VLOOKUP(K87,'Company Volumes'!$B$20:$C$259,2)</f>
        <v>20963.862352891112</v>
      </c>
      <c r="AD87" s="153">
        <f t="shared" si="50"/>
        <v>0</v>
      </c>
      <c r="AE87" s="150"/>
      <c r="AF87" s="150">
        <v>0</v>
      </c>
      <c r="AG87" s="150">
        <v>0</v>
      </c>
      <c r="AH87" s="150">
        <f t="shared" si="51"/>
        <v>0</v>
      </c>
      <c r="AI87" s="150">
        <f t="shared" si="52"/>
        <v>0</v>
      </c>
      <c r="AJ87" s="150">
        <f t="shared" si="53"/>
        <v>0</v>
      </c>
      <c r="AK87" s="85">
        <f t="shared" si="54"/>
        <v>59850.874254038732</v>
      </c>
      <c r="AL87" s="85">
        <f t="shared" si="55"/>
        <v>152619.72934779877</v>
      </c>
      <c r="AM87" s="85">
        <f t="shared" si="47"/>
        <v>0</v>
      </c>
      <c r="AN87" s="85">
        <f t="shared" si="48"/>
        <v>136858.99912756856</v>
      </c>
      <c r="AO87" s="85">
        <f t="shared" si="56"/>
        <v>29925.437127019366</v>
      </c>
      <c r="AP87" s="85">
        <f t="shared" si="68"/>
        <v>46500.558215233643</v>
      </c>
      <c r="AQ87" s="84">
        <f t="shared" si="57"/>
        <v>425755.5980716591</v>
      </c>
      <c r="AR87" s="85">
        <f t="shared" si="58"/>
        <v>14962.718563509683</v>
      </c>
      <c r="AS87" s="84">
        <f t="shared" si="35"/>
        <v>30387.755000000001</v>
      </c>
      <c r="AT87" s="85">
        <f t="shared" si="59"/>
        <v>0</v>
      </c>
      <c r="AU87" s="84">
        <f t="shared" si="60"/>
        <v>471106.07163516874</v>
      </c>
      <c r="AV87" s="84">
        <f t="shared" si="49"/>
        <v>-471106.07163516874</v>
      </c>
      <c r="AW87" s="453"/>
      <c r="AX87" s="93">
        <f t="shared" si="43"/>
        <v>38961</v>
      </c>
      <c r="BA87" s="315"/>
      <c r="BB87" s="134">
        <f t="shared" si="61"/>
        <v>34.424998474121097</v>
      </c>
      <c r="BC87" s="134">
        <f>'Curve Analysis - Base Case'!D79</f>
        <v>46.343477901196032</v>
      </c>
      <c r="BD87" s="131">
        <f t="shared" si="62"/>
        <v>7.3743197975238997E-2</v>
      </c>
      <c r="BE87" s="131">
        <f t="shared" si="63"/>
        <v>7.3743197975238997E-2</v>
      </c>
      <c r="BF87" s="365">
        <f>PJM_01212000!X87</f>
        <v>0.14553907199999996</v>
      </c>
      <c r="BG87" s="85">
        <f t="shared" si="64"/>
        <v>2387</v>
      </c>
      <c r="BH87" s="84">
        <f t="shared" si="65"/>
        <v>0</v>
      </c>
      <c r="BJ87" s="537">
        <f>_xll.EURO(BB87,BC87,BD87,BE87,BF87,BG87,1,0)*BH87</f>
        <v>0</v>
      </c>
      <c r="BK87" s="84">
        <f t="shared" si="66"/>
        <v>0</v>
      </c>
      <c r="BM87" s="84">
        <f t="shared" si="67"/>
        <v>0</v>
      </c>
    </row>
    <row r="88" spans="1:65">
      <c r="A88" s="78">
        <f t="shared" si="40"/>
        <v>82</v>
      </c>
      <c r="C88" s="78">
        <v>31</v>
      </c>
      <c r="D88" s="78" t="s">
        <v>70</v>
      </c>
      <c r="E88" s="113">
        <f t="shared" si="41"/>
        <v>38991</v>
      </c>
      <c r="F88" s="85">
        <f t="shared" si="37"/>
        <v>23</v>
      </c>
      <c r="G88" s="84">
        <f t="shared" si="69"/>
        <v>8</v>
      </c>
      <c r="H88" s="84"/>
      <c r="I88" s="84"/>
      <c r="J88" s="78">
        <f t="shared" si="42"/>
        <v>31</v>
      </c>
      <c r="K88" s="149">
        <v>38991</v>
      </c>
      <c r="L88" s="508">
        <v>7.3766660311903001E-2</v>
      </c>
      <c r="M88" s="509">
        <v>6.5674052640565E-2</v>
      </c>
      <c r="N88" s="132">
        <f t="shared" si="39"/>
        <v>0.61563123553752408</v>
      </c>
      <c r="O88" s="133">
        <f>VLOOKUP(K88,Inflation!$B$8:$C$266,2)</f>
        <v>1.1996780088149379</v>
      </c>
      <c r="P88" s="132"/>
      <c r="Q88" s="134">
        <f>VLOOKUP(K88,'Fuel Curve'!$B$11:$F$268,5)</f>
        <v>4.6786206896551734</v>
      </c>
      <c r="R88" s="238">
        <f>VLOOKUP(K88,'Fuel Curve Simulation'!$B$12:$J$258,9)</f>
        <v>4.6786206896551734</v>
      </c>
      <c r="S88" s="134">
        <f t="shared" si="45"/>
        <v>44.816507586206903</v>
      </c>
      <c r="T88" s="136"/>
      <c r="V88" s="135">
        <f>VLOOKUP(K88,PJM_01212000!$A$7:$C$259,3)</f>
        <v>28.075000381469728</v>
      </c>
      <c r="W88" s="486"/>
      <c r="X88" s="118">
        <f>'PJM Curve Simulation'!J88</f>
        <v>28.075000381469728</v>
      </c>
      <c r="Y88" s="512"/>
      <c r="Z88" s="137"/>
      <c r="AA88" s="78">
        <f t="shared" si="44"/>
        <v>315</v>
      </c>
      <c r="AB88" s="85">
        <f t="shared" si="46"/>
        <v>115920</v>
      </c>
      <c r="AC88" s="85">
        <f>VLOOKUP(K88,'Company Volumes'!$B$20:$C$259,2)</f>
        <v>3790.6623295395557</v>
      </c>
      <c r="AD88" s="153">
        <f t="shared" si="50"/>
        <v>0</v>
      </c>
      <c r="AE88" s="150"/>
      <c r="AF88" s="150">
        <v>0</v>
      </c>
      <c r="AG88" s="150">
        <v>0</v>
      </c>
      <c r="AH88" s="150">
        <f t="shared" si="51"/>
        <v>0</v>
      </c>
      <c r="AI88" s="150">
        <f t="shared" si="52"/>
        <v>0</v>
      </c>
      <c r="AJ88" s="150">
        <f t="shared" si="53"/>
        <v>0</v>
      </c>
      <c r="AK88" s="85">
        <f t="shared" si="54"/>
        <v>59983.900440746896</v>
      </c>
      <c r="AL88" s="85">
        <f t="shared" si="55"/>
        <v>152958.94612390458</v>
      </c>
      <c r="AM88" s="85">
        <f t="shared" si="47"/>
        <v>0</v>
      </c>
      <c r="AN88" s="85">
        <f t="shared" si="48"/>
        <v>137163.1856745079</v>
      </c>
      <c r="AO88" s="85">
        <f t="shared" si="56"/>
        <v>29991.950220373448</v>
      </c>
      <c r="AP88" s="85">
        <f t="shared" si="68"/>
        <v>46500.558215233643</v>
      </c>
      <c r="AQ88" s="84">
        <f t="shared" si="57"/>
        <v>426598.54067476641</v>
      </c>
      <c r="AR88" s="85">
        <f t="shared" si="58"/>
        <v>14995.975110186724</v>
      </c>
      <c r="AS88" s="84">
        <f t="shared" si="35"/>
        <v>30387.755000000001</v>
      </c>
      <c r="AT88" s="85">
        <f t="shared" si="59"/>
        <v>0</v>
      </c>
      <c r="AU88" s="84">
        <f t="shared" si="60"/>
        <v>471982.27078495314</v>
      </c>
      <c r="AV88" s="84">
        <f t="shared" si="49"/>
        <v>-471982.27078495314</v>
      </c>
      <c r="AW88" s="453"/>
      <c r="AX88" s="93">
        <f t="shared" si="43"/>
        <v>38991</v>
      </c>
      <c r="BA88" s="315"/>
      <c r="BB88" s="134">
        <f t="shared" si="61"/>
        <v>28.075000381469728</v>
      </c>
      <c r="BC88" s="134">
        <f>'Curve Analysis - Base Case'!D80</f>
        <v>47.21586360383678</v>
      </c>
      <c r="BD88" s="131">
        <f t="shared" si="62"/>
        <v>7.3766660311903001E-2</v>
      </c>
      <c r="BE88" s="131">
        <f t="shared" si="63"/>
        <v>7.3766660311903001E-2</v>
      </c>
      <c r="BF88" s="365">
        <f>PJM_01212000!X88</f>
        <v>0.10291691519999997</v>
      </c>
      <c r="BG88" s="85">
        <f t="shared" si="64"/>
        <v>2417</v>
      </c>
      <c r="BH88" s="84">
        <f t="shared" si="65"/>
        <v>0</v>
      </c>
      <c r="BJ88" s="537">
        <f>_xll.EURO(BB88,BC88,BD88,BE88,BF88,BG88,1,0)*BH88</f>
        <v>0</v>
      </c>
      <c r="BK88" s="84">
        <f t="shared" si="66"/>
        <v>0</v>
      </c>
      <c r="BM88" s="84">
        <f t="shared" si="67"/>
        <v>0</v>
      </c>
    </row>
    <row r="89" spans="1:65">
      <c r="A89" s="78">
        <f t="shared" si="40"/>
        <v>83</v>
      </c>
      <c r="C89" s="78">
        <v>30</v>
      </c>
      <c r="D89" s="78" t="s">
        <v>71</v>
      </c>
      <c r="E89" s="113">
        <f t="shared" si="41"/>
        <v>39022</v>
      </c>
      <c r="F89" s="85">
        <f t="shared" si="37"/>
        <v>21</v>
      </c>
      <c r="G89" s="84">
        <f t="shared" si="69"/>
        <v>9</v>
      </c>
      <c r="H89" s="84"/>
      <c r="I89" s="84"/>
      <c r="J89" s="78">
        <f t="shared" si="42"/>
        <v>30</v>
      </c>
      <c r="K89" s="149">
        <v>39022</v>
      </c>
      <c r="L89" s="508">
        <v>7.3790904726647011E-2</v>
      </c>
      <c r="M89" s="509">
        <v>6.5660816600228017E-2</v>
      </c>
      <c r="N89" s="132">
        <f t="shared" si="39"/>
        <v>0.61176085403546743</v>
      </c>
      <c r="O89" s="133">
        <f>VLOOKUP(K89,Inflation!$B$8:$C$266,2)</f>
        <v>1.20234444590177</v>
      </c>
      <c r="P89" s="132"/>
      <c r="Q89" s="134">
        <f>VLOOKUP(K89,'Fuel Curve'!$B$11:$F$268,5)</f>
        <v>4.7670689655172422</v>
      </c>
      <c r="R89" s="238">
        <f>VLOOKUP(K89,'Fuel Curve Simulation'!$B$12:$J$258,9)</f>
        <v>4.7670689655172422</v>
      </c>
      <c r="S89" s="134">
        <f t="shared" si="45"/>
        <v>45.663753620689661</v>
      </c>
      <c r="T89" s="136"/>
      <c r="V89" s="135">
        <f>VLOOKUP(K89,PJM_01212000!$A$7:$C$259,3)</f>
        <v>27.747499084472658</v>
      </c>
      <c r="W89" s="486"/>
      <c r="X89" s="118">
        <f>'PJM Curve Simulation'!J89</f>
        <v>27.747499084472658</v>
      </c>
      <c r="Y89" s="512"/>
      <c r="Z89" s="137"/>
      <c r="AA89" s="78">
        <f t="shared" si="44"/>
        <v>315</v>
      </c>
      <c r="AB89" s="85">
        <f t="shared" si="46"/>
        <v>105840</v>
      </c>
      <c r="AC89" s="85">
        <f>VLOOKUP(K89,'Company Volumes'!$B$20:$C$259,2)</f>
        <v>8111.6004431622232</v>
      </c>
      <c r="AD89" s="153">
        <f t="shared" si="50"/>
        <v>0</v>
      </c>
      <c r="AE89" s="150"/>
      <c r="AF89" s="150">
        <v>0</v>
      </c>
      <c r="AG89" s="150">
        <v>0</v>
      </c>
      <c r="AH89" s="150">
        <f t="shared" si="51"/>
        <v>0</v>
      </c>
      <c r="AI89" s="150">
        <f t="shared" si="52"/>
        <v>0</v>
      </c>
      <c r="AJ89" s="150">
        <f t="shared" si="53"/>
        <v>0</v>
      </c>
      <c r="AK89" s="85">
        <f t="shared" si="54"/>
        <v>60117.222295088497</v>
      </c>
      <c r="AL89" s="85">
        <f t="shared" si="55"/>
        <v>153298.9168524757</v>
      </c>
      <c r="AM89" s="85">
        <f t="shared" si="47"/>
        <v>0</v>
      </c>
      <c r="AN89" s="85">
        <f t="shared" si="48"/>
        <v>137468.04831476902</v>
      </c>
      <c r="AO89" s="85">
        <f t="shared" si="56"/>
        <v>30058.611147544249</v>
      </c>
      <c r="AP89" s="85">
        <f t="shared" si="68"/>
        <v>46500.558215233643</v>
      </c>
      <c r="AQ89" s="84">
        <f t="shared" si="57"/>
        <v>427443.35682511108</v>
      </c>
      <c r="AR89" s="85">
        <f t="shared" si="58"/>
        <v>15029.305573772124</v>
      </c>
      <c r="AS89" s="84">
        <f t="shared" si="35"/>
        <v>30387.755000000001</v>
      </c>
      <c r="AT89" s="85">
        <f t="shared" si="59"/>
        <v>0</v>
      </c>
      <c r="AU89" s="84">
        <f t="shared" si="60"/>
        <v>472860.41739888326</v>
      </c>
      <c r="AV89" s="84">
        <f t="shared" si="49"/>
        <v>-472860.41739888326</v>
      </c>
      <c r="AW89" s="453"/>
      <c r="AX89" s="93">
        <f t="shared" si="43"/>
        <v>39022</v>
      </c>
      <c r="BA89" s="315"/>
      <c r="BB89" s="134">
        <f t="shared" si="61"/>
        <v>27.747499084472658</v>
      </c>
      <c r="BC89" s="134">
        <f>'Curve Analysis - Base Case'!D81</f>
        <v>48.068442512493199</v>
      </c>
      <c r="BD89" s="131">
        <f t="shared" si="62"/>
        <v>7.3790904726647011E-2</v>
      </c>
      <c r="BE89" s="131">
        <f t="shared" si="63"/>
        <v>7.3790904726647011E-2</v>
      </c>
      <c r="BF89" s="365">
        <f>PJM_01212000!X89</f>
        <v>0.10291691519999997</v>
      </c>
      <c r="BG89" s="85">
        <f t="shared" si="64"/>
        <v>2448</v>
      </c>
      <c r="BH89" s="84">
        <f t="shared" si="65"/>
        <v>0</v>
      </c>
      <c r="BJ89" s="537">
        <f>_xll.EURO(BB89,BC89,BD89,BE89,BF89,BG89,1,0)*BH89</f>
        <v>0</v>
      </c>
      <c r="BK89" s="84">
        <f t="shared" si="66"/>
        <v>0</v>
      </c>
      <c r="BM89" s="84">
        <f t="shared" si="67"/>
        <v>0</v>
      </c>
    </row>
    <row r="90" spans="1:65">
      <c r="A90" s="78">
        <f t="shared" si="40"/>
        <v>84</v>
      </c>
      <c r="C90" s="78">
        <v>31</v>
      </c>
      <c r="D90" s="78" t="s">
        <v>72</v>
      </c>
      <c r="E90" s="113">
        <f t="shared" si="41"/>
        <v>39052</v>
      </c>
      <c r="F90" s="85">
        <f t="shared" si="37"/>
        <v>22</v>
      </c>
      <c r="G90" s="84">
        <f t="shared" si="69"/>
        <v>9</v>
      </c>
      <c r="H90" s="84">
        <f>SUM(F79:G90)</f>
        <v>365</v>
      </c>
      <c r="I90" s="84"/>
      <c r="J90" s="78">
        <f t="shared" si="42"/>
        <v>31</v>
      </c>
      <c r="K90" s="149">
        <v>39052</v>
      </c>
      <c r="L90" s="508">
        <v>7.3814367063680011E-2</v>
      </c>
      <c r="M90" s="509">
        <v>6.5648007530096003E-2</v>
      </c>
      <c r="N90" s="132">
        <f t="shared" si="39"/>
        <v>0.60803619621257565</v>
      </c>
      <c r="O90" s="133">
        <f>VLOOKUP(K90,Inflation!$B$8:$C$266,2)</f>
        <v>1.20501680948445</v>
      </c>
      <c r="P90" s="132"/>
      <c r="Q90" s="134">
        <f>VLOOKUP(K90,'Fuel Curve'!$B$11:$F$268,5)</f>
        <v>4.808965517241381</v>
      </c>
      <c r="R90" s="238">
        <f>VLOOKUP(K90,'Fuel Curve Simulation'!$B$12:$J$258,9)</f>
        <v>4.808965517241381</v>
      </c>
      <c r="S90" s="134">
        <f t="shared" si="45"/>
        <v>46.06508068965519</v>
      </c>
      <c r="T90" s="136"/>
      <c r="V90" s="135">
        <f>VLOOKUP(K90,PJM_01212000!$A$7:$C$259,3)</f>
        <v>29.499999618530275</v>
      </c>
      <c r="W90" s="486"/>
      <c r="X90" s="118">
        <f>'PJM Curve Simulation'!J90</f>
        <v>29.499999618530275</v>
      </c>
      <c r="Y90" s="512"/>
      <c r="Z90" s="137"/>
      <c r="AA90" s="78">
        <f t="shared" si="44"/>
        <v>315</v>
      </c>
      <c r="AB90" s="85">
        <f t="shared" si="46"/>
        <v>110880</v>
      </c>
      <c r="AC90" s="85">
        <f>VLOOKUP(K90,'Company Volumes'!$B$20:$C$259,2)</f>
        <v>8111.6004431622232</v>
      </c>
      <c r="AD90" s="153">
        <f t="shared" si="50"/>
        <v>0</v>
      </c>
      <c r="AE90" s="150"/>
      <c r="AF90" s="150">
        <v>0</v>
      </c>
      <c r="AG90" s="150">
        <v>0</v>
      </c>
      <c r="AH90" s="150">
        <f t="shared" si="51"/>
        <v>0</v>
      </c>
      <c r="AI90" s="150">
        <f t="shared" si="52"/>
        <v>0</v>
      </c>
      <c r="AJ90" s="150">
        <f t="shared" si="53"/>
        <v>0</v>
      </c>
      <c r="AK90" s="85">
        <f t="shared" si="54"/>
        <v>60250.840474222496</v>
      </c>
      <c r="AL90" s="85">
        <f t="shared" si="55"/>
        <v>153639.64320926738</v>
      </c>
      <c r="AM90" s="85">
        <f t="shared" si="47"/>
        <v>0</v>
      </c>
      <c r="AN90" s="85">
        <f t="shared" si="48"/>
        <v>137773.58855105544</v>
      </c>
      <c r="AO90" s="85">
        <f t="shared" si="56"/>
        <v>30125.420237111248</v>
      </c>
      <c r="AP90" s="85">
        <f t="shared" si="68"/>
        <v>46500.558215233643</v>
      </c>
      <c r="AQ90" s="84">
        <f t="shared" si="57"/>
        <v>428290.05068689014</v>
      </c>
      <c r="AR90" s="85">
        <f t="shared" si="58"/>
        <v>15062.710118555624</v>
      </c>
      <c r="AS90" s="84">
        <f t="shared" si="35"/>
        <v>30387.755000000001</v>
      </c>
      <c r="AT90" s="85">
        <f t="shared" si="59"/>
        <v>0</v>
      </c>
      <c r="AU90" s="84">
        <f t="shared" si="60"/>
        <v>473740.51580544573</v>
      </c>
      <c r="AV90" s="84">
        <f t="shared" si="49"/>
        <v>-473740.51580544573</v>
      </c>
      <c r="AW90" s="453"/>
      <c r="AX90" s="93">
        <f t="shared" si="43"/>
        <v>39052</v>
      </c>
      <c r="AY90" s="85">
        <f ca="1">'Debt Amortization'!N8</f>
        <v>3611989.9982289765</v>
      </c>
      <c r="AZ90" s="85">
        <f ca="1">AY90*N90</f>
        <v>2196220.6592810149</v>
      </c>
      <c r="BA90" s="315"/>
      <c r="BB90" s="134">
        <f t="shared" si="61"/>
        <v>29.499999618530275</v>
      </c>
      <c r="BC90" s="134">
        <f>'Curve Analysis - Base Case'!D82</f>
        <v>48.475114308624093</v>
      </c>
      <c r="BD90" s="131">
        <f t="shared" si="62"/>
        <v>7.3814367063680011E-2</v>
      </c>
      <c r="BE90" s="131">
        <f t="shared" si="63"/>
        <v>7.3814367063680011E-2</v>
      </c>
      <c r="BF90" s="365">
        <f>PJM_01212000!X90</f>
        <v>0.10291691519999997</v>
      </c>
      <c r="BG90" s="85">
        <f t="shared" si="64"/>
        <v>2478</v>
      </c>
      <c r="BH90" s="84">
        <f t="shared" si="65"/>
        <v>0</v>
      </c>
      <c r="BJ90" s="537">
        <f>_xll.EURO(BB90,BC90,BD90,BE90,BF90,BG90,1,0)*BH90</f>
        <v>0</v>
      </c>
      <c r="BK90" s="84">
        <f t="shared" si="66"/>
        <v>0</v>
      </c>
      <c r="BM90" s="84">
        <f t="shared" si="67"/>
        <v>0</v>
      </c>
    </row>
    <row r="91" spans="1:65">
      <c r="A91" s="78">
        <f t="shared" si="40"/>
        <v>85</v>
      </c>
      <c r="C91" s="78">
        <v>31</v>
      </c>
      <c r="D91" s="78" t="s">
        <v>62</v>
      </c>
      <c r="E91" s="113">
        <f t="shared" si="41"/>
        <v>39083</v>
      </c>
      <c r="F91" s="85">
        <f t="shared" si="37"/>
        <v>23</v>
      </c>
      <c r="G91" s="84">
        <f>C91-F91</f>
        <v>8</v>
      </c>
      <c r="H91" s="84"/>
      <c r="I91" s="84"/>
      <c r="J91" s="78">
        <f t="shared" si="42"/>
        <v>31</v>
      </c>
      <c r="K91" s="149">
        <v>39083</v>
      </c>
      <c r="L91" s="508">
        <v>7.3838611478806021E-2</v>
      </c>
      <c r="M91" s="509">
        <v>6.5634771492158003E-2</v>
      </c>
      <c r="N91" s="132">
        <f t="shared" si="39"/>
        <v>0.60420884699077582</v>
      </c>
      <c r="O91" s="133">
        <f>VLOOKUP(K91,Inflation!$B$8:$C$266,2)</f>
        <v>1.2076951127353694</v>
      </c>
      <c r="P91" s="132"/>
      <c r="Q91" s="134">
        <f>VLOOKUP(K91,'Fuel Curve'!$B$11:$F$268,5)</f>
        <v>4.7525862068965523</v>
      </c>
      <c r="R91" s="238">
        <f>VLOOKUP(K91,'Fuel Curve Simulation'!$B$12:$J$258,9)</f>
        <v>4.7525862068965523</v>
      </c>
      <c r="S91" s="134">
        <f t="shared" si="45"/>
        <v>45.525023275862075</v>
      </c>
      <c r="T91" s="136"/>
      <c r="V91" s="135">
        <f>VLOOKUP(K91,PJM_01212000!$A$7:$C$259,3)</f>
        <v>38.324998474121088</v>
      </c>
      <c r="W91" s="486"/>
      <c r="X91" s="118">
        <f>'PJM Curve Simulation'!J91</f>
        <v>38.324998474121088</v>
      </c>
      <c r="Y91" s="512"/>
      <c r="Z91" s="137"/>
      <c r="AA91" s="78">
        <f t="shared" si="44"/>
        <v>315</v>
      </c>
      <c r="AB91" s="85">
        <f t="shared" si="46"/>
        <v>115920</v>
      </c>
      <c r="AC91" s="85">
        <f>VLOOKUP(K91,'Company Volumes'!$B$20:$C$259,2)</f>
        <v>18013.917368088445</v>
      </c>
      <c r="AD91" s="153">
        <f t="shared" si="50"/>
        <v>0</v>
      </c>
      <c r="AE91" s="150"/>
      <c r="AF91" s="150">
        <v>0</v>
      </c>
      <c r="AG91" s="150">
        <v>0</v>
      </c>
      <c r="AH91" s="150">
        <f t="shared" si="51"/>
        <v>0</v>
      </c>
      <c r="AI91" s="150">
        <f t="shared" si="52"/>
        <v>0</v>
      </c>
      <c r="AJ91" s="150">
        <f t="shared" si="53"/>
        <v>0</v>
      </c>
      <c r="AK91" s="85">
        <f t="shared" si="54"/>
        <v>60384.755636768474</v>
      </c>
      <c r="AL91" s="85">
        <f t="shared" si="55"/>
        <v>153981.12687375961</v>
      </c>
      <c r="AM91" s="85">
        <f t="shared" si="47"/>
        <v>0</v>
      </c>
      <c r="AN91" s="85">
        <f t="shared" si="48"/>
        <v>138079.80788941059</v>
      </c>
      <c r="AO91" s="85">
        <f t="shared" si="56"/>
        <v>30192.377818384237</v>
      </c>
      <c r="AP91" s="85">
        <f t="shared" si="68"/>
        <v>46500.558215233643</v>
      </c>
      <c r="AQ91" s="84">
        <f t="shared" si="57"/>
        <v>429138.62643355655</v>
      </c>
      <c r="AR91" s="85">
        <f t="shared" si="58"/>
        <v>15096.188909192118</v>
      </c>
      <c r="AS91" s="84">
        <f t="shared" si="35"/>
        <v>30387.755000000001</v>
      </c>
      <c r="AT91" s="85">
        <f t="shared" si="59"/>
        <v>0</v>
      </c>
      <c r="AU91" s="84">
        <f t="shared" si="60"/>
        <v>474622.57034274866</v>
      </c>
      <c r="AV91" s="84">
        <f t="shared" si="49"/>
        <v>-474622.57034274866</v>
      </c>
      <c r="AW91" s="453"/>
      <c r="AX91" s="93">
        <f t="shared" si="43"/>
        <v>39083</v>
      </c>
      <c r="BA91" s="315"/>
      <c r="BB91" s="134">
        <f t="shared" si="61"/>
        <v>38.324998474121088</v>
      </c>
      <c r="BC91" s="134">
        <f>'Curve Analysis - Base Case'!D83</f>
        <v>47.940413501332813</v>
      </c>
      <c r="BD91" s="131">
        <f t="shared" si="62"/>
        <v>7.3838611478806021E-2</v>
      </c>
      <c r="BE91" s="131">
        <f t="shared" si="63"/>
        <v>7.3838611478806021E-2</v>
      </c>
      <c r="BF91" s="365">
        <f>PJM_01212000!X91</f>
        <v>0.15808038174719996</v>
      </c>
      <c r="BG91" s="85">
        <f t="shared" si="64"/>
        <v>2509</v>
      </c>
      <c r="BH91" s="84">
        <f t="shared" si="65"/>
        <v>0</v>
      </c>
      <c r="BJ91" s="537">
        <f>_xll.EURO(BB91,BC91,BD91,BE91,BF91,BG91,1,0)*BH91</f>
        <v>0</v>
      </c>
      <c r="BK91" s="84">
        <f t="shared" si="66"/>
        <v>0</v>
      </c>
      <c r="BM91" s="84">
        <f t="shared" si="67"/>
        <v>0</v>
      </c>
    </row>
    <row r="92" spans="1:65">
      <c r="A92" s="78">
        <f t="shared" si="40"/>
        <v>86</v>
      </c>
      <c r="C92" s="78">
        <v>28</v>
      </c>
      <c r="D92" s="78" t="s">
        <v>63</v>
      </c>
      <c r="E92" s="113">
        <f t="shared" si="41"/>
        <v>39114</v>
      </c>
      <c r="F92" s="85">
        <f t="shared" si="37"/>
        <v>20</v>
      </c>
      <c r="G92" s="84">
        <f t="shared" ref="G92:G102" si="70">C92-F92</f>
        <v>8</v>
      </c>
      <c r="H92" s="84"/>
      <c r="I92" s="84"/>
      <c r="J92" s="78">
        <f t="shared" si="42"/>
        <v>28</v>
      </c>
      <c r="K92" s="149">
        <v>39114</v>
      </c>
      <c r="L92" s="508">
        <v>7.3862855894125015E-2</v>
      </c>
      <c r="M92" s="509">
        <v>6.5621535455439001E-2</v>
      </c>
      <c r="N92" s="132">
        <f t="shared" si="39"/>
        <v>0.60040320763544686</v>
      </c>
      <c r="O92" s="133">
        <f>VLOOKUP(K92,Inflation!$B$8:$C$266,2)</f>
        <v>1.2103793688561968</v>
      </c>
      <c r="P92" s="132"/>
      <c r="Q92" s="134">
        <f>VLOOKUP(K92,'Fuel Curve'!$B$11:$F$268,5)</f>
        <v>4.6525862068965527</v>
      </c>
      <c r="R92" s="238">
        <f>VLOOKUP(K92,'Fuel Curve Simulation'!$B$12:$J$258,9)</f>
        <v>4.6525862068965527</v>
      </c>
      <c r="S92" s="134">
        <f t="shared" si="45"/>
        <v>44.567123275862073</v>
      </c>
      <c r="T92" s="136"/>
      <c r="V92" s="135">
        <f>VLOOKUP(K92,PJM_01212000!$A$7:$C$259,3)</f>
        <v>38.324998474121088</v>
      </c>
      <c r="W92" s="486"/>
      <c r="X92" s="118">
        <f>'PJM Curve Simulation'!J92</f>
        <v>38.324998474121088</v>
      </c>
      <c r="Y92" s="512"/>
      <c r="Z92" s="137"/>
      <c r="AA92" s="78">
        <f t="shared" si="44"/>
        <v>315</v>
      </c>
      <c r="AB92" s="85">
        <f t="shared" si="46"/>
        <v>100800</v>
      </c>
      <c r="AC92" s="85">
        <f>VLOOKUP(K92,'Company Volumes'!$B$20:$C$259,2)</f>
        <v>721.88926158222216</v>
      </c>
      <c r="AD92" s="153">
        <f t="shared" si="50"/>
        <v>0</v>
      </c>
      <c r="AE92" s="150"/>
      <c r="AF92" s="150">
        <v>0</v>
      </c>
      <c r="AG92" s="150">
        <v>0</v>
      </c>
      <c r="AH92" s="150">
        <f t="shared" si="51"/>
        <v>0</v>
      </c>
      <c r="AI92" s="150">
        <f t="shared" si="52"/>
        <v>0</v>
      </c>
      <c r="AJ92" s="150">
        <f t="shared" si="53"/>
        <v>0</v>
      </c>
      <c r="AK92" s="85">
        <f t="shared" si="54"/>
        <v>60518.968442809834</v>
      </c>
      <c r="AL92" s="85">
        <f t="shared" si="55"/>
        <v>154323.36952916509</v>
      </c>
      <c r="AM92" s="85">
        <f t="shared" si="47"/>
        <v>0</v>
      </c>
      <c r="AN92" s="85">
        <f t="shared" si="48"/>
        <v>138386.70783922516</v>
      </c>
      <c r="AO92" s="85">
        <f t="shared" si="56"/>
        <v>30259.484221404917</v>
      </c>
      <c r="AP92" s="85">
        <f t="shared" si="68"/>
        <v>46500.558215233643</v>
      </c>
      <c r="AQ92" s="84">
        <f t="shared" si="57"/>
        <v>429989.08824783866</v>
      </c>
      <c r="AR92" s="85">
        <f t="shared" si="58"/>
        <v>15129.742110702458</v>
      </c>
      <c r="AS92" s="84">
        <f t="shared" si="35"/>
        <v>30387.755000000001</v>
      </c>
      <c r="AT92" s="85">
        <f t="shared" si="59"/>
        <v>0</v>
      </c>
      <c r="AU92" s="84">
        <f t="shared" si="60"/>
        <v>475506.58535854111</v>
      </c>
      <c r="AV92" s="84">
        <f t="shared" si="49"/>
        <v>-475506.58535854111</v>
      </c>
      <c r="AW92" s="453"/>
      <c r="AX92" s="93">
        <f t="shared" si="43"/>
        <v>39114</v>
      </c>
      <c r="BA92" s="315"/>
      <c r="BB92" s="134">
        <f t="shared" si="61"/>
        <v>38.324998474121088</v>
      </c>
      <c r="BC92" s="134">
        <f>'Curve Analysis - Base Case'!D84</f>
        <v>46.987882013574463</v>
      </c>
      <c r="BD92" s="131">
        <f t="shared" si="62"/>
        <v>7.3862855894125015E-2</v>
      </c>
      <c r="BE92" s="131">
        <f t="shared" si="63"/>
        <v>7.3862855894125015E-2</v>
      </c>
      <c r="BF92" s="365">
        <f>PJM_01212000!X92</f>
        <v>0.15808038174719996</v>
      </c>
      <c r="BG92" s="85">
        <f t="shared" si="64"/>
        <v>2540</v>
      </c>
      <c r="BH92" s="84">
        <f t="shared" si="65"/>
        <v>0</v>
      </c>
      <c r="BJ92" s="537">
        <f>_xll.EURO(BB92,BC92,BD92,BE92,BF92,BG92,1,0)*BH92</f>
        <v>0</v>
      </c>
      <c r="BK92" s="84">
        <f t="shared" si="66"/>
        <v>0</v>
      </c>
      <c r="BM92" s="84">
        <f t="shared" si="67"/>
        <v>0</v>
      </c>
    </row>
    <row r="93" spans="1:65">
      <c r="A93" s="78">
        <f t="shared" si="40"/>
        <v>87</v>
      </c>
      <c r="C93" s="78">
        <v>31</v>
      </c>
      <c r="D93" s="78" t="s">
        <v>64</v>
      </c>
      <c r="E93" s="113">
        <f t="shared" si="41"/>
        <v>39142</v>
      </c>
      <c r="F93" s="85">
        <f t="shared" si="37"/>
        <v>21</v>
      </c>
      <c r="G93" s="84">
        <f t="shared" si="70"/>
        <v>10</v>
      </c>
      <c r="H93" s="84"/>
      <c r="I93" s="84"/>
      <c r="J93" s="78">
        <f t="shared" si="42"/>
        <v>31</v>
      </c>
      <c r="K93" s="149">
        <v>39142</v>
      </c>
      <c r="L93" s="508">
        <v>7.3884754075871015E-2</v>
      </c>
      <c r="M93" s="509">
        <v>6.5609580326547012E-2</v>
      </c>
      <c r="N93" s="132">
        <f t="shared" si="39"/>
        <v>0.59698442737488722</v>
      </c>
      <c r="O93" s="133">
        <f>VLOOKUP(K93,Inflation!$B$8:$C$266,2)</f>
        <v>1.2130695910779432</v>
      </c>
      <c r="P93" s="132"/>
      <c r="Q93" s="134">
        <f>VLOOKUP(K93,'Fuel Curve'!$B$11:$F$268,5)</f>
        <v>4.5555172413793112</v>
      </c>
      <c r="R93" s="238">
        <f>VLOOKUP(K93,'Fuel Curve Simulation'!$B$12:$J$258,9)</f>
        <v>4.5555172413793112</v>
      </c>
      <c r="S93" s="134">
        <f t="shared" si="45"/>
        <v>43.63729965517242</v>
      </c>
      <c r="T93" s="136"/>
      <c r="V93" s="135">
        <f>VLOOKUP(K93,PJM_01212000!$A$7:$C$259,3)</f>
        <v>28.050000762939455</v>
      </c>
      <c r="W93" s="486"/>
      <c r="X93" s="118">
        <f>'PJM Curve Simulation'!J93</f>
        <v>28.050000762939455</v>
      </c>
      <c r="Y93" s="512"/>
      <c r="Z93" s="137"/>
      <c r="AA93" s="78">
        <f t="shared" si="44"/>
        <v>315</v>
      </c>
      <c r="AB93" s="85">
        <f t="shared" si="46"/>
        <v>105840</v>
      </c>
      <c r="AC93" s="85">
        <f>VLOOKUP(K93,'Company Volumes'!$B$20:$C$259,2)</f>
        <v>721.88926158222216</v>
      </c>
      <c r="AD93" s="153">
        <f t="shared" si="50"/>
        <v>0</v>
      </c>
      <c r="AE93" s="150"/>
      <c r="AF93" s="150">
        <v>0</v>
      </c>
      <c r="AG93" s="150">
        <v>0</v>
      </c>
      <c r="AH93" s="150">
        <f t="shared" si="51"/>
        <v>0</v>
      </c>
      <c r="AI93" s="150">
        <f t="shared" si="52"/>
        <v>0</v>
      </c>
      <c r="AJ93" s="150">
        <f t="shared" si="53"/>
        <v>0</v>
      </c>
      <c r="AK93" s="85">
        <f t="shared" si="54"/>
        <v>60653.479553897159</v>
      </c>
      <c r="AL93" s="85">
        <f t="shared" si="55"/>
        <v>154666.37286243777</v>
      </c>
      <c r="AM93" s="85">
        <f t="shared" si="47"/>
        <v>0</v>
      </c>
      <c r="AN93" s="85">
        <f t="shared" si="48"/>
        <v>138694.28991324484</v>
      </c>
      <c r="AO93" s="85">
        <f t="shared" si="56"/>
        <v>30326.73977694858</v>
      </c>
      <c r="AP93" s="85">
        <f t="shared" si="68"/>
        <v>46500.558215233643</v>
      </c>
      <c r="AQ93" s="84">
        <f t="shared" si="57"/>
        <v>430841.440321762</v>
      </c>
      <c r="AR93" s="85">
        <f t="shared" si="58"/>
        <v>15163.36988847429</v>
      </c>
      <c r="AS93" s="84">
        <f t="shared" si="35"/>
        <v>30387.755000000001</v>
      </c>
      <c r="AT93" s="85">
        <f t="shared" si="59"/>
        <v>0</v>
      </c>
      <c r="AU93" s="84">
        <f t="shared" si="60"/>
        <v>476392.56521023624</v>
      </c>
      <c r="AV93" s="84">
        <f t="shared" si="49"/>
        <v>-476392.56521023624</v>
      </c>
      <c r="AW93" s="453"/>
      <c r="AX93" s="93">
        <f t="shared" si="43"/>
        <v>39142</v>
      </c>
      <c r="BA93" s="315"/>
      <c r="BB93" s="134">
        <f t="shared" si="61"/>
        <v>28.050000762939455</v>
      </c>
      <c r="BC93" s="134">
        <f>'Curve Analysis - Base Case'!D85</f>
        <v>46.063438837328306</v>
      </c>
      <c r="BD93" s="131">
        <f t="shared" si="62"/>
        <v>7.3884754075871015E-2</v>
      </c>
      <c r="BE93" s="131">
        <f t="shared" si="63"/>
        <v>7.3884754075871015E-2</v>
      </c>
      <c r="BF93" s="365">
        <f>PJM_01212000!X93</f>
        <v>0.13173365145599997</v>
      </c>
      <c r="BG93" s="85">
        <f t="shared" si="64"/>
        <v>2568</v>
      </c>
      <c r="BH93" s="84">
        <f t="shared" si="65"/>
        <v>0</v>
      </c>
      <c r="BJ93" s="537">
        <f>_xll.EURO(BB93,BC93,BD93,BE93,BF93,BG93,1,0)*BH93</f>
        <v>0</v>
      </c>
      <c r="BK93" s="84">
        <f t="shared" si="66"/>
        <v>0</v>
      </c>
      <c r="BM93" s="84">
        <f t="shared" si="67"/>
        <v>0</v>
      </c>
    </row>
    <row r="94" spans="1:65">
      <c r="A94" s="78">
        <f t="shared" si="40"/>
        <v>88</v>
      </c>
      <c r="C94" s="78">
        <v>30</v>
      </c>
      <c r="D94" s="78" t="s">
        <v>65</v>
      </c>
      <c r="E94" s="113">
        <f t="shared" si="41"/>
        <v>39173</v>
      </c>
      <c r="F94" s="85">
        <f t="shared" si="37"/>
        <v>22</v>
      </c>
      <c r="G94" s="84">
        <f t="shared" si="70"/>
        <v>8</v>
      </c>
      <c r="H94" s="84"/>
      <c r="I94" s="84"/>
      <c r="J94" s="78">
        <f t="shared" si="42"/>
        <v>30</v>
      </c>
      <c r="K94" s="149">
        <v>39173</v>
      </c>
      <c r="L94" s="508">
        <v>7.3901230464944026E-2</v>
      </c>
      <c r="M94" s="509">
        <v>6.5596344292149028E-2</v>
      </c>
      <c r="N94" s="132">
        <f t="shared" si="39"/>
        <v>0.5932517879085123</v>
      </c>
      <c r="O94" s="133">
        <f>VLOOKUP(K94,Inflation!$B$8:$C$266,2)</f>
        <v>1.2157657926610277</v>
      </c>
      <c r="P94" s="132"/>
      <c r="Q94" s="134">
        <f>VLOOKUP(K94,'Fuel Curve'!$B$11:$F$268,5)</f>
        <v>4.4548275862068971</v>
      </c>
      <c r="R94" s="238">
        <f>VLOOKUP(K94,'Fuel Curve Simulation'!$B$12:$J$258,9)</f>
        <v>4.4548275862068971</v>
      </c>
      <c r="S94" s="134">
        <f t="shared" si="45"/>
        <v>42.672793448275861</v>
      </c>
      <c r="T94" s="136"/>
      <c r="V94" s="135">
        <f>VLOOKUP(K94,PJM_01212000!$A$7:$C$259,3)</f>
        <v>27.825000762939453</v>
      </c>
      <c r="W94" s="486"/>
      <c r="X94" s="118">
        <f>'PJM Curve Simulation'!J94</f>
        <v>27.825000762939453</v>
      </c>
      <c r="Y94" s="512"/>
      <c r="Z94" s="137"/>
      <c r="AA94" s="78">
        <f t="shared" si="44"/>
        <v>315</v>
      </c>
      <c r="AB94" s="85">
        <f t="shared" si="46"/>
        <v>110880</v>
      </c>
      <c r="AC94" s="85">
        <f>VLOOKUP(K94,'Company Volumes'!$B$20:$C$259,2)</f>
        <v>8914.4406196688888</v>
      </c>
      <c r="AD94" s="153">
        <f t="shared" si="50"/>
        <v>0</v>
      </c>
      <c r="AE94" s="150"/>
      <c r="AF94" s="150">
        <v>0</v>
      </c>
      <c r="AG94" s="150">
        <v>0</v>
      </c>
      <c r="AH94" s="150">
        <f t="shared" si="51"/>
        <v>0</v>
      </c>
      <c r="AI94" s="150">
        <f t="shared" si="52"/>
        <v>0</v>
      </c>
      <c r="AJ94" s="150">
        <f t="shared" si="53"/>
        <v>0</v>
      </c>
      <c r="AK94" s="85">
        <f t="shared" si="54"/>
        <v>60788.289633051383</v>
      </c>
      <c r="AL94" s="85">
        <f t="shared" si="55"/>
        <v>155010.13856428102</v>
      </c>
      <c r="AM94" s="85">
        <f t="shared" si="47"/>
        <v>0</v>
      </c>
      <c r="AN94" s="85">
        <f t="shared" si="48"/>
        <v>139002.5556275775</v>
      </c>
      <c r="AO94" s="85">
        <f t="shared" si="56"/>
        <v>30394.144816525692</v>
      </c>
      <c r="AP94" s="85">
        <f t="shared" si="68"/>
        <v>46500.558215233643</v>
      </c>
      <c r="AQ94" s="84">
        <f t="shared" si="57"/>
        <v>431695.68685666926</v>
      </c>
      <c r="AR94" s="85">
        <f t="shared" si="58"/>
        <v>15197.072408262846</v>
      </c>
      <c r="AS94" s="84">
        <f t="shared" si="35"/>
        <v>30387.755000000001</v>
      </c>
      <c r="AT94" s="85">
        <f t="shared" si="59"/>
        <v>0</v>
      </c>
      <c r="AU94" s="84">
        <f t="shared" si="60"/>
        <v>477280.51426493214</v>
      </c>
      <c r="AV94" s="84">
        <f t="shared" si="49"/>
        <v>-477280.51426493214</v>
      </c>
      <c r="AW94" s="453"/>
      <c r="AX94" s="93">
        <f t="shared" si="43"/>
        <v>39173</v>
      </c>
      <c r="BA94" s="315"/>
      <c r="BB94" s="134">
        <f t="shared" si="61"/>
        <v>27.825000762939453</v>
      </c>
      <c r="BC94" s="134">
        <f>'Curve Analysis - Base Case'!D86</f>
        <v>45.104325033597917</v>
      </c>
      <c r="BD94" s="131">
        <f t="shared" si="62"/>
        <v>7.3901230464944026E-2</v>
      </c>
      <c r="BE94" s="131">
        <f t="shared" si="63"/>
        <v>7.3901230464944026E-2</v>
      </c>
      <c r="BF94" s="365">
        <f>PJM_01212000!X94</f>
        <v>0.12514696888319998</v>
      </c>
      <c r="BG94" s="85">
        <f t="shared" si="64"/>
        <v>2599</v>
      </c>
      <c r="BH94" s="84">
        <f t="shared" si="65"/>
        <v>0</v>
      </c>
      <c r="BJ94" s="537">
        <f>_xll.EURO(BB94,BC94,BD94,BE94,BF94,BG94,1,0)*BH94</f>
        <v>0</v>
      </c>
      <c r="BK94" s="84">
        <f t="shared" si="66"/>
        <v>0</v>
      </c>
      <c r="BM94" s="84">
        <f t="shared" si="67"/>
        <v>0</v>
      </c>
    </row>
    <row r="95" spans="1:65">
      <c r="A95" s="78">
        <f t="shared" si="40"/>
        <v>89</v>
      </c>
      <c r="C95" s="78">
        <v>31</v>
      </c>
      <c r="D95" s="78" t="s">
        <v>38</v>
      </c>
      <c r="E95" s="113">
        <f t="shared" si="41"/>
        <v>39203</v>
      </c>
      <c r="F95" s="85">
        <f t="shared" si="37"/>
        <v>22</v>
      </c>
      <c r="G95" s="84">
        <f t="shared" si="70"/>
        <v>9</v>
      </c>
      <c r="H95" s="84"/>
      <c r="I95" s="84"/>
      <c r="J95" s="78">
        <f t="shared" si="42"/>
        <v>31</v>
      </c>
      <c r="K95" s="149">
        <v>39203</v>
      </c>
      <c r="L95" s="508">
        <v>7.3915729695154003E-2</v>
      </c>
      <c r="M95" s="509">
        <v>6.5583535227763015E-2</v>
      </c>
      <c r="N95" s="132">
        <f t="shared" si="39"/>
        <v>0.58966624744480589</v>
      </c>
      <c r="O95" s="133">
        <f>VLOOKUP(K95,Inflation!$B$8:$C$266,2)</f>
        <v>1.2184679868953419</v>
      </c>
      <c r="P95" s="132"/>
      <c r="Q95" s="134">
        <f>VLOOKUP(K95,'Fuel Curve'!$B$11:$F$268,5)</f>
        <v>4.3875862068965521</v>
      </c>
      <c r="R95" s="238">
        <f>VLOOKUP(K95,'Fuel Curve Simulation'!$B$12:$J$258,9)</f>
        <v>4.3875862068965521</v>
      </c>
      <c r="S95" s="134">
        <f t="shared" si="45"/>
        <v>42.028688275862073</v>
      </c>
      <c r="T95" s="136"/>
      <c r="V95" s="135">
        <f>VLOOKUP(K95,PJM_01212000!$A$7:$C$259,3)</f>
        <v>33.575000000000003</v>
      </c>
      <c r="W95" s="486"/>
      <c r="X95" s="118">
        <f>'PJM Curve Simulation'!J95</f>
        <v>33.575000000000003</v>
      </c>
      <c r="Y95" s="512"/>
      <c r="Z95" s="137"/>
      <c r="AA95" s="78">
        <f t="shared" si="44"/>
        <v>315</v>
      </c>
      <c r="AB95" s="85">
        <f t="shared" si="46"/>
        <v>110880</v>
      </c>
      <c r="AC95" s="85">
        <f>VLOOKUP(K95,'Company Volumes'!$B$20:$C$259,2)</f>
        <v>17508.30590115911</v>
      </c>
      <c r="AD95" s="153">
        <f t="shared" si="50"/>
        <v>0</v>
      </c>
      <c r="AE95" s="150"/>
      <c r="AF95" s="150">
        <v>0</v>
      </c>
      <c r="AG95" s="150">
        <v>0</v>
      </c>
      <c r="AH95" s="150">
        <f t="shared" si="51"/>
        <v>0</v>
      </c>
      <c r="AI95" s="150">
        <f t="shared" si="52"/>
        <v>0</v>
      </c>
      <c r="AJ95" s="150">
        <f t="shared" si="53"/>
        <v>0</v>
      </c>
      <c r="AK95" s="85">
        <f t="shared" si="54"/>
        <v>60923.399344767095</v>
      </c>
      <c r="AL95" s="85">
        <f t="shared" si="55"/>
        <v>155354.66832915609</v>
      </c>
      <c r="AM95" s="85">
        <f t="shared" si="47"/>
        <v>0</v>
      </c>
      <c r="AN95" s="85">
        <f t="shared" si="48"/>
        <v>139311.50650170076</v>
      </c>
      <c r="AO95" s="85">
        <f t="shared" si="56"/>
        <v>30461.699672383547</v>
      </c>
      <c r="AP95" s="85">
        <f t="shared" si="68"/>
        <v>46500.558215233643</v>
      </c>
      <c r="AQ95" s="84">
        <f t="shared" si="57"/>
        <v>432551.83206324116</v>
      </c>
      <c r="AR95" s="85">
        <f t="shared" si="58"/>
        <v>15230.849836191774</v>
      </c>
      <c r="AS95" s="84">
        <f t="shared" si="35"/>
        <v>30387.755000000001</v>
      </c>
      <c r="AT95" s="85">
        <f t="shared" si="59"/>
        <v>0</v>
      </c>
      <c r="AU95" s="84">
        <f t="shared" si="60"/>
        <v>478170.43689943291</v>
      </c>
      <c r="AV95" s="84">
        <f t="shared" si="49"/>
        <v>-478170.43689943291</v>
      </c>
      <c r="AW95" s="453"/>
      <c r="AX95" s="93">
        <f t="shared" si="43"/>
        <v>39203</v>
      </c>
      <c r="BA95" s="315"/>
      <c r="BB95" s="134">
        <f t="shared" si="61"/>
        <v>33.575000000000003</v>
      </c>
      <c r="BC95" s="134">
        <f>'Curve Analysis - Base Case'!D87</f>
        <v>44.465624249652755</v>
      </c>
      <c r="BD95" s="131">
        <f t="shared" si="62"/>
        <v>7.3915729695154003E-2</v>
      </c>
      <c r="BE95" s="131">
        <f t="shared" si="63"/>
        <v>7.3915729695154003E-2</v>
      </c>
      <c r="BF95" s="365">
        <f>PJM_01212000!X95</f>
        <v>0.13832033402879995</v>
      </c>
      <c r="BG95" s="85">
        <f t="shared" si="64"/>
        <v>2629</v>
      </c>
      <c r="BH95" s="84">
        <f t="shared" si="65"/>
        <v>0</v>
      </c>
      <c r="BJ95" s="537">
        <f>_xll.EURO(BB95,BC95,BD95,BE95,BF95,BG95,1,0)*BH95</f>
        <v>0</v>
      </c>
      <c r="BK95" s="84">
        <f t="shared" si="66"/>
        <v>0</v>
      </c>
      <c r="BM95" s="84">
        <f t="shared" si="67"/>
        <v>0</v>
      </c>
    </row>
    <row r="96" spans="1:65">
      <c r="A96" s="78">
        <f t="shared" si="40"/>
        <v>90</v>
      </c>
      <c r="C96" s="78">
        <v>30</v>
      </c>
      <c r="D96" s="78" t="s">
        <v>66</v>
      </c>
      <c r="E96" s="113">
        <f t="shared" si="41"/>
        <v>39234</v>
      </c>
      <c r="F96" s="85">
        <f t="shared" si="37"/>
        <v>21</v>
      </c>
      <c r="G96" s="84">
        <f t="shared" si="70"/>
        <v>9</v>
      </c>
      <c r="H96" s="84"/>
      <c r="I96" s="84"/>
      <c r="J96" s="78">
        <f t="shared" si="42"/>
        <v>30</v>
      </c>
      <c r="K96" s="149">
        <v>39234</v>
      </c>
      <c r="L96" s="508">
        <v>7.3930712233109999E-2</v>
      </c>
      <c r="M96" s="509">
        <v>6.5570299195763002E-2</v>
      </c>
      <c r="N96" s="132">
        <f t="shared" si="39"/>
        <v>0.58598254000407157</v>
      </c>
      <c r="O96" s="133">
        <f>VLOOKUP(K96,Inflation!$B$8:$C$266,2)</f>
        <v>1.2211761871003157</v>
      </c>
      <c r="P96" s="132"/>
      <c r="Q96" s="134">
        <f>VLOOKUP(K96,'Fuel Curve'!$B$11:$F$268,5)</f>
        <v>4.3817241379310348</v>
      </c>
      <c r="R96" s="238">
        <f>VLOOKUP(K96,'Fuel Curve Simulation'!$B$12:$J$258,9)</f>
        <v>4.3817241379310348</v>
      </c>
      <c r="S96" s="134">
        <f t="shared" si="45"/>
        <v>41.972535517241383</v>
      </c>
      <c r="T96" s="136"/>
      <c r="V96" s="135">
        <f>VLOOKUP(K96,PJM_01212000!$A$7:$C$259,3)</f>
        <v>58.599998474121094</v>
      </c>
      <c r="W96" s="486"/>
      <c r="X96" s="118">
        <f>'PJM Curve Simulation'!J96</f>
        <v>58.599998474121094</v>
      </c>
      <c r="Y96" s="512"/>
      <c r="Z96" s="137"/>
      <c r="AA96" s="78">
        <f t="shared" si="44"/>
        <v>315</v>
      </c>
      <c r="AB96" s="85">
        <f t="shared" si="46"/>
        <v>105840</v>
      </c>
      <c r="AC96" s="85">
        <f>VLOOKUP(K96,'Company Volumes'!$B$20:$C$259,2)</f>
        <v>32163.931047241771</v>
      </c>
      <c r="AD96" s="153">
        <f t="shared" si="50"/>
        <v>105840</v>
      </c>
      <c r="AE96" s="150"/>
      <c r="AF96" s="150">
        <v>0</v>
      </c>
      <c r="AG96" s="150">
        <v>0</v>
      </c>
      <c r="AH96" s="150">
        <f t="shared" si="51"/>
        <v>6202223.8385009766</v>
      </c>
      <c r="AI96" s="150">
        <f t="shared" si="52"/>
        <v>6202223.8385009766</v>
      </c>
      <c r="AJ96" s="150">
        <f t="shared" si="53"/>
        <v>4442373.1591448281</v>
      </c>
      <c r="AK96" s="85">
        <f t="shared" si="54"/>
        <v>61058.809355015786</v>
      </c>
      <c r="AL96" s="85">
        <f t="shared" si="55"/>
        <v>155699.96385529026</v>
      </c>
      <c r="AM96" s="85">
        <f t="shared" si="47"/>
        <v>258498.57528539482</v>
      </c>
      <c r="AN96" s="85">
        <f t="shared" si="48"/>
        <v>139621.14405846942</v>
      </c>
      <c r="AO96" s="85">
        <f t="shared" si="56"/>
        <v>30529.404677507893</v>
      </c>
      <c r="AP96" s="85">
        <f t="shared" si="68"/>
        <v>46500.558215233643</v>
      </c>
      <c r="AQ96" s="84">
        <f t="shared" si="57"/>
        <v>691908.45544691186</v>
      </c>
      <c r="AR96" s="85">
        <f t="shared" si="58"/>
        <v>15264.702338753947</v>
      </c>
      <c r="AS96" s="84">
        <f t="shared" si="35"/>
        <v>30387.755000000001</v>
      </c>
      <c r="AT96" s="85">
        <f t="shared" si="59"/>
        <v>45444.048351859841</v>
      </c>
      <c r="AU96" s="84">
        <f t="shared" si="60"/>
        <v>5225378.1202823529</v>
      </c>
      <c r="AV96" s="84">
        <f t="shared" si="49"/>
        <v>976845.71821862366</v>
      </c>
      <c r="AW96" s="453"/>
      <c r="AX96" s="93">
        <f t="shared" si="43"/>
        <v>39234</v>
      </c>
      <c r="BA96" s="315"/>
      <c r="BB96" s="134">
        <f t="shared" si="61"/>
        <v>58.599998474121094</v>
      </c>
      <c r="BC96" s="134">
        <f>'Curve Analysis - Base Case'!D88</f>
        <v>44.414887891442014</v>
      </c>
      <c r="BD96" s="131">
        <f t="shared" si="62"/>
        <v>7.3930712233109999E-2</v>
      </c>
      <c r="BE96" s="131">
        <f t="shared" si="63"/>
        <v>7.3930712233109999E-2</v>
      </c>
      <c r="BF96" s="365">
        <f>PJM_01212000!X96</f>
        <v>0.17784042946559994</v>
      </c>
      <c r="BG96" s="85">
        <f t="shared" si="64"/>
        <v>2660</v>
      </c>
      <c r="BH96" s="84">
        <f t="shared" si="65"/>
        <v>105840</v>
      </c>
      <c r="BJ96" s="537">
        <f>_xll.EURO(BB96,BC96,BD96,BE96,BF96,BG96,1,0)*BH96</f>
        <v>1136868.6723551915</v>
      </c>
      <c r="BK96" s="84">
        <f t="shared" si="66"/>
        <v>1031241.7711170068</v>
      </c>
      <c r="BM96" s="84">
        <f t="shared" si="67"/>
        <v>105626.90123818477</v>
      </c>
    </row>
    <row r="97" spans="1:65">
      <c r="A97" s="78">
        <f t="shared" si="40"/>
        <v>91</v>
      </c>
      <c r="C97" s="78">
        <v>31</v>
      </c>
      <c r="D97" s="78" t="s">
        <v>67</v>
      </c>
      <c r="E97" s="113">
        <f t="shared" si="41"/>
        <v>39264</v>
      </c>
      <c r="F97" s="85">
        <f t="shared" si="37"/>
        <v>23</v>
      </c>
      <c r="G97" s="84">
        <f t="shared" si="70"/>
        <v>8</v>
      </c>
      <c r="H97" s="84"/>
      <c r="I97" s="84"/>
      <c r="J97" s="78">
        <f t="shared" si="42"/>
        <v>31</v>
      </c>
      <c r="K97" s="149">
        <v>39264</v>
      </c>
      <c r="L97" s="508">
        <v>7.3945211463460017E-2</v>
      </c>
      <c r="M97" s="509">
        <v>6.5557490133698007E-2</v>
      </c>
      <c r="N97" s="132">
        <f t="shared" si="39"/>
        <v>0.58243821461084155</v>
      </c>
      <c r="O97" s="133">
        <f>VLOOKUP(K97,Inflation!$B$8:$C$266,2)</f>
        <v>1.2238904066249838</v>
      </c>
      <c r="P97" s="132"/>
      <c r="Q97" s="134">
        <f>VLOOKUP(K97,'Fuel Curve'!$B$11:$F$268,5)</f>
        <v>4.4382758620689664</v>
      </c>
      <c r="R97" s="238">
        <f>VLOOKUP(K97,'Fuel Curve Simulation'!$B$12:$J$258,9)</f>
        <v>4.4382758620689664</v>
      </c>
      <c r="S97" s="134">
        <f t="shared" si="45"/>
        <v>42.514244482758627</v>
      </c>
      <c r="T97" s="136"/>
      <c r="V97" s="135">
        <f>VLOOKUP(K97,PJM_01212000!$A$7:$C$259,3)</f>
        <v>100.19999694824219</v>
      </c>
      <c r="W97" s="486"/>
      <c r="X97" s="118">
        <f>'PJM Curve Simulation'!J97</f>
        <v>100.19999694824219</v>
      </c>
      <c r="Y97" s="512"/>
      <c r="Z97" s="137"/>
      <c r="AA97" s="78">
        <f t="shared" si="44"/>
        <v>315</v>
      </c>
      <c r="AB97" s="85">
        <f t="shared" si="46"/>
        <v>115920</v>
      </c>
      <c r="AC97" s="85">
        <f>VLOOKUP(K97,'Company Volumes'!$B$20:$C$259,2)</f>
        <v>53637.922491685771</v>
      </c>
      <c r="AD97" s="153">
        <f t="shared" si="50"/>
        <v>115920</v>
      </c>
      <c r="AE97" s="150"/>
      <c r="AF97" s="150">
        <v>0</v>
      </c>
      <c r="AG97" s="150">
        <v>0</v>
      </c>
      <c r="AH97" s="150">
        <f t="shared" si="51"/>
        <v>11615183.646240234</v>
      </c>
      <c r="AI97" s="150">
        <f t="shared" si="52"/>
        <v>11615183.646240234</v>
      </c>
      <c r="AJ97" s="150">
        <f t="shared" si="53"/>
        <v>4928251.2204413796</v>
      </c>
      <c r="AK97" s="85">
        <f t="shared" si="54"/>
        <v>61194.520331249194</v>
      </c>
      <c r="AL97" s="85">
        <f t="shared" si="55"/>
        <v>156046.02684468543</v>
      </c>
      <c r="AM97" s="85">
        <f t="shared" si="47"/>
        <v>283746.75187193626</v>
      </c>
      <c r="AN97" s="85">
        <f t="shared" si="48"/>
        <v>139931.46982412314</v>
      </c>
      <c r="AO97" s="85">
        <f t="shared" si="56"/>
        <v>30597.260165624597</v>
      </c>
      <c r="AP97" s="85">
        <f t="shared" si="68"/>
        <v>46500.558215233643</v>
      </c>
      <c r="AQ97" s="84">
        <f t="shared" si="57"/>
        <v>718016.58725285216</v>
      </c>
      <c r="AR97" s="85">
        <f t="shared" si="58"/>
        <v>15298.630082812298</v>
      </c>
      <c r="AS97" s="84">
        <f t="shared" si="35"/>
        <v>30387.755000000001</v>
      </c>
      <c r="AT97" s="85">
        <f t="shared" si="59"/>
        <v>85294.271014924932</v>
      </c>
      <c r="AU97" s="84">
        <f t="shared" si="60"/>
        <v>5777248.4637919692</v>
      </c>
      <c r="AV97" s="84">
        <f t="shared" si="49"/>
        <v>5837935.1824482651</v>
      </c>
      <c r="AW97" s="453"/>
      <c r="AX97" s="93">
        <f t="shared" si="43"/>
        <v>39264</v>
      </c>
      <c r="BA97" s="315"/>
      <c r="BB97" s="134">
        <f t="shared" si="61"/>
        <v>100.19999694824219</v>
      </c>
      <c r="BC97" s="134">
        <f>'Curve Analysis - Base Case'!D89</f>
        <v>44.962025296008598</v>
      </c>
      <c r="BD97" s="131">
        <f t="shared" si="62"/>
        <v>7.3945211463460017E-2</v>
      </c>
      <c r="BE97" s="131">
        <f t="shared" si="63"/>
        <v>7.3945211463460017E-2</v>
      </c>
      <c r="BF97" s="365">
        <f>PJM_01212000!X97</f>
        <v>0.21736052490239996</v>
      </c>
      <c r="BG97" s="85">
        <f t="shared" si="64"/>
        <v>2690</v>
      </c>
      <c r="BH97" s="84">
        <f t="shared" si="65"/>
        <v>115920</v>
      </c>
      <c r="BJ97" s="537">
        <f>_xll.EURO(BB97,BC97,BD97,BE97,BF97,BG97,1,0)*BH97</f>
        <v>3818034.3363707331</v>
      </c>
      <c r="BK97" s="84">
        <f t="shared" si="66"/>
        <v>3894724.9833056289</v>
      </c>
      <c r="BM97" s="84">
        <f t="shared" si="67"/>
        <v>-76690.646934895776</v>
      </c>
    </row>
    <row r="98" spans="1:65">
      <c r="A98" s="78">
        <f t="shared" si="40"/>
        <v>92</v>
      </c>
      <c r="C98" s="78">
        <v>31</v>
      </c>
      <c r="D98" s="78" t="s">
        <v>68</v>
      </c>
      <c r="E98" s="113">
        <f t="shared" si="41"/>
        <v>39295</v>
      </c>
      <c r="F98" s="85">
        <f t="shared" si="37"/>
        <v>21</v>
      </c>
      <c r="G98" s="84">
        <f t="shared" si="70"/>
        <v>10</v>
      </c>
      <c r="H98" s="84"/>
      <c r="I98" s="84"/>
      <c r="J98" s="78">
        <f t="shared" si="42"/>
        <v>31</v>
      </c>
      <c r="K98" s="149">
        <v>39295</v>
      </c>
      <c r="L98" s="508">
        <v>7.3960194001562007E-2</v>
      </c>
      <c r="M98" s="509">
        <v>6.5544254104097005E-2</v>
      </c>
      <c r="N98" s="132">
        <f t="shared" si="39"/>
        <v>0.57879686904277527</v>
      </c>
      <c r="O98" s="133">
        <f>VLOOKUP(K98,Inflation!$B$8:$C$266,2)</f>
        <v>1.2266106588480505</v>
      </c>
      <c r="P98" s="132"/>
      <c r="Q98" s="134">
        <f>VLOOKUP(K98,'Fuel Curve'!$B$11:$F$268,5)</f>
        <v>4.5281034482758633</v>
      </c>
      <c r="R98" s="238">
        <f>VLOOKUP(K98,'Fuel Curve Simulation'!$B$12:$J$258,9)</f>
        <v>4.5281034482758633</v>
      </c>
      <c r="S98" s="134">
        <f t="shared" si="45"/>
        <v>43.374702931034498</v>
      </c>
      <c r="T98" s="136"/>
      <c r="V98" s="135">
        <f>VLOOKUP(K98,PJM_01212000!$A$7:$C$259,3)</f>
        <v>87.199996948242188</v>
      </c>
      <c r="W98" s="486"/>
      <c r="X98" s="118">
        <f>'PJM Curve Simulation'!J98</f>
        <v>87.199996948242188</v>
      </c>
      <c r="Y98" s="512"/>
      <c r="Z98" s="137"/>
      <c r="AA98" s="78">
        <f t="shared" si="44"/>
        <v>315</v>
      </c>
      <c r="AB98" s="85">
        <f t="shared" si="46"/>
        <v>105840</v>
      </c>
      <c r="AC98" s="85">
        <f>VLOOKUP(K98,'Company Volumes'!$B$20:$C$259,2)</f>
        <v>35758.614995114665</v>
      </c>
      <c r="AD98" s="153">
        <f t="shared" si="50"/>
        <v>105840</v>
      </c>
      <c r="AE98" s="150"/>
      <c r="AF98" s="150">
        <v>0</v>
      </c>
      <c r="AG98" s="150">
        <v>0</v>
      </c>
      <c r="AH98" s="150">
        <f t="shared" si="51"/>
        <v>9229247.6770019531</v>
      </c>
      <c r="AI98" s="150">
        <f t="shared" si="52"/>
        <v>9229247.6770019531</v>
      </c>
      <c r="AJ98" s="150">
        <f t="shared" si="53"/>
        <v>4590778.558220691</v>
      </c>
      <c r="AK98" s="85">
        <f t="shared" si="54"/>
        <v>61330.532942402526</v>
      </c>
      <c r="AL98" s="85">
        <f t="shared" si="55"/>
        <v>156392.85900312645</v>
      </c>
      <c r="AM98" s="85">
        <f t="shared" si="47"/>
        <v>259648.94426495532</v>
      </c>
      <c r="AN98" s="85">
        <f t="shared" si="48"/>
        <v>140242.48532829378</v>
      </c>
      <c r="AO98" s="85">
        <f t="shared" si="56"/>
        <v>30665.266471201263</v>
      </c>
      <c r="AP98" s="85">
        <f t="shared" si="68"/>
        <v>46500.558215233643</v>
      </c>
      <c r="AQ98" s="84">
        <f t="shared" si="57"/>
        <v>694780.64622521296</v>
      </c>
      <c r="AR98" s="85">
        <f t="shared" si="58"/>
        <v>15332.633235600631</v>
      </c>
      <c r="AS98" s="84">
        <f t="shared" si="35"/>
        <v>30387.755000000001</v>
      </c>
      <c r="AT98" s="85">
        <f t="shared" si="59"/>
        <v>67924.16144255524</v>
      </c>
      <c r="AU98" s="84">
        <f t="shared" si="60"/>
        <v>5399203.7541240593</v>
      </c>
      <c r="AV98" s="84">
        <f t="shared" si="49"/>
        <v>3830043.9228778938</v>
      </c>
      <c r="AW98" s="453"/>
      <c r="AX98" s="93">
        <f t="shared" si="43"/>
        <v>39295</v>
      </c>
      <c r="BA98" s="315"/>
      <c r="BB98" s="134">
        <f t="shared" si="61"/>
        <v>87.199996948242188</v>
      </c>
      <c r="BC98" s="134">
        <f>'Curve Analysis - Base Case'!D90</f>
        <v>45.827924248730596</v>
      </c>
      <c r="BD98" s="131">
        <f t="shared" si="62"/>
        <v>7.3960194001562007E-2</v>
      </c>
      <c r="BE98" s="131">
        <f t="shared" si="63"/>
        <v>7.3960194001562007E-2</v>
      </c>
      <c r="BF98" s="365">
        <f>PJM_01212000!X98</f>
        <v>0.21736052490239996</v>
      </c>
      <c r="BG98" s="85">
        <f t="shared" si="64"/>
        <v>2721</v>
      </c>
      <c r="BH98" s="84">
        <f t="shared" si="65"/>
        <v>105840</v>
      </c>
      <c r="BJ98" s="537">
        <f>_xll.EURO(BB98,BC98,BD98,BE98,BF98,BG98,1,0)*BH98</f>
        <v>2681224.1871500905</v>
      </c>
      <c r="BK98" s="84">
        <f t="shared" si="66"/>
        <v>2684731.4031021954</v>
      </c>
      <c r="BM98" s="84">
        <f t="shared" si="67"/>
        <v>-3507.2159521048889</v>
      </c>
    </row>
    <row r="99" spans="1:65">
      <c r="A99" s="78">
        <f t="shared" si="40"/>
        <v>93</v>
      </c>
      <c r="C99" s="78">
        <v>30</v>
      </c>
      <c r="D99" s="78" t="s">
        <v>69</v>
      </c>
      <c r="E99" s="113">
        <f t="shared" si="41"/>
        <v>39326</v>
      </c>
      <c r="F99" s="85">
        <f t="shared" si="37"/>
        <v>22</v>
      </c>
      <c r="G99" s="84">
        <f t="shared" si="70"/>
        <v>8</v>
      </c>
      <c r="H99" s="84"/>
      <c r="I99" s="84"/>
      <c r="J99" s="78">
        <f t="shared" si="42"/>
        <v>30</v>
      </c>
      <c r="K99" s="149">
        <v>39326</v>
      </c>
      <c r="L99" s="508">
        <v>7.3975176539738008E-2</v>
      </c>
      <c r="M99" s="509">
        <v>6.5531018075715014E-2</v>
      </c>
      <c r="N99" s="132">
        <f t="shared" si="39"/>
        <v>0.57517687860822675</v>
      </c>
      <c r="O99" s="133">
        <f>VLOOKUP(K99,Inflation!$B$8:$C$266,2)</f>
        <v>1.2293369571779555</v>
      </c>
      <c r="P99" s="132"/>
      <c r="Q99" s="134">
        <f>VLOOKUP(K99,'Fuel Curve'!$B$11:$F$268,5)</f>
        <v>4.6236206896551728</v>
      </c>
      <c r="R99" s="238">
        <f>VLOOKUP(K99,'Fuel Curve Simulation'!$B$12:$J$258,9)</f>
        <v>4.6236206896551728</v>
      </c>
      <c r="S99" s="134">
        <f t="shared" si="45"/>
        <v>44.289662586206894</v>
      </c>
      <c r="T99" s="136"/>
      <c r="V99" s="135">
        <f>VLOOKUP(K99,PJM_01212000!$A$7:$C$259,3)</f>
        <v>34.924998474121097</v>
      </c>
      <c r="W99" s="486"/>
      <c r="X99" s="118">
        <f>'PJM Curve Simulation'!J99</f>
        <v>34.924998474121097</v>
      </c>
      <c r="Y99" s="512"/>
      <c r="Z99" s="137"/>
      <c r="AA99" s="78">
        <f t="shared" si="44"/>
        <v>315</v>
      </c>
      <c r="AB99" s="85">
        <f t="shared" si="46"/>
        <v>110880</v>
      </c>
      <c r="AC99" s="85">
        <f>VLOOKUP(K99,'Company Volumes'!$B$20:$C$259,2)</f>
        <v>21399.040545751555</v>
      </c>
      <c r="AD99" s="153">
        <f t="shared" si="50"/>
        <v>0</v>
      </c>
      <c r="AE99" s="150"/>
      <c r="AF99" s="150">
        <v>0</v>
      </c>
      <c r="AG99" s="150">
        <v>0</v>
      </c>
      <c r="AH99" s="150">
        <f t="shared" si="51"/>
        <v>0</v>
      </c>
      <c r="AI99" s="150">
        <f t="shared" si="52"/>
        <v>0</v>
      </c>
      <c r="AJ99" s="150">
        <f t="shared" si="53"/>
        <v>0</v>
      </c>
      <c r="AK99" s="85">
        <f t="shared" si="54"/>
        <v>61466.847858897781</v>
      </c>
      <c r="AL99" s="85">
        <f t="shared" si="55"/>
        <v>156740.46204018933</v>
      </c>
      <c r="AM99" s="85">
        <f t="shared" si="47"/>
        <v>0</v>
      </c>
      <c r="AN99" s="85">
        <f t="shared" si="48"/>
        <v>140554.19210401291</v>
      </c>
      <c r="AO99" s="85">
        <f t="shared" si="56"/>
        <v>30733.423929448891</v>
      </c>
      <c r="AP99" s="85">
        <f t="shared" si="68"/>
        <v>46500.558215233643</v>
      </c>
      <c r="AQ99" s="84">
        <f t="shared" si="57"/>
        <v>435995.48414778255</v>
      </c>
      <c r="AR99" s="85">
        <f t="shared" si="58"/>
        <v>15366.711964724445</v>
      </c>
      <c r="AS99" s="84">
        <f t="shared" si="35"/>
        <v>30387.755000000001</v>
      </c>
      <c r="AT99" s="85">
        <f t="shared" si="59"/>
        <v>0</v>
      </c>
      <c r="AU99" s="84">
        <f t="shared" si="60"/>
        <v>481749.95111250703</v>
      </c>
      <c r="AV99" s="84">
        <f t="shared" si="49"/>
        <v>-481749.95111250703</v>
      </c>
      <c r="AW99" s="453"/>
      <c r="AX99" s="93">
        <f t="shared" si="43"/>
        <v>39326</v>
      </c>
      <c r="BA99" s="315"/>
      <c r="BB99" s="134">
        <f t="shared" si="61"/>
        <v>34.924998474121097</v>
      </c>
      <c r="BC99" s="134">
        <f>'Curve Analysis - Base Case'!D91</f>
        <v>46.748336500562807</v>
      </c>
      <c r="BD99" s="131">
        <f t="shared" si="62"/>
        <v>7.3975176539738008E-2</v>
      </c>
      <c r="BE99" s="131">
        <f t="shared" si="63"/>
        <v>7.3975176539738008E-2</v>
      </c>
      <c r="BF99" s="365">
        <f>PJM_01212000!X99</f>
        <v>0.13971750911999997</v>
      </c>
      <c r="BG99" s="85">
        <f t="shared" si="64"/>
        <v>2752</v>
      </c>
      <c r="BH99" s="84">
        <f t="shared" si="65"/>
        <v>0</v>
      </c>
      <c r="BJ99" s="537">
        <f>_xll.EURO(BB99,BC99,BD99,BE99,BF99,BG99,1,0)*BH99</f>
        <v>0</v>
      </c>
      <c r="BK99" s="84">
        <f t="shared" si="66"/>
        <v>0</v>
      </c>
      <c r="BM99" s="84">
        <f t="shared" si="67"/>
        <v>0</v>
      </c>
    </row>
    <row r="100" spans="1:65">
      <c r="A100" s="78">
        <f t="shared" si="40"/>
        <v>94</v>
      </c>
      <c r="C100" s="78">
        <v>31</v>
      </c>
      <c r="D100" s="78" t="s">
        <v>70</v>
      </c>
      <c r="E100" s="113">
        <f t="shared" si="41"/>
        <v>39356</v>
      </c>
      <c r="F100" s="85">
        <f t="shared" si="37"/>
        <v>23</v>
      </c>
      <c r="G100" s="84">
        <f t="shared" si="70"/>
        <v>8</v>
      </c>
      <c r="H100" s="84"/>
      <c r="I100" s="84"/>
      <c r="J100" s="78">
        <f t="shared" si="42"/>
        <v>31</v>
      </c>
      <c r="K100" s="149">
        <v>39356</v>
      </c>
      <c r="L100" s="508">
        <v>7.3989675770301008E-2</v>
      </c>
      <c r="M100" s="509">
        <v>6.551820901715201E-2</v>
      </c>
      <c r="N100" s="132">
        <f t="shared" si="39"/>
        <v>0.57169388586550773</v>
      </c>
      <c r="O100" s="133">
        <f>VLOOKUP(K100,Inflation!$B$8:$C$266,2)</f>
        <v>1.2320693150529411</v>
      </c>
      <c r="P100" s="132"/>
      <c r="Q100" s="134">
        <f>VLOOKUP(K100,'Fuel Curve'!$B$11:$F$268,5)</f>
        <v>4.7155172413793105</v>
      </c>
      <c r="R100" s="238">
        <f>VLOOKUP(K100,'Fuel Curve Simulation'!$B$12:$J$258,9)</f>
        <v>4.7155172413793105</v>
      </c>
      <c r="S100" s="134">
        <f t="shared" si="45"/>
        <v>45.169939655172413</v>
      </c>
      <c r="T100" s="136"/>
      <c r="V100" s="135">
        <f>VLOOKUP(K100,PJM_01212000!$A$7:$C$259,3)</f>
        <v>28.575000381469728</v>
      </c>
      <c r="W100" s="486"/>
      <c r="X100" s="118">
        <f>'PJM Curve Simulation'!J100</f>
        <v>28.575000381469728</v>
      </c>
      <c r="Y100" s="512"/>
      <c r="Z100" s="137"/>
      <c r="AA100" s="78">
        <f t="shared" si="44"/>
        <v>315</v>
      </c>
      <c r="AB100" s="85">
        <f t="shared" si="46"/>
        <v>115920</v>
      </c>
      <c r="AC100" s="85">
        <f>VLOOKUP(K100,'Company Volumes'!$B$20:$C$259,2)</f>
        <v>3914.1586886795549</v>
      </c>
      <c r="AD100" s="153">
        <f t="shared" si="50"/>
        <v>0</v>
      </c>
      <c r="AE100" s="150"/>
      <c r="AF100" s="150">
        <v>0</v>
      </c>
      <c r="AG100" s="150">
        <v>0</v>
      </c>
      <c r="AH100" s="150">
        <f t="shared" si="51"/>
        <v>0</v>
      </c>
      <c r="AI100" s="150">
        <f t="shared" si="52"/>
        <v>0</v>
      </c>
      <c r="AJ100" s="150">
        <f t="shared" si="53"/>
        <v>0</v>
      </c>
      <c r="AK100" s="85">
        <f t="shared" si="54"/>
        <v>61603.465752647055</v>
      </c>
      <c r="AL100" s="85">
        <f t="shared" si="55"/>
        <v>157088.83766925</v>
      </c>
      <c r="AM100" s="85">
        <f t="shared" si="47"/>
        <v>0</v>
      </c>
      <c r="AN100" s="85">
        <f t="shared" si="48"/>
        <v>140866.5916877196</v>
      </c>
      <c r="AO100" s="85">
        <f t="shared" si="56"/>
        <v>30801.732876323527</v>
      </c>
      <c r="AP100" s="85">
        <f t="shared" si="68"/>
        <v>46500.558215233643</v>
      </c>
      <c r="AQ100" s="84">
        <f t="shared" si="57"/>
        <v>436861.18620117381</v>
      </c>
      <c r="AR100" s="85">
        <f t="shared" si="58"/>
        <v>15400.866438161764</v>
      </c>
      <c r="AS100" s="84">
        <f t="shared" si="35"/>
        <v>30387.755000000001</v>
      </c>
      <c r="AT100" s="85">
        <f t="shared" si="59"/>
        <v>0</v>
      </c>
      <c r="AU100" s="84">
        <f t="shared" si="60"/>
        <v>482649.80763933563</v>
      </c>
      <c r="AV100" s="84">
        <f t="shared" si="49"/>
        <v>-482649.80763933563</v>
      </c>
      <c r="AW100" s="453"/>
      <c r="AX100" s="93">
        <f t="shared" si="43"/>
        <v>39356</v>
      </c>
      <c r="BA100" s="315"/>
      <c r="BB100" s="134">
        <f t="shared" si="61"/>
        <v>28.575000381469728</v>
      </c>
      <c r="BC100" s="134">
        <f>'Curve Analysis - Base Case'!D92</f>
        <v>47.634078285278292</v>
      </c>
      <c r="BD100" s="131">
        <f t="shared" si="62"/>
        <v>7.3989675770301008E-2</v>
      </c>
      <c r="BE100" s="131">
        <f t="shared" si="63"/>
        <v>7.3989675770301008E-2</v>
      </c>
      <c r="BF100" s="365">
        <f>PJM_01212000!X100</f>
        <v>9.8800238591999975E-2</v>
      </c>
      <c r="BG100" s="85">
        <f t="shared" si="64"/>
        <v>2782</v>
      </c>
      <c r="BH100" s="84">
        <f t="shared" si="65"/>
        <v>0</v>
      </c>
      <c r="BJ100" s="537">
        <f>_xll.EURO(BB100,BC100,BD100,BE100,BF100,BG100,1,0)*BH100</f>
        <v>0</v>
      </c>
      <c r="BK100" s="84">
        <f t="shared" si="66"/>
        <v>0</v>
      </c>
      <c r="BM100" s="84">
        <f t="shared" si="67"/>
        <v>0</v>
      </c>
    </row>
    <row r="101" spans="1:65">
      <c r="A101" s="78">
        <f t="shared" si="40"/>
        <v>95</v>
      </c>
      <c r="C101" s="78">
        <v>30</v>
      </c>
      <c r="D101" s="78" t="s">
        <v>71</v>
      </c>
      <c r="E101" s="113">
        <f t="shared" si="41"/>
        <v>39387</v>
      </c>
      <c r="F101" s="85">
        <f t="shared" si="37"/>
        <v>20</v>
      </c>
      <c r="G101" s="84">
        <f t="shared" si="70"/>
        <v>10</v>
      </c>
      <c r="H101" s="84"/>
      <c r="I101" s="84"/>
      <c r="J101" s="78">
        <f t="shared" si="42"/>
        <v>30</v>
      </c>
      <c r="K101" s="149">
        <v>39387</v>
      </c>
      <c r="L101" s="508">
        <v>7.4004658308623017E-2</v>
      </c>
      <c r="M101" s="509">
        <v>6.5504972991170002E-2</v>
      </c>
      <c r="N101" s="132">
        <f t="shared" si="39"/>
        <v>0.56811557908537158</v>
      </c>
      <c r="O101" s="133">
        <f>VLOOKUP(K101,Inflation!$B$8:$C$266,2)</f>
        <v>1.2348077459411178</v>
      </c>
      <c r="P101" s="132"/>
      <c r="Q101" s="134">
        <f>VLOOKUP(K101,'Fuel Curve'!$B$11:$F$268,5)</f>
        <v>4.8046551724137938</v>
      </c>
      <c r="R101" s="238">
        <f>VLOOKUP(K101,'Fuel Curve Simulation'!$B$12:$J$258,9)</f>
        <v>4.8046551724137938</v>
      </c>
      <c r="S101" s="134">
        <f t="shared" si="45"/>
        <v>46.023791896551728</v>
      </c>
      <c r="T101" s="136"/>
      <c r="V101" s="135">
        <f>VLOOKUP(K101,PJM_01212000!$A$7:$C$259,3)</f>
        <v>28.247499084472658</v>
      </c>
      <c r="W101" s="486"/>
      <c r="X101" s="118">
        <f>'PJM Curve Simulation'!J101</f>
        <v>28.247499084472658</v>
      </c>
      <c r="Y101" s="512"/>
      <c r="Z101" s="137"/>
      <c r="AA101" s="78">
        <f t="shared" si="44"/>
        <v>315</v>
      </c>
      <c r="AB101" s="85">
        <f t="shared" si="46"/>
        <v>100800</v>
      </c>
      <c r="AC101" s="85">
        <f>VLOOKUP(K101,'Company Volumes'!$B$20:$C$259,2)</f>
        <v>8091.0709731319994</v>
      </c>
      <c r="AD101" s="153">
        <f t="shared" si="50"/>
        <v>0</v>
      </c>
      <c r="AE101" s="150"/>
      <c r="AF101" s="150">
        <v>0</v>
      </c>
      <c r="AG101" s="150">
        <v>0</v>
      </c>
      <c r="AH101" s="150">
        <f t="shared" si="51"/>
        <v>0</v>
      </c>
      <c r="AI101" s="150">
        <f t="shared" si="52"/>
        <v>0</v>
      </c>
      <c r="AJ101" s="150">
        <f t="shared" si="53"/>
        <v>0</v>
      </c>
      <c r="AK101" s="85">
        <f t="shared" si="54"/>
        <v>61740.387297055888</v>
      </c>
      <c r="AL101" s="85">
        <f t="shared" si="55"/>
        <v>157437.98760749251</v>
      </c>
      <c r="AM101" s="85">
        <f t="shared" si="47"/>
        <v>0</v>
      </c>
      <c r="AN101" s="85">
        <f t="shared" si="48"/>
        <v>141179.68561926778</v>
      </c>
      <c r="AO101" s="85">
        <f t="shared" si="56"/>
        <v>30870.193648527944</v>
      </c>
      <c r="AP101" s="85">
        <f t="shared" si="68"/>
        <v>46500.558215233643</v>
      </c>
      <c r="AQ101" s="84">
        <f t="shared" si="57"/>
        <v>437728.81238757772</v>
      </c>
      <c r="AR101" s="85">
        <f t="shared" si="58"/>
        <v>15435.096824263972</v>
      </c>
      <c r="AS101" s="84">
        <f t="shared" si="35"/>
        <v>30387.755000000001</v>
      </c>
      <c r="AT101" s="85">
        <f t="shared" si="59"/>
        <v>0</v>
      </c>
      <c r="AU101" s="84">
        <f t="shared" si="60"/>
        <v>483551.66421184165</v>
      </c>
      <c r="AV101" s="84">
        <f t="shared" si="49"/>
        <v>-483551.66421184165</v>
      </c>
      <c r="AW101" s="453"/>
      <c r="AX101" s="93">
        <f t="shared" si="43"/>
        <v>39387</v>
      </c>
      <c r="BA101" s="315"/>
      <c r="BB101" s="134">
        <f t="shared" si="61"/>
        <v>28.247499084472658</v>
      </c>
      <c r="BC101" s="134">
        <f>'Curve Analysis - Base Case'!D93</f>
        <v>48.493407388433965</v>
      </c>
      <c r="BD101" s="131">
        <f t="shared" si="62"/>
        <v>7.4004658308623017E-2</v>
      </c>
      <c r="BE101" s="131">
        <f t="shared" si="63"/>
        <v>7.4004658308623017E-2</v>
      </c>
      <c r="BF101" s="365">
        <f>PJM_01212000!X101</f>
        <v>9.8800238591999975E-2</v>
      </c>
      <c r="BG101" s="85">
        <f t="shared" si="64"/>
        <v>2813</v>
      </c>
      <c r="BH101" s="84">
        <f t="shared" si="65"/>
        <v>0</v>
      </c>
      <c r="BJ101" s="537">
        <f>_xll.EURO(BB101,BC101,BD101,BE101,BF101,BG101,1,0)*BH101</f>
        <v>0</v>
      </c>
      <c r="BK101" s="84">
        <f t="shared" si="66"/>
        <v>0</v>
      </c>
      <c r="BM101" s="84">
        <f t="shared" si="67"/>
        <v>0</v>
      </c>
    </row>
    <row r="102" spans="1:65">
      <c r="A102" s="78">
        <f t="shared" si="40"/>
        <v>96</v>
      </c>
      <c r="C102" s="78">
        <v>31</v>
      </c>
      <c r="D102" s="78" t="s">
        <v>72</v>
      </c>
      <c r="E102" s="113">
        <f t="shared" si="41"/>
        <v>39417</v>
      </c>
      <c r="F102" s="85">
        <f t="shared" si="37"/>
        <v>23</v>
      </c>
      <c r="G102" s="84">
        <f t="shared" si="70"/>
        <v>8</v>
      </c>
      <c r="H102" s="84">
        <f>SUM(F91:G102)</f>
        <v>365</v>
      </c>
      <c r="I102" s="84"/>
      <c r="J102" s="78">
        <f t="shared" si="42"/>
        <v>31</v>
      </c>
      <c r="K102" s="149">
        <v>39417</v>
      </c>
      <c r="L102" s="508">
        <v>7.4019157539328015E-2</v>
      </c>
      <c r="M102" s="509">
        <v>6.5492163934928002E-2</v>
      </c>
      <c r="N102" s="132">
        <f t="shared" si="39"/>
        <v>0.56467270987595808</v>
      </c>
      <c r="O102" s="133">
        <f>VLOOKUP(K102,Inflation!$B$8:$C$266,2)</f>
        <v>1.23755226334053</v>
      </c>
      <c r="P102" s="132"/>
      <c r="Q102" s="134">
        <f>VLOOKUP(K102,'Fuel Curve'!$B$11:$F$268,5)</f>
        <v>4.8474137931034491</v>
      </c>
      <c r="R102" s="238">
        <f>VLOOKUP(K102,'Fuel Curve Simulation'!$B$12:$J$258,9)</f>
        <v>4.8474137931034491</v>
      </c>
      <c r="S102" s="134">
        <f t="shared" si="45"/>
        <v>46.433376724137936</v>
      </c>
      <c r="T102" s="136"/>
      <c r="V102" s="135">
        <f>VLOOKUP(K102,PJM_01212000!$A$7:$C$259,3)</f>
        <v>29.999999618530275</v>
      </c>
      <c r="W102" s="486"/>
      <c r="X102" s="118">
        <f>'PJM Curve Simulation'!J102</f>
        <v>29.999999618530275</v>
      </c>
      <c r="Y102" s="512"/>
      <c r="Z102" s="137"/>
      <c r="AA102" s="78">
        <f t="shared" si="44"/>
        <v>315</v>
      </c>
      <c r="AB102" s="85">
        <f t="shared" si="46"/>
        <v>115920</v>
      </c>
      <c r="AC102" s="85">
        <f>VLOOKUP(K102,'Company Volumes'!$B$20:$C$259,2)</f>
        <v>8091.0709731319994</v>
      </c>
      <c r="AD102" s="153">
        <f t="shared" si="50"/>
        <v>0</v>
      </c>
      <c r="AE102" s="150"/>
      <c r="AF102" s="150">
        <v>0</v>
      </c>
      <c r="AG102" s="150">
        <v>0</v>
      </c>
      <c r="AH102" s="150">
        <f t="shared" si="51"/>
        <v>0</v>
      </c>
      <c r="AI102" s="150">
        <f t="shared" si="52"/>
        <v>0</v>
      </c>
      <c r="AJ102" s="150">
        <f t="shared" si="53"/>
        <v>0</v>
      </c>
      <c r="AK102" s="85">
        <f t="shared" si="54"/>
        <v>61877.613167026495</v>
      </c>
      <c r="AL102" s="85">
        <f t="shared" si="55"/>
        <v>157787.91357591757</v>
      </c>
      <c r="AM102" s="85">
        <f t="shared" si="47"/>
        <v>0</v>
      </c>
      <c r="AN102" s="85">
        <f t="shared" si="48"/>
        <v>141493.47544193393</v>
      </c>
      <c r="AO102" s="85">
        <f t="shared" si="56"/>
        <v>30938.806583513247</v>
      </c>
      <c r="AP102" s="85">
        <f t="shared" si="68"/>
        <v>46500.558215233643</v>
      </c>
      <c r="AQ102" s="84">
        <f t="shared" si="57"/>
        <v>438598.36698362487</v>
      </c>
      <c r="AR102" s="85">
        <f t="shared" si="58"/>
        <v>15469.403291756624</v>
      </c>
      <c r="AS102" s="84">
        <f t="shared" si="35"/>
        <v>30387.755000000001</v>
      </c>
      <c r="AT102" s="85">
        <f t="shared" si="59"/>
        <v>0</v>
      </c>
      <c r="AU102" s="84">
        <f t="shared" si="60"/>
        <v>484455.52527538151</v>
      </c>
      <c r="AV102" s="84">
        <f t="shared" si="49"/>
        <v>-484455.52527538151</v>
      </c>
      <c r="AW102" s="453"/>
      <c r="AX102" s="93">
        <f t="shared" si="43"/>
        <v>39417</v>
      </c>
      <c r="AY102" s="85">
        <f ca="1">'Debt Amortization'!O8</f>
        <v>3928008.4125422426</v>
      </c>
      <c r="AZ102" s="85">
        <f ca="1">AY102*N102</f>
        <v>2218039.1547257882</v>
      </c>
      <c r="BA102" s="315"/>
      <c r="BB102" s="134">
        <f t="shared" si="61"/>
        <v>29.999999618530275</v>
      </c>
      <c r="BC102" s="134">
        <f>'Curve Analysis - Base Case'!D94</f>
        <v>48.908481250818994</v>
      </c>
      <c r="BD102" s="131">
        <f t="shared" si="62"/>
        <v>7.4019157539328015E-2</v>
      </c>
      <c r="BE102" s="131">
        <f t="shared" si="63"/>
        <v>7.4019157539328015E-2</v>
      </c>
      <c r="BF102" s="365">
        <f>PJM_01212000!X102</f>
        <v>9.8800238591999975E-2</v>
      </c>
      <c r="BG102" s="85">
        <f t="shared" si="64"/>
        <v>2843</v>
      </c>
      <c r="BH102" s="84">
        <f t="shared" si="65"/>
        <v>0</v>
      </c>
      <c r="BJ102" s="537">
        <f>_xll.EURO(BB102,BC102,BD102,BE102,BF102,BG102,1,0)*BH102</f>
        <v>0</v>
      </c>
      <c r="BK102" s="84">
        <f t="shared" si="66"/>
        <v>0</v>
      </c>
      <c r="BM102" s="84">
        <f t="shared" si="67"/>
        <v>0</v>
      </c>
    </row>
    <row r="103" spans="1:65">
      <c r="A103" s="78">
        <f t="shared" si="40"/>
        <v>97</v>
      </c>
      <c r="C103" s="78">
        <v>31</v>
      </c>
      <c r="D103" s="78" t="s">
        <v>62</v>
      </c>
      <c r="E103" s="113">
        <f t="shared" si="41"/>
        <v>39448</v>
      </c>
      <c r="F103" s="85">
        <f t="shared" si="37"/>
        <v>22</v>
      </c>
      <c r="G103" s="84">
        <f>C103-F103</f>
        <v>9</v>
      </c>
      <c r="H103" s="84"/>
      <c r="I103" s="84"/>
      <c r="J103" s="78">
        <f t="shared" si="42"/>
        <v>31</v>
      </c>
      <c r="K103" s="149">
        <v>39448</v>
      </c>
      <c r="L103" s="508">
        <v>7.4034140077795019E-2</v>
      </c>
      <c r="M103" s="509">
        <v>6.547892791134402E-2</v>
      </c>
      <c r="N103" s="132">
        <f t="shared" si="39"/>
        <v>0.56113564249260006</v>
      </c>
      <c r="O103" s="133">
        <f>VLOOKUP(K103,Inflation!$B$8:$C$266,2)</f>
        <v>1.2403028807792242</v>
      </c>
      <c r="P103" s="132"/>
      <c r="Q103" s="134">
        <f>VLOOKUP(K103,'Fuel Curve'!$B$11:$F$268,5)</f>
        <v>4.7901724137931048</v>
      </c>
      <c r="R103" s="238">
        <f>VLOOKUP(K103,'Fuel Curve Simulation'!$B$12:$J$258,9)</f>
        <v>4.7901724137931048</v>
      </c>
      <c r="S103" s="134">
        <f t="shared" si="45"/>
        <v>45.885061551724156</v>
      </c>
      <c r="T103" s="136"/>
      <c r="V103" s="135">
        <f>VLOOKUP(K103,PJM_01212000!$A$7:$C$259,3)</f>
        <v>38.824998474121088</v>
      </c>
      <c r="W103" s="486"/>
      <c r="X103" s="118">
        <f>'PJM Curve Simulation'!J103</f>
        <v>38.824998474121088</v>
      </c>
      <c r="Y103" s="512"/>
      <c r="Z103" s="137"/>
      <c r="AA103" s="78">
        <f t="shared" si="44"/>
        <v>315</v>
      </c>
      <c r="AB103" s="85">
        <f t="shared" si="46"/>
        <v>110880</v>
      </c>
      <c r="AC103" s="85">
        <f>VLOOKUP(K103,'Company Volumes'!$B$20:$C$259,2)</f>
        <v>17916.30730770533</v>
      </c>
      <c r="AD103" s="153">
        <f t="shared" si="50"/>
        <v>0</v>
      </c>
      <c r="AE103" s="150"/>
      <c r="AF103" s="150">
        <v>0</v>
      </c>
      <c r="AG103" s="150">
        <v>0</v>
      </c>
      <c r="AH103" s="150">
        <f t="shared" si="51"/>
        <v>0</v>
      </c>
      <c r="AI103" s="150">
        <f t="shared" si="52"/>
        <v>0</v>
      </c>
      <c r="AJ103" s="150">
        <f t="shared" si="53"/>
        <v>0</v>
      </c>
      <c r="AK103" s="85">
        <f t="shared" si="54"/>
        <v>62015.144038961211</v>
      </c>
      <c r="AL103" s="85">
        <f t="shared" si="55"/>
        <v>158138.61729935108</v>
      </c>
      <c r="AM103" s="85">
        <f t="shared" si="47"/>
        <v>0</v>
      </c>
      <c r="AN103" s="85">
        <f t="shared" si="48"/>
        <v>141807.96270242461</v>
      </c>
      <c r="AO103" s="85">
        <f t="shared" si="56"/>
        <v>31007.572019480605</v>
      </c>
      <c r="AP103" s="85">
        <f t="shared" si="68"/>
        <v>46500.558215233643</v>
      </c>
      <c r="AQ103" s="84">
        <f t="shared" si="57"/>
        <v>439469.85427545116</v>
      </c>
      <c r="AR103" s="85">
        <f t="shared" si="58"/>
        <v>15503.786009740303</v>
      </c>
      <c r="AS103" s="84">
        <f t="shared" si="35"/>
        <v>30387.755000000001</v>
      </c>
      <c r="AT103" s="85">
        <f t="shared" si="59"/>
        <v>0</v>
      </c>
      <c r="AU103" s="84">
        <f t="shared" si="60"/>
        <v>485361.39528519148</v>
      </c>
      <c r="AV103" s="84">
        <f t="shared" si="49"/>
        <v>-485361.39528519148</v>
      </c>
      <c r="AW103" s="453"/>
      <c r="AX103" s="93">
        <f t="shared" si="43"/>
        <v>39448</v>
      </c>
      <c r="BA103" s="315"/>
      <c r="BB103" s="134">
        <f t="shared" si="61"/>
        <v>38.824998474121088</v>
      </c>
      <c r="BC103" s="134">
        <f>'Curve Analysis - Base Case'!D95</f>
        <v>48.365667313282607</v>
      </c>
      <c r="BD103" s="131">
        <f t="shared" si="62"/>
        <v>7.4034140077795019E-2</v>
      </c>
      <c r="BE103" s="131">
        <f t="shared" si="63"/>
        <v>7.4034140077795019E-2</v>
      </c>
      <c r="BF103" s="365">
        <f>PJM_01212000!X103</f>
        <v>0.15175716647731197</v>
      </c>
      <c r="BG103" s="85">
        <f t="shared" si="64"/>
        <v>2874</v>
      </c>
      <c r="BH103" s="84">
        <f t="shared" si="65"/>
        <v>0</v>
      </c>
      <c r="BJ103" s="537">
        <f>_xll.EURO(BB103,BC103,BD103,BE103,BF103,BG103,1,0)*BH103</f>
        <v>0</v>
      </c>
      <c r="BK103" s="84">
        <f t="shared" si="66"/>
        <v>0</v>
      </c>
      <c r="BM103" s="84">
        <f t="shared" si="67"/>
        <v>0</v>
      </c>
    </row>
    <row r="104" spans="1:65">
      <c r="A104" s="78">
        <f t="shared" si="40"/>
        <v>98</v>
      </c>
      <c r="C104" s="140">
        <v>29</v>
      </c>
      <c r="D104" s="141" t="s">
        <v>63</v>
      </c>
      <c r="E104" s="113">
        <f t="shared" si="41"/>
        <v>39479</v>
      </c>
      <c r="F104" s="85">
        <f t="shared" si="37"/>
        <v>20</v>
      </c>
      <c r="G104" s="84">
        <f t="shared" ref="G104:G114" si="71">C104-F104</f>
        <v>9</v>
      </c>
      <c r="H104" s="84"/>
      <c r="I104" s="84"/>
      <c r="J104" s="78">
        <f t="shared" si="42"/>
        <v>29</v>
      </c>
      <c r="K104" s="149">
        <v>39479</v>
      </c>
      <c r="L104" s="508">
        <v>7.4049122616337018E-2</v>
      </c>
      <c r="M104" s="509">
        <v>6.5465691888979008E-2</v>
      </c>
      <c r="N104" s="132">
        <f t="shared" si="39"/>
        <v>0.55761936395772205</v>
      </c>
      <c r="O104" s="133">
        <f>VLOOKUP(K104,Inflation!$B$8:$C$266,2)</f>
        <v>1.2430596118153139</v>
      </c>
      <c r="P104" s="132"/>
      <c r="Q104" s="134">
        <f>VLOOKUP(K104,'Fuel Curve'!$B$11:$F$268,5)</f>
        <v>4.6910344827586217</v>
      </c>
      <c r="R104" s="238">
        <f>VLOOKUP(K104,'Fuel Curve Simulation'!$B$12:$J$258,9)</f>
        <v>4.6910344827586217</v>
      </c>
      <c r="S104" s="134">
        <f t="shared" si="45"/>
        <v>44.935419310344834</v>
      </c>
      <c r="T104" s="136"/>
      <c r="V104" s="135">
        <f>VLOOKUP(K104,PJM_01212000!$A$7:$C$259,3)</f>
        <v>38.824998474121088</v>
      </c>
      <c r="W104" s="486"/>
      <c r="X104" s="118">
        <f>'PJM Curve Simulation'!J104</f>
        <v>38.824998474121088</v>
      </c>
      <c r="Y104" s="512"/>
      <c r="Z104" s="137"/>
      <c r="AA104" s="78">
        <f t="shared" si="44"/>
        <v>315</v>
      </c>
      <c r="AB104" s="85">
        <f t="shared" si="46"/>
        <v>100800</v>
      </c>
      <c r="AC104" s="85">
        <f>VLOOKUP(K104,'Company Volumes'!$B$20:$C$259,2)</f>
        <v>712.97695085244436</v>
      </c>
      <c r="AD104" s="153">
        <f t="shared" si="50"/>
        <v>0</v>
      </c>
      <c r="AE104" s="150"/>
      <c r="AF104" s="150">
        <v>0</v>
      </c>
      <c r="AG104" s="150">
        <v>0</v>
      </c>
      <c r="AH104" s="150">
        <f t="shared" si="51"/>
        <v>0</v>
      </c>
      <c r="AI104" s="150">
        <f t="shared" si="52"/>
        <v>0</v>
      </c>
      <c r="AJ104" s="150">
        <f t="shared" si="53"/>
        <v>0</v>
      </c>
      <c r="AK104" s="85">
        <f t="shared" si="54"/>
        <v>62152.980590765692</v>
      </c>
      <c r="AL104" s="85">
        <f t="shared" si="55"/>
        <v>158490.10050645252</v>
      </c>
      <c r="AM104" s="85">
        <f t="shared" si="47"/>
        <v>0</v>
      </c>
      <c r="AN104" s="85">
        <f t="shared" si="48"/>
        <v>142123.14895088424</v>
      </c>
      <c r="AO104" s="85">
        <f t="shared" si="56"/>
        <v>31076.490295382846</v>
      </c>
      <c r="AP104" s="85">
        <f t="shared" si="68"/>
        <v>46500.558215233643</v>
      </c>
      <c r="AQ104" s="84">
        <f t="shared" si="57"/>
        <v>440343.27855871897</v>
      </c>
      <c r="AR104" s="85">
        <f t="shared" si="58"/>
        <v>15538.245147691423</v>
      </c>
      <c r="AS104" s="84">
        <f t="shared" si="35"/>
        <v>30387.755000000001</v>
      </c>
      <c r="AT104" s="85">
        <f t="shared" si="59"/>
        <v>0</v>
      </c>
      <c r="AU104" s="84">
        <f t="shared" si="60"/>
        <v>486269.27870641043</v>
      </c>
      <c r="AV104" s="84">
        <f t="shared" si="49"/>
        <v>-486269.27870641043</v>
      </c>
      <c r="AW104" s="453"/>
      <c r="AX104" s="93">
        <f t="shared" si="43"/>
        <v>39479</v>
      </c>
      <c r="BA104" s="315"/>
      <c r="BB104" s="134">
        <f t="shared" si="61"/>
        <v>38.824998474121088</v>
      </c>
      <c r="BC104" s="134">
        <f>'Curve Analysis - Base Case'!D96</f>
        <v>47.421538533975465</v>
      </c>
      <c r="BD104" s="131">
        <f t="shared" si="62"/>
        <v>7.4049122616337018E-2</v>
      </c>
      <c r="BE104" s="131">
        <f t="shared" si="63"/>
        <v>7.4049122616337018E-2</v>
      </c>
      <c r="BF104" s="365">
        <f>PJM_01212000!X104</f>
        <v>0.15175716647731197</v>
      </c>
      <c r="BG104" s="85">
        <f t="shared" si="64"/>
        <v>2905</v>
      </c>
      <c r="BH104" s="84">
        <f t="shared" si="65"/>
        <v>0</v>
      </c>
      <c r="BJ104" s="537">
        <f>_xll.EURO(BB104,BC104,BD104,BE104,BF104,BG104,1,0)*BH104</f>
        <v>0</v>
      </c>
      <c r="BK104" s="84">
        <f t="shared" si="66"/>
        <v>0</v>
      </c>
      <c r="BM104" s="84">
        <f t="shared" si="67"/>
        <v>0</v>
      </c>
    </row>
    <row r="105" spans="1:65">
      <c r="A105" s="78">
        <f t="shared" si="40"/>
        <v>99</v>
      </c>
      <c r="C105" s="78">
        <v>31</v>
      </c>
      <c r="D105" s="78" t="s">
        <v>64</v>
      </c>
      <c r="E105" s="113">
        <f t="shared" si="41"/>
        <v>39508</v>
      </c>
      <c r="F105" s="85">
        <f t="shared" si="37"/>
        <v>23</v>
      </c>
      <c r="G105" s="84">
        <f t="shared" si="71"/>
        <v>8</v>
      </c>
      <c r="H105" s="84"/>
      <c r="I105" s="84"/>
      <c r="J105" s="78">
        <f t="shared" si="42"/>
        <v>31</v>
      </c>
      <c r="K105" s="149">
        <v>39508</v>
      </c>
      <c r="L105" s="508">
        <v>7.4063138539555026E-2</v>
      </c>
      <c r="M105" s="509">
        <v>6.5453309804646004E-2</v>
      </c>
      <c r="N105" s="132">
        <f t="shared" si="39"/>
        <v>0.5543486622235968</v>
      </c>
      <c r="O105" s="133">
        <f>VLOOKUP(K105,Inflation!$B$8:$C$266,2)</f>
        <v>1.2458224700370475</v>
      </c>
      <c r="P105" s="132"/>
      <c r="Q105" s="134">
        <f>VLOOKUP(K105,'Fuel Curve'!$B$11:$F$268,5)</f>
        <v>4.5939655172413802</v>
      </c>
      <c r="R105" s="238">
        <f>VLOOKUP(K105,'Fuel Curve Simulation'!$B$12:$J$258,9)</f>
        <v>4.5939655172413802</v>
      </c>
      <c r="S105" s="134">
        <f t="shared" si="45"/>
        <v>44.005595689655181</v>
      </c>
      <c r="T105" s="136"/>
      <c r="V105" s="135">
        <f>VLOOKUP(K105,PJM_01212000!$A$7:$C$259,3)</f>
        <v>28.550000762939455</v>
      </c>
      <c r="W105" s="486"/>
      <c r="X105" s="118">
        <f>'PJM Curve Simulation'!J105</f>
        <v>28.550000762939455</v>
      </c>
      <c r="Y105" s="512"/>
      <c r="Z105" s="137"/>
      <c r="AA105" s="78">
        <f t="shared" si="44"/>
        <v>315</v>
      </c>
      <c r="AB105" s="85">
        <f t="shared" si="46"/>
        <v>115920</v>
      </c>
      <c r="AC105" s="85">
        <f>VLOOKUP(K105,'Company Volumes'!$B$20:$C$259,2)</f>
        <v>712.97695085244436</v>
      </c>
      <c r="AD105" s="153">
        <f t="shared" si="50"/>
        <v>0</v>
      </c>
      <c r="AE105" s="150"/>
      <c r="AF105" s="150">
        <v>0</v>
      </c>
      <c r="AG105" s="150">
        <v>0</v>
      </c>
      <c r="AH105" s="150">
        <f t="shared" si="51"/>
        <v>0</v>
      </c>
      <c r="AI105" s="150">
        <f t="shared" si="52"/>
        <v>0</v>
      </c>
      <c r="AJ105" s="150">
        <f t="shared" si="53"/>
        <v>0</v>
      </c>
      <c r="AK105" s="85">
        <f t="shared" si="54"/>
        <v>62291.12350185238</v>
      </c>
      <c r="AL105" s="85">
        <f t="shared" si="55"/>
        <v>158842.36492972355</v>
      </c>
      <c r="AM105" s="85">
        <f t="shared" si="47"/>
        <v>0</v>
      </c>
      <c r="AN105" s="85">
        <f t="shared" si="48"/>
        <v>142439.03574090241</v>
      </c>
      <c r="AO105" s="85">
        <f t="shared" si="56"/>
        <v>31145.56175092619</v>
      </c>
      <c r="AP105" s="85">
        <f t="shared" si="68"/>
        <v>46500.558215233643</v>
      </c>
      <c r="AQ105" s="84">
        <f t="shared" si="57"/>
        <v>441218.64413863816</v>
      </c>
      <c r="AR105" s="85">
        <f t="shared" si="58"/>
        <v>15572.780875463095</v>
      </c>
      <c r="AS105" s="84">
        <f t="shared" si="35"/>
        <v>30387.755000000001</v>
      </c>
      <c r="AT105" s="85">
        <f t="shared" si="59"/>
        <v>0</v>
      </c>
      <c r="AU105" s="84">
        <f t="shared" si="60"/>
        <v>487179.18001410121</v>
      </c>
      <c r="AV105" s="84">
        <f t="shared" si="49"/>
        <v>-487179.18001410121</v>
      </c>
      <c r="AW105" s="453"/>
      <c r="AX105" s="93">
        <f t="shared" si="43"/>
        <v>39508</v>
      </c>
      <c r="BA105" s="315"/>
      <c r="BB105" s="134">
        <f t="shared" si="61"/>
        <v>28.550000762939455</v>
      </c>
      <c r="BC105" s="134">
        <f>'Curve Analysis - Base Case'!D97</f>
        <v>46.497240629729276</v>
      </c>
      <c r="BD105" s="131">
        <f t="shared" si="62"/>
        <v>7.4063138539555026E-2</v>
      </c>
      <c r="BE105" s="131">
        <f t="shared" si="63"/>
        <v>7.4063138539555026E-2</v>
      </c>
      <c r="BF105" s="365">
        <f>PJM_01212000!X105</f>
        <v>0.12646430539775996</v>
      </c>
      <c r="BG105" s="85">
        <f t="shared" si="64"/>
        <v>2934</v>
      </c>
      <c r="BH105" s="84">
        <f t="shared" si="65"/>
        <v>0</v>
      </c>
      <c r="BJ105" s="537">
        <f>_xll.EURO(BB105,BC105,BD105,BE105,BF105,BG105,1,0)*BH105</f>
        <v>0</v>
      </c>
      <c r="BK105" s="84">
        <f t="shared" si="66"/>
        <v>0</v>
      </c>
      <c r="BM105" s="84">
        <f t="shared" si="67"/>
        <v>0</v>
      </c>
    </row>
    <row r="106" spans="1:65">
      <c r="A106" s="78">
        <f t="shared" si="40"/>
        <v>100</v>
      </c>
      <c r="C106" s="78">
        <v>30</v>
      </c>
      <c r="D106" s="78" t="s">
        <v>65</v>
      </c>
      <c r="E106" s="113">
        <f t="shared" si="41"/>
        <v>39539</v>
      </c>
      <c r="F106" s="85">
        <f t="shared" si="37"/>
        <v>22</v>
      </c>
      <c r="G106" s="84">
        <f t="shared" si="71"/>
        <v>8</v>
      </c>
      <c r="H106" s="84"/>
      <c r="I106" s="84"/>
      <c r="J106" s="78">
        <f t="shared" si="42"/>
        <v>30</v>
      </c>
      <c r="K106" s="149">
        <v>39539</v>
      </c>
      <c r="L106" s="508">
        <v>7.4078121078241022E-2</v>
      </c>
      <c r="M106" s="509">
        <v>6.544007378464102E-2</v>
      </c>
      <c r="N106" s="132">
        <f t="shared" si="39"/>
        <v>0.55087229945877958</v>
      </c>
      <c r="O106" s="133">
        <f>VLOOKUP(K106,Inflation!$B$8:$C$266,2)</f>
        <v>1.2485914690628754</v>
      </c>
      <c r="P106" s="132"/>
      <c r="Q106" s="134">
        <f>VLOOKUP(K106,'Fuel Curve'!$B$11:$F$268,5)</f>
        <v>4.4939655172413797</v>
      </c>
      <c r="R106" s="238">
        <f>VLOOKUP(K106,'Fuel Curve Simulation'!$B$12:$J$258,9)</f>
        <v>4.4939655172413797</v>
      </c>
      <c r="S106" s="134">
        <f t="shared" si="45"/>
        <v>43.047695689655178</v>
      </c>
      <c r="T106" s="136"/>
      <c r="V106" s="135">
        <f>VLOOKUP(K106,PJM_01212000!$A$7:$C$259,3)</f>
        <v>28.325000762939453</v>
      </c>
      <c r="W106" s="486"/>
      <c r="X106" s="118">
        <f>'PJM Curve Simulation'!J106</f>
        <v>28.325000762939453</v>
      </c>
      <c r="Y106" s="512"/>
      <c r="Z106" s="137"/>
      <c r="AA106" s="78">
        <f t="shared" si="44"/>
        <v>315</v>
      </c>
      <c r="AB106" s="85">
        <f t="shared" si="46"/>
        <v>110880</v>
      </c>
      <c r="AC106" s="85">
        <f>VLOOKUP(K106,'Company Volumes'!$B$20:$C$259,2)</f>
        <v>9285.253340704443</v>
      </c>
      <c r="AD106" s="153">
        <f t="shared" si="50"/>
        <v>0</v>
      </c>
      <c r="AE106" s="150"/>
      <c r="AF106" s="150">
        <v>0</v>
      </c>
      <c r="AG106" s="150">
        <v>0</v>
      </c>
      <c r="AH106" s="150">
        <f t="shared" si="51"/>
        <v>0</v>
      </c>
      <c r="AI106" s="150">
        <f t="shared" si="52"/>
        <v>0</v>
      </c>
      <c r="AJ106" s="150">
        <f t="shared" si="53"/>
        <v>0</v>
      </c>
      <c r="AK106" s="85">
        <f t="shared" si="54"/>
        <v>62429.57345314377</v>
      </c>
      <c r="AL106" s="85">
        <f t="shared" si="55"/>
        <v>159195.41230551663</v>
      </c>
      <c r="AM106" s="85">
        <f t="shared" si="47"/>
        <v>0</v>
      </c>
      <c r="AN106" s="85">
        <f t="shared" si="48"/>
        <v>142755.62462952209</v>
      </c>
      <c r="AO106" s="85">
        <f t="shared" si="56"/>
        <v>31214.786726571885</v>
      </c>
      <c r="AP106" s="85">
        <f t="shared" si="68"/>
        <v>46500.558215233643</v>
      </c>
      <c r="AQ106" s="84">
        <f t="shared" si="57"/>
        <v>442095.95532998804</v>
      </c>
      <c r="AR106" s="85">
        <f t="shared" si="58"/>
        <v>15607.393363285943</v>
      </c>
      <c r="AS106" s="84">
        <f t="shared" si="35"/>
        <v>30387.755000000001</v>
      </c>
      <c r="AT106" s="85">
        <f t="shared" si="59"/>
        <v>0</v>
      </c>
      <c r="AU106" s="84">
        <f t="shared" si="60"/>
        <v>488091.10369327397</v>
      </c>
      <c r="AV106" s="84">
        <f t="shared" si="49"/>
        <v>-488091.10369327397</v>
      </c>
      <c r="AW106" s="453"/>
      <c r="AX106" s="93">
        <f t="shared" si="43"/>
        <v>39539</v>
      </c>
      <c r="BA106" s="315"/>
      <c r="BB106" s="134">
        <f t="shared" si="61"/>
        <v>28.325000762939453</v>
      </c>
      <c r="BC106" s="134">
        <f>'Curve Analysis - Base Case'!D98</f>
        <v>45.544878627780932</v>
      </c>
      <c r="BD106" s="131">
        <f t="shared" si="62"/>
        <v>7.4078121078241022E-2</v>
      </c>
      <c r="BE106" s="131">
        <f t="shared" si="63"/>
        <v>7.4078121078241022E-2</v>
      </c>
      <c r="BF106" s="365">
        <f>PJM_01212000!X106</f>
        <v>0.12014109012787198</v>
      </c>
      <c r="BG106" s="85">
        <f t="shared" si="64"/>
        <v>2965</v>
      </c>
      <c r="BH106" s="84">
        <f t="shared" si="65"/>
        <v>0</v>
      </c>
      <c r="BJ106" s="537">
        <f>_xll.EURO(BB106,BC106,BD106,BE106,BF106,BG106,1,0)*BH106</f>
        <v>0</v>
      </c>
      <c r="BK106" s="84">
        <f t="shared" si="66"/>
        <v>0</v>
      </c>
      <c r="BM106" s="84">
        <f t="shared" si="67"/>
        <v>0</v>
      </c>
    </row>
    <row r="107" spans="1:65">
      <c r="A107" s="78">
        <f t="shared" si="40"/>
        <v>101</v>
      </c>
      <c r="C107" s="78">
        <v>31</v>
      </c>
      <c r="D107" s="78" t="s">
        <v>38</v>
      </c>
      <c r="E107" s="113">
        <f t="shared" si="41"/>
        <v>39569</v>
      </c>
      <c r="F107" s="85">
        <f t="shared" si="37"/>
        <v>21</v>
      </c>
      <c r="G107" s="84">
        <f t="shared" si="71"/>
        <v>10</v>
      </c>
      <c r="H107" s="84"/>
      <c r="I107" s="84"/>
      <c r="J107" s="78">
        <f t="shared" si="42"/>
        <v>31</v>
      </c>
      <c r="K107" s="149">
        <v>39569</v>
      </c>
      <c r="L107" s="508">
        <v>7.4092620309297016E-2</v>
      </c>
      <c r="M107" s="509">
        <v>6.5427264734184004E-2</v>
      </c>
      <c r="N107" s="132">
        <f t="shared" si="39"/>
        <v>0.54752755780400564</v>
      </c>
      <c r="O107" s="133">
        <f>VLOOKUP(K107,Inflation!$B$8:$C$266,2)</f>
        <v>1.2513666225415159</v>
      </c>
      <c r="P107" s="132"/>
      <c r="Q107" s="134">
        <f>VLOOKUP(K107,'Fuel Curve'!$B$11:$F$268,5)</f>
        <v>4.4267241379310347</v>
      </c>
      <c r="R107" s="238">
        <f>VLOOKUP(K107,'Fuel Curve Simulation'!$B$12:$J$258,9)</f>
        <v>4.4267241379310347</v>
      </c>
      <c r="S107" s="134">
        <f t="shared" si="45"/>
        <v>42.403590517241383</v>
      </c>
      <c r="T107" s="136"/>
      <c r="V107" s="135">
        <f>VLOOKUP(K107,PJM_01212000!$A$7:$C$259,3)</f>
        <v>34.825000000000003</v>
      </c>
      <c r="W107" s="486"/>
      <c r="X107" s="118">
        <f>'PJM Curve Simulation'!J107</f>
        <v>34.825000000000003</v>
      </c>
      <c r="Y107" s="512"/>
      <c r="Z107" s="137"/>
      <c r="AA107" s="78">
        <f t="shared" si="44"/>
        <v>315</v>
      </c>
      <c r="AB107" s="85">
        <f t="shared" si="46"/>
        <v>105840</v>
      </c>
      <c r="AC107" s="85">
        <f>VLOOKUP(K107,'Company Volumes'!$B$20:$C$259,2)</f>
        <v>17783.534566012444</v>
      </c>
      <c r="AD107" s="153">
        <f t="shared" si="50"/>
        <v>0</v>
      </c>
      <c r="AE107" s="150"/>
      <c r="AF107" s="150">
        <v>0</v>
      </c>
      <c r="AG107" s="150">
        <v>0</v>
      </c>
      <c r="AH107" s="150">
        <f t="shared" si="51"/>
        <v>0</v>
      </c>
      <c r="AI107" s="150">
        <f t="shared" si="52"/>
        <v>0</v>
      </c>
      <c r="AJ107" s="150">
        <f t="shared" si="53"/>
        <v>0</v>
      </c>
      <c r="AK107" s="85">
        <f t="shared" si="54"/>
        <v>62568.331127075791</v>
      </c>
      <c r="AL107" s="85">
        <f t="shared" si="55"/>
        <v>159549.24437404328</v>
      </c>
      <c r="AM107" s="85">
        <f t="shared" si="47"/>
        <v>0</v>
      </c>
      <c r="AN107" s="85">
        <f t="shared" si="48"/>
        <v>143072.91717724665</v>
      </c>
      <c r="AO107" s="85">
        <f t="shared" si="56"/>
        <v>31284.165563537896</v>
      </c>
      <c r="AP107" s="85">
        <f t="shared" si="68"/>
        <v>46500.558215233643</v>
      </c>
      <c r="AQ107" s="84">
        <f t="shared" si="57"/>
        <v>442975.21645713726</v>
      </c>
      <c r="AR107" s="85">
        <f t="shared" si="58"/>
        <v>15642.082781768948</v>
      </c>
      <c r="AS107" s="84">
        <f t="shared" si="35"/>
        <v>30387.755000000001</v>
      </c>
      <c r="AT107" s="85">
        <f t="shared" si="59"/>
        <v>0</v>
      </c>
      <c r="AU107" s="84">
        <f t="shared" si="60"/>
        <v>489005.05423890625</v>
      </c>
      <c r="AV107" s="84">
        <f t="shared" si="49"/>
        <v>-489005.05423890625</v>
      </c>
      <c r="AW107" s="453"/>
      <c r="AX107" s="93">
        <f t="shared" si="43"/>
        <v>39569</v>
      </c>
      <c r="BA107" s="315"/>
      <c r="BB107" s="134">
        <f t="shared" si="61"/>
        <v>34.825000000000003</v>
      </c>
      <c r="BC107" s="134">
        <f>'Curve Analysis - Base Case'!D99</f>
        <v>44.906323762324412</v>
      </c>
      <c r="BD107" s="131">
        <f t="shared" si="62"/>
        <v>7.4092620309297016E-2</v>
      </c>
      <c r="BE107" s="131">
        <f t="shared" si="63"/>
        <v>7.4092620309297016E-2</v>
      </c>
      <c r="BF107" s="365">
        <f>PJM_01212000!X107</f>
        <v>0.13278752066764796</v>
      </c>
      <c r="BG107" s="85">
        <f t="shared" si="64"/>
        <v>2995</v>
      </c>
      <c r="BH107" s="84">
        <f t="shared" si="65"/>
        <v>0</v>
      </c>
      <c r="BJ107" s="537">
        <f>_xll.EURO(BB107,BC107,BD107,BE107,BF107,BG107,1,0)*BH107</f>
        <v>0</v>
      </c>
      <c r="BK107" s="84">
        <f t="shared" si="66"/>
        <v>0</v>
      </c>
      <c r="BM107" s="84">
        <f t="shared" si="67"/>
        <v>0</v>
      </c>
    </row>
    <row r="108" spans="1:65">
      <c r="A108" s="78">
        <f t="shared" si="40"/>
        <v>102</v>
      </c>
      <c r="C108" s="78">
        <v>30</v>
      </c>
      <c r="D108" s="78" t="s">
        <v>66</v>
      </c>
      <c r="E108" s="113">
        <f t="shared" si="41"/>
        <v>39600</v>
      </c>
      <c r="F108" s="85">
        <f t="shared" si="37"/>
        <v>22</v>
      </c>
      <c r="G108" s="84">
        <f t="shared" si="71"/>
        <v>8</v>
      </c>
      <c r="H108" s="84"/>
      <c r="I108" s="84"/>
      <c r="J108" s="78">
        <f t="shared" si="42"/>
        <v>30</v>
      </c>
      <c r="K108" s="149">
        <v>39600</v>
      </c>
      <c r="L108" s="508">
        <v>7.4107602848128021E-2</v>
      </c>
      <c r="M108" s="509">
        <v>6.5414028716578018E-2</v>
      </c>
      <c r="N108" s="132">
        <f t="shared" si="39"/>
        <v>0.54409134600917253</v>
      </c>
      <c r="O108" s="133">
        <f>VLOOKUP(K108,Inflation!$B$8:$C$266,2)</f>
        <v>1.2541479441520242</v>
      </c>
      <c r="P108" s="132"/>
      <c r="Q108" s="134">
        <f>VLOOKUP(K108,'Fuel Curve'!$B$11:$F$268,5)</f>
        <v>4.4201724137931047</v>
      </c>
      <c r="R108" s="238">
        <f>VLOOKUP(K108,'Fuel Curve Simulation'!$B$12:$J$258,9)</f>
        <v>4.4201724137931047</v>
      </c>
      <c r="S108" s="134">
        <f t="shared" si="45"/>
        <v>42.34083155172415</v>
      </c>
      <c r="T108" s="136"/>
      <c r="V108" s="135">
        <f>VLOOKUP(K108,PJM_01212000!$A$7:$C$259,3)</f>
        <v>59.849998474121094</v>
      </c>
      <c r="W108" s="486"/>
      <c r="X108" s="118">
        <f>'PJM Curve Simulation'!J108</f>
        <v>59.849998474121094</v>
      </c>
      <c r="Y108" s="512"/>
      <c r="Z108" s="137"/>
      <c r="AA108" s="78">
        <f t="shared" si="44"/>
        <v>315</v>
      </c>
      <c r="AB108" s="85">
        <f t="shared" si="46"/>
        <v>110880</v>
      </c>
      <c r="AC108" s="85">
        <f>VLOOKUP(K108,'Company Volumes'!$B$20:$C$259,2)</f>
        <v>32058.439299061774</v>
      </c>
      <c r="AD108" s="153">
        <f t="shared" si="50"/>
        <v>110880</v>
      </c>
      <c r="AE108" s="150"/>
      <c r="AF108" s="150">
        <v>0</v>
      </c>
      <c r="AG108" s="150">
        <v>0</v>
      </c>
      <c r="AH108" s="150">
        <f t="shared" si="51"/>
        <v>6636167.8308105469</v>
      </c>
      <c r="AI108" s="150">
        <f t="shared" si="52"/>
        <v>6636167.8308105469</v>
      </c>
      <c r="AJ108" s="150">
        <f t="shared" si="53"/>
        <v>4694751.4024551734</v>
      </c>
      <c r="AK108" s="85">
        <f t="shared" si="54"/>
        <v>62707.397207601207</v>
      </c>
      <c r="AL108" s="85">
        <f t="shared" si="55"/>
        <v>159903.86287938309</v>
      </c>
      <c r="AM108" s="85">
        <f t="shared" si="47"/>
        <v>278119.84809515288</v>
      </c>
      <c r="AN108" s="85">
        <f t="shared" si="48"/>
        <v>143390.9149480481</v>
      </c>
      <c r="AO108" s="85">
        <f t="shared" si="56"/>
        <v>31353.698603800603</v>
      </c>
      <c r="AP108" s="85">
        <f t="shared" si="68"/>
        <v>46500.558215233643</v>
      </c>
      <c r="AQ108" s="84">
        <f t="shared" si="57"/>
        <v>721976.27994921943</v>
      </c>
      <c r="AR108" s="85">
        <f t="shared" si="58"/>
        <v>15676.849301900302</v>
      </c>
      <c r="AS108" s="84">
        <f t="shared" si="35"/>
        <v>30387.755000000001</v>
      </c>
      <c r="AT108" s="85">
        <f t="shared" si="59"/>
        <v>49936.417452353075</v>
      </c>
      <c r="AU108" s="84">
        <f t="shared" si="60"/>
        <v>5512728.7041586451</v>
      </c>
      <c r="AV108" s="84">
        <f t="shared" si="49"/>
        <v>1123439.1266519018</v>
      </c>
      <c r="AW108" s="453"/>
      <c r="AX108" s="93">
        <f t="shared" si="43"/>
        <v>39600</v>
      </c>
      <c r="BA108" s="315"/>
      <c r="BB108" s="134">
        <f t="shared" si="61"/>
        <v>59.849998474121094</v>
      </c>
      <c r="BC108" s="134">
        <f>'Curve Analysis - Base Case'!D100</f>
        <v>44.849127440028198</v>
      </c>
      <c r="BD108" s="131">
        <f t="shared" si="62"/>
        <v>7.4107602848128021E-2</v>
      </c>
      <c r="BE108" s="131">
        <f t="shared" si="63"/>
        <v>7.4107602848128021E-2</v>
      </c>
      <c r="BF108" s="365">
        <f>PJM_01212000!X108</f>
        <v>0.17072681228697595</v>
      </c>
      <c r="BG108" s="85">
        <f t="shared" si="64"/>
        <v>3026</v>
      </c>
      <c r="BH108" s="84">
        <f t="shared" si="65"/>
        <v>110880</v>
      </c>
      <c r="BJ108" s="537">
        <f>_xll.EURO(BB108,BC108,BD108,BE108,BF108,BG108,1,0)*BH108</f>
        <v>1159089.3340207681</v>
      </c>
      <c r="BK108" s="84">
        <f t="shared" si="66"/>
        <v>1056307.8776681954</v>
      </c>
      <c r="BM108" s="84">
        <f t="shared" si="67"/>
        <v>102781.45635257266</v>
      </c>
    </row>
    <row r="109" spans="1:65">
      <c r="A109" s="78">
        <f t="shared" si="40"/>
        <v>103</v>
      </c>
      <c r="C109" s="78">
        <v>31</v>
      </c>
      <c r="D109" s="78" t="s">
        <v>67</v>
      </c>
      <c r="E109" s="113">
        <f t="shared" si="41"/>
        <v>39630</v>
      </c>
      <c r="F109" s="85">
        <f t="shared" si="37"/>
        <v>22</v>
      </c>
      <c r="G109" s="84">
        <f t="shared" si="71"/>
        <v>9</v>
      </c>
      <c r="H109" s="84"/>
      <c r="I109" s="84"/>
      <c r="J109" s="78">
        <f t="shared" si="42"/>
        <v>31</v>
      </c>
      <c r="K109" s="149">
        <v>39630</v>
      </c>
      <c r="L109" s="508">
        <v>7.4122102079324015E-2</v>
      </c>
      <c r="M109" s="509">
        <v>6.5401219668443006E-2</v>
      </c>
      <c r="N109" s="132">
        <f t="shared" si="39"/>
        <v>0.5407852518288927</v>
      </c>
      <c r="O109" s="133">
        <f>VLOOKUP(K109,Inflation!$B$8:$C$266,2)</f>
        <v>1.2569354476038583</v>
      </c>
      <c r="P109" s="132"/>
      <c r="Q109" s="134">
        <f>VLOOKUP(K109,'Fuel Curve'!$B$11:$F$268,5)</f>
        <v>4.477413793103449</v>
      </c>
      <c r="R109" s="238">
        <f>VLOOKUP(K109,'Fuel Curve Simulation'!$B$12:$J$258,9)</f>
        <v>4.477413793103449</v>
      </c>
      <c r="S109" s="134">
        <f t="shared" si="45"/>
        <v>42.889146724137937</v>
      </c>
      <c r="T109" s="136"/>
      <c r="V109" s="135">
        <f>VLOOKUP(K109,PJM_01212000!$A$7:$C$259,3)</f>
        <v>102.44999694824219</v>
      </c>
      <c r="W109" s="486"/>
      <c r="X109" s="118">
        <f>'PJM Curve Simulation'!J109</f>
        <v>102.44999694824219</v>
      </c>
      <c r="Y109" s="512"/>
      <c r="Z109" s="137"/>
      <c r="AA109" s="78">
        <f t="shared" si="44"/>
        <v>315</v>
      </c>
      <c r="AB109" s="85">
        <f t="shared" si="46"/>
        <v>110880</v>
      </c>
      <c r="AC109" s="85">
        <f>VLOOKUP(K109,'Company Volumes'!$B$20:$C$259,2)</f>
        <v>52294.40630098222</v>
      </c>
      <c r="AD109" s="153">
        <f t="shared" si="50"/>
        <v>110880</v>
      </c>
      <c r="AE109" s="150"/>
      <c r="AF109" s="150">
        <v>0</v>
      </c>
      <c r="AG109" s="150">
        <v>0</v>
      </c>
      <c r="AH109" s="150">
        <f t="shared" si="51"/>
        <v>11359655.661621094</v>
      </c>
      <c r="AI109" s="150">
        <f t="shared" si="52"/>
        <v>11359655.661621094</v>
      </c>
      <c r="AJ109" s="150">
        <f t="shared" si="53"/>
        <v>4755548.5887724143</v>
      </c>
      <c r="AK109" s="85">
        <f t="shared" si="54"/>
        <v>62846.772380192917</v>
      </c>
      <c r="AL109" s="85">
        <f t="shared" si="55"/>
        <v>160259.26956949194</v>
      </c>
      <c r="AM109" s="85">
        <f t="shared" si="47"/>
        <v>278738.0048606316</v>
      </c>
      <c r="AN109" s="85">
        <f t="shared" si="48"/>
        <v>143709.61950937446</v>
      </c>
      <c r="AO109" s="85">
        <f t="shared" si="56"/>
        <v>31423.386190096458</v>
      </c>
      <c r="AP109" s="85">
        <f t="shared" si="68"/>
        <v>46500.558215233643</v>
      </c>
      <c r="AQ109" s="84">
        <f t="shared" si="57"/>
        <v>723477.61072502099</v>
      </c>
      <c r="AR109" s="85">
        <f t="shared" si="58"/>
        <v>15711.693095048229</v>
      </c>
      <c r="AS109" s="84">
        <f t="shared" ref="AS109:AS172" si="72">AS108</f>
        <v>30387.755000000001</v>
      </c>
      <c r="AT109" s="85">
        <f t="shared" si="59"/>
        <v>85670.123241992464</v>
      </c>
      <c r="AU109" s="84">
        <f t="shared" si="60"/>
        <v>5610795.7708344758</v>
      </c>
      <c r="AV109" s="84">
        <f t="shared" si="49"/>
        <v>5748859.890786618</v>
      </c>
      <c r="AW109" s="453"/>
      <c r="AX109" s="93">
        <f t="shared" si="43"/>
        <v>39630</v>
      </c>
      <c r="BA109" s="315"/>
      <c r="BB109" s="134">
        <f t="shared" si="61"/>
        <v>102.44999694824219</v>
      </c>
      <c r="BC109" s="134">
        <f>'Curve Analysis - Base Case'!D101</f>
        <v>45.403017619345654</v>
      </c>
      <c r="BD109" s="131">
        <f t="shared" si="62"/>
        <v>7.4122102079324015E-2</v>
      </c>
      <c r="BE109" s="131">
        <f t="shared" si="63"/>
        <v>7.4122102079324015E-2</v>
      </c>
      <c r="BF109" s="365">
        <f>PJM_01212000!X109</f>
        <v>0.20866610390630394</v>
      </c>
      <c r="BG109" s="85">
        <f t="shared" si="64"/>
        <v>3056</v>
      </c>
      <c r="BH109" s="84">
        <f t="shared" si="65"/>
        <v>110880</v>
      </c>
      <c r="BJ109" s="537">
        <f>_xll.EURO(BB109,BC109,BD109,BE109,BF109,BG109,1,0)*BH109</f>
        <v>3499738.9157449584</v>
      </c>
      <c r="BK109" s="84">
        <f t="shared" si="66"/>
        <v>3571403.7064954448</v>
      </c>
      <c r="BM109" s="84">
        <f t="shared" si="67"/>
        <v>-71664.790750486311</v>
      </c>
    </row>
    <row r="110" spans="1:65">
      <c r="A110" s="78">
        <f t="shared" si="40"/>
        <v>104</v>
      </c>
      <c r="C110" s="78">
        <v>31</v>
      </c>
      <c r="D110" s="78" t="s">
        <v>68</v>
      </c>
      <c r="E110" s="113">
        <f t="shared" si="41"/>
        <v>39661</v>
      </c>
      <c r="F110" s="85">
        <f t="shared" si="37"/>
        <v>22</v>
      </c>
      <c r="G110" s="84">
        <f t="shared" si="71"/>
        <v>9</v>
      </c>
      <c r="H110" s="84"/>
      <c r="I110" s="84"/>
      <c r="J110" s="78">
        <f t="shared" si="42"/>
        <v>31</v>
      </c>
      <c r="K110" s="149">
        <v>39661</v>
      </c>
      <c r="L110" s="508">
        <v>7.4137084618301027E-2</v>
      </c>
      <c r="M110" s="509">
        <v>6.5387983653237017E-2</v>
      </c>
      <c r="N110" s="132">
        <f t="shared" si="39"/>
        <v>0.5373887615622317</v>
      </c>
      <c r="O110" s="133">
        <f>VLOOKUP(K110,Inflation!$B$8:$C$266,2)</f>
        <v>1.2597291466369478</v>
      </c>
      <c r="P110" s="132"/>
      <c r="Q110" s="134">
        <f>VLOOKUP(K110,'Fuel Curve'!$B$11:$F$268,5)</f>
        <v>4.5679310344827595</v>
      </c>
      <c r="R110" s="238">
        <f>VLOOKUP(K110,'Fuel Curve Simulation'!$B$12:$J$258,9)</f>
        <v>4.5679310344827595</v>
      </c>
      <c r="S110" s="134">
        <f t="shared" si="45"/>
        <v>43.756211379310358</v>
      </c>
      <c r="T110" s="136"/>
      <c r="V110" s="135">
        <f>VLOOKUP(K110,PJM_01212000!$A$7:$C$259,3)</f>
        <v>89.449996948242188</v>
      </c>
      <c r="W110" s="486"/>
      <c r="X110" s="118">
        <f>'PJM Curve Simulation'!J110</f>
        <v>89.449996948242188</v>
      </c>
      <c r="Y110" s="512"/>
      <c r="Z110" s="137"/>
      <c r="AA110" s="78">
        <f t="shared" si="44"/>
        <v>315</v>
      </c>
      <c r="AB110" s="85">
        <f t="shared" si="46"/>
        <v>110880</v>
      </c>
      <c r="AC110" s="85">
        <f>VLOOKUP(K110,'Company Volumes'!$B$20:$C$259,2)</f>
        <v>34862.93753333066</v>
      </c>
      <c r="AD110" s="153">
        <f t="shared" si="50"/>
        <v>110880</v>
      </c>
      <c r="AE110" s="150"/>
      <c r="AF110" s="150">
        <v>0</v>
      </c>
      <c r="AG110" s="150">
        <v>0</v>
      </c>
      <c r="AH110" s="150">
        <f t="shared" si="51"/>
        <v>9918215.6616210938</v>
      </c>
      <c r="AI110" s="150">
        <f t="shared" si="52"/>
        <v>9918215.6616210938</v>
      </c>
      <c r="AJ110" s="150">
        <f t="shared" si="53"/>
        <v>4851688.7177379318</v>
      </c>
      <c r="AK110" s="85">
        <f t="shared" si="54"/>
        <v>62986.457331847392</v>
      </c>
      <c r="AL110" s="85">
        <f t="shared" si="55"/>
        <v>160615.46619621085</v>
      </c>
      <c r="AM110" s="85">
        <f t="shared" si="47"/>
        <v>279357.53555820952</v>
      </c>
      <c r="AN110" s="85">
        <f t="shared" si="48"/>
        <v>144029.03243215769</v>
      </c>
      <c r="AO110" s="85">
        <f t="shared" si="56"/>
        <v>31493.228665923696</v>
      </c>
      <c r="AP110" s="85">
        <f t="shared" si="68"/>
        <v>46500.558215233643</v>
      </c>
      <c r="AQ110" s="84">
        <f t="shared" si="57"/>
        <v>724982.27839958272</v>
      </c>
      <c r="AR110" s="85">
        <f t="shared" si="58"/>
        <v>15746.614332961848</v>
      </c>
      <c r="AS110" s="84">
        <f t="shared" si="72"/>
        <v>30387.755000000001</v>
      </c>
      <c r="AT110" s="85">
        <f t="shared" si="59"/>
        <v>74965.59210945091</v>
      </c>
      <c r="AU110" s="84">
        <f t="shared" si="60"/>
        <v>5697770.9575799275</v>
      </c>
      <c r="AV110" s="84">
        <f t="shared" si="49"/>
        <v>4220444.7040411662</v>
      </c>
      <c r="AW110" s="453"/>
      <c r="AX110" s="93">
        <f t="shared" si="43"/>
        <v>39661</v>
      </c>
      <c r="BA110" s="315"/>
      <c r="BB110" s="134">
        <f t="shared" si="61"/>
        <v>89.449996948242188</v>
      </c>
      <c r="BC110" s="134">
        <f>'Curve Analysis - Base Case'!D102</f>
        <v>46.27566967258425</v>
      </c>
      <c r="BD110" s="131">
        <f t="shared" si="62"/>
        <v>7.4137084618301027E-2</v>
      </c>
      <c r="BE110" s="131">
        <f t="shared" si="63"/>
        <v>7.4137084618301027E-2</v>
      </c>
      <c r="BF110" s="365">
        <f>PJM_01212000!X110</f>
        <v>0.20866610390630394</v>
      </c>
      <c r="BG110" s="85">
        <f t="shared" si="64"/>
        <v>3087</v>
      </c>
      <c r="BH110" s="84">
        <f t="shared" si="65"/>
        <v>110880</v>
      </c>
      <c r="BJ110" s="537">
        <f>_xll.EURO(BB110,BC110,BD110,BE110,BF110,BG110,1,0)*BH110</f>
        <v>2716512.3690621313</v>
      </c>
      <c r="BK110" s="84">
        <f t="shared" si="66"/>
        <v>2722694.639795051</v>
      </c>
      <c r="BM110" s="84">
        <f t="shared" si="67"/>
        <v>-6182.2707329196855</v>
      </c>
    </row>
    <row r="111" spans="1:65">
      <c r="A111" s="78">
        <f t="shared" si="40"/>
        <v>105</v>
      </c>
      <c r="C111" s="78">
        <v>30</v>
      </c>
      <c r="D111" s="78" t="s">
        <v>69</v>
      </c>
      <c r="E111" s="113">
        <f t="shared" si="41"/>
        <v>39692</v>
      </c>
      <c r="F111" s="85">
        <f t="shared" si="37"/>
        <v>22</v>
      </c>
      <c r="G111" s="84">
        <f t="shared" si="71"/>
        <v>8</v>
      </c>
      <c r="H111" s="84"/>
      <c r="I111" s="84"/>
      <c r="J111" s="78">
        <f t="shared" si="42"/>
        <v>30</v>
      </c>
      <c r="K111" s="149">
        <v>39692</v>
      </c>
      <c r="L111" s="508">
        <v>7.4152067157352008E-2</v>
      </c>
      <c r="M111" s="509">
        <v>6.5374747639249012E-2</v>
      </c>
      <c r="N111" s="132">
        <f t="shared" si="39"/>
        <v>0.53401229440607301</v>
      </c>
      <c r="O111" s="133">
        <f>VLOOKUP(K111,Inflation!$B$8:$C$266,2)</f>
        <v>1.2625290550217603</v>
      </c>
      <c r="P111" s="132"/>
      <c r="Q111" s="134">
        <f>VLOOKUP(K111,'Fuel Curve'!$B$11:$F$268,5)</f>
        <v>4.6627586206896563</v>
      </c>
      <c r="R111" s="238">
        <f>VLOOKUP(K111,'Fuel Curve Simulation'!$B$12:$J$258,9)</f>
        <v>4.6627586206896563</v>
      </c>
      <c r="S111" s="134">
        <f t="shared" si="45"/>
        <v>44.664564827586219</v>
      </c>
      <c r="T111" s="136"/>
      <c r="V111" s="135">
        <f>VLOOKUP(K111,PJM_01212000!$A$7:$C$259,3)</f>
        <v>35.424998474121097</v>
      </c>
      <c r="W111" s="486"/>
      <c r="X111" s="118">
        <f>'PJM Curve Simulation'!J111</f>
        <v>35.424998474121097</v>
      </c>
      <c r="Y111" s="512"/>
      <c r="Z111" s="137"/>
      <c r="AA111" s="78">
        <f t="shared" si="44"/>
        <v>315</v>
      </c>
      <c r="AB111" s="85">
        <f t="shared" si="46"/>
        <v>110880</v>
      </c>
      <c r="AC111" s="85">
        <f>VLOOKUP(K111,'Company Volumes'!$B$20:$C$259,2)</f>
        <v>21735.431136785333</v>
      </c>
      <c r="AD111" s="153">
        <f t="shared" si="50"/>
        <v>0</v>
      </c>
      <c r="AE111" s="150"/>
      <c r="AF111" s="150">
        <v>0</v>
      </c>
      <c r="AG111" s="150">
        <v>0</v>
      </c>
      <c r="AH111" s="150">
        <f t="shared" si="51"/>
        <v>0</v>
      </c>
      <c r="AI111" s="150">
        <f t="shared" si="52"/>
        <v>0</v>
      </c>
      <c r="AJ111" s="150">
        <f t="shared" si="53"/>
        <v>0</v>
      </c>
      <c r="AK111" s="85">
        <f t="shared" si="54"/>
        <v>63126.452751088014</v>
      </c>
      <c r="AL111" s="85">
        <f t="shared" si="55"/>
        <v>160972.45451527444</v>
      </c>
      <c r="AM111" s="85">
        <f t="shared" si="47"/>
        <v>0</v>
      </c>
      <c r="AN111" s="85">
        <f t="shared" si="48"/>
        <v>144349.15529082125</v>
      </c>
      <c r="AO111" s="85">
        <f t="shared" si="56"/>
        <v>31563.226375544007</v>
      </c>
      <c r="AP111" s="85">
        <f t="shared" si="68"/>
        <v>46500.558215233643</v>
      </c>
      <c r="AQ111" s="84">
        <f t="shared" si="57"/>
        <v>446511.84714796126</v>
      </c>
      <c r="AR111" s="85">
        <f t="shared" si="58"/>
        <v>15781.613187772004</v>
      </c>
      <c r="AS111" s="84">
        <f t="shared" si="72"/>
        <v>30387.755000000001</v>
      </c>
      <c r="AT111" s="85">
        <f t="shared" si="59"/>
        <v>0</v>
      </c>
      <c r="AU111" s="84">
        <f t="shared" si="60"/>
        <v>492681.21533573326</v>
      </c>
      <c r="AV111" s="84">
        <f t="shared" si="49"/>
        <v>-492681.21533573326</v>
      </c>
      <c r="AW111" s="453"/>
      <c r="AX111" s="93">
        <f t="shared" si="43"/>
        <v>39692</v>
      </c>
      <c r="BA111" s="315"/>
      <c r="BB111" s="134">
        <f t="shared" si="61"/>
        <v>35.424998474121097</v>
      </c>
      <c r="BC111" s="134">
        <f>'Curve Analysis - Base Case'!D103</f>
        <v>47.189622937629736</v>
      </c>
      <c r="BD111" s="131">
        <f t="shared" si="62"/>
        <v>7.4152067157352008E-2</v>
      </c>
      <c r="BE111" s="131">
        <f t="shared" si="63"/>
        <v>7.4152067157352008E-2</v>
      </c>
      <c r="BF111" s="365">
        <f>PJM_01212000!X111</f>
        <v>0.13412880875519997</v>
      </c>
      <c r="BG111" s="85">
        <f t="shared" si="64"/>
        <v>3118</v>
      </c>
      <c r="BH111" s="84">
        <f t="shared" si="65"/>
        <v>0</v>
      </c>
      <c r="BJ111" s="537">
        <f>_xll.EURO(BB111,BC111,BD111,BE111,BF111,BG111,1,0)*BH111</f>
        <v>0</v>
      </c>
      <c r="BK111" s="84">
        <f t="shared" si="66"/>
        <v>0</v>
      </c>
      <c r="BM111" s="84">
        <f t="shared" si="67"/>
        <v>0</v>
      </c>
    </row>
    <row r="112" spans="1:65">
      <c r="A112" s="78">
        <f t="shared" si="40"/>
        <v>106</v>
      </c>
      <c r="C112" s="78">
        <v>31</v>
      </c>
      <c r="D112" s="78" t="s">
        <v>70</v>
      </c>
      <c r="E112" s="113">
        <f t="shared" si="41"/>
        <v>39722</v>
      </c>
      <c r="F112" s="85">
        <f t="shared" si="37"/>
        <v>21</v>
      </c>
      <c r="G112" s="84">
        <f t="shared" si="71"/>
        <v>10</v>
      </c>
      <c r="H112" s="84"/>
      <c r="I112" s="84"/>
      <c r="J112" s="78">
        <f t="shared" si="42"/>
        <v>31</v>
      </c>
      <c r="K112" s="149">
        <v>39722</v>
      </c>
      <c r="L112" s="508">
        <v>7.4166566388762012E-2</v>
      </c>
      <c r="M112" s="509">
        <v>6.5361938594616018E-2</v>
      </c>
      <c r="N112" s="132">
        <f t="shared" si="39"/>
        <v>0.53076370726893729</v>
      </c>
      <c r="O112" s="133">
        <f>VLOOKUP(K112,Inflation!$B$8:$C$266,2)</f>
        <v>1.2653351865593705</v>
      </c>
      <c r="P112" s="132"/>
      <c r="Q112" s="134">
        <f>VLOOKUP(K112,'Fuel Curve'!$B$11:$F$268,5)</f>
        <v>4.7553448275862067</v>
      </c>
      <c r="R112" s="238">
        <f>VLOOKUP(K112,'Fuel Curve Simulation'!$B$12:$J$258,9)</f>
        <v>4.7553448275862067</v>
      </c>
      <c r="S112" s="134">
        <f t="shared" si="45"/>
        <v>45.551448103448273</v>
      </c>
      <c r="T112" s="136"/>
      <c r="V112" s="135">
        <f>VLOOKUP(K112,PJM_01212000!$A$7:$C$259,3)</f>
        <v>29.075000381469728</v>
      </c>
      <c r="W112" s="486"/>
      <c r="X112" s="118">
        <f>'PJM Curve Simulation'!J112</f>
        <v>29.075000381469728</v>
      </c>
      <c r="Y112" s="512"/>
      <c r="Z112" s="137"/>
      <c r="AA112" s="78">
        <f t="shared" si="44"/>
        <v>315</v>
      </c>
      <c r="AB112" s="85">
        <f t="shared" si="46"/>
        <v>105840</v>
      </c>
      <c r="AC112" s="85">
        <f>VLOOKUP(K112,'Company Volumes'!$B$20:$C$259,2)</f>
        <v>3845.8319359662219</v>
      </c>
      <c r="AD112" s="153">
        <f t="shared" si="50"/>
        <v>0</v>
      </c>
      <c r="AE112" s="150"/>
      <c r="AF112" s="150">
        <v>0</v>
      </c>
      <c r="AG112" s="150">
        <v>0</v>
      </c>
      <c r="AH112" s="150">
        <f t="shared" si="51"/>
        <v>0</v>
      </c>
      <c r="AI112" s="150">
        <f t="shared" si="52"/>
        <v>0</v>
      </c>
      <c r="AJ112" s="150">
        <f t="shared" si="53"/>
        <v>0</v>
      </c>
      <c r="AK112" s="85">
        <f t="shared" si="54"/>
        <v>63266.759327968524</v>
      </c>
      <c r="AL112" s="85">
        <f t="shared" si="55"/>
        <v>161330.23628631973</v>
      </c>
      <c r="AM112" s="85">
        <f t="shared" si="47"/>
        <v>0</v>
      </c>
      <c r="AN112" s="85">
        <f t="shared" si="48"/>
        <v>144669.98966328803</v>
      </c>
      <c r="AO112" s="85">
        <f t="shared" si="56"/>
        <v>31633.379663984262</v>
      </c>
      <c r="AP112" s="85">
        <f t="shared" si="68"/>
        <v>46500.558215233643</v>
      </c>
      <c r="AQ112" s="84">
        <f t="shared" si="57"/>
        <v>447400.92315679416</v>
      </c>
      <c r="AR112" s="85">
        <f t="shared" si="58"/>
        <v>15816.689831992131</v>
      </c>
      <c r="AS112" s="84">
        <f t="shared" si="72"/>
        <v>30387.755000000001</v>
      </c>
      <c r="AT112" s="85">
        <f t="shared" si="59"/>
        <v>0</v>
      </c>
      <c r="AU112" s="84">
        <f t="shared" si="60"/>
        <v>493605.36798878631</v>
      </c>
      <c r="AV112" s="84">
        <f t="shared" si="49"/>
        <v>-493605.36798878631</v>
      </c>
      <c r="AW112" s="453"/>
      <c r="AX112" s="93">
        <f t="shared" si="43"/>
        <v>39722</v>
      </c>
      <c r="BA112" s="315"/>
      <c r="BB112" s="134">
        <f t="shared" si="61"/>
        <v>29.075000381469728</v>
      </c>
      <c r="BC112" s="134">
        <f>'Curve Analysis - Base Case'!D104</f>
        <v>48.082118476567011</v>
      </c>
      <c r="BD112" s="131">
        <f t="shared" si="62"/>
        <v>7.4166566388762012E-2</v>
      </c>
      <c r="BE112" s="131">
        <f t="shared" si="63"/>
        <v>7.4166566388762012E-2</v>
      </c>
      <c r="BF112" s="365">
        <f>PJM_01212000!X112</f>
        <v>9.4848229048319979E-2</v>
      </c>
      <c r="BG112" s="85">
        <f t="shared" si="64"/>
        <v>3148</v>
      </c>
      <c r="BH112" s="84">
        <f t="shared" si="65"/>
        <v>0</v>
      </c>
      <c r="BJ112" s="537">
        <f>_xll.EURO(BB112,BC112,BD112,BE112,BF112,BG112,1,0)*BH112</f>
        <v>0</v>
      </c>
      <c r="BK112" s="84">
        <f t="shared" si="66"/>
        <v>0</v>
      </c>
      <c r="BM112" s="84">
        <f t="shared" si="67"/>
        <v>0</v>
      </c>
    </row>
    <row r="113" spans="1:65">
      <c r="A113" s="78">
        <f t="shared" si="40"/>
        <v>107</v>
      </c>
      <c r="C113" s="78">
        <v>30</v>
      </c>
      <c r="D113" s="78" t="s">
        <v>71</v>
      </c>
      <c r="E113" s="113">
        <f t="shared" si="41"/>
        <v>39753</v>
      </c>
      <c r="F113" s="85">
        <f t="shared" si="37"/>
        <v>22</v>
      </c>
      <c r="G113" s="84">
        <f t="shared" si="71"/>
        <v>8</v>
      </c>
      <c r="H113" s="84"/>
      <c r="I113" s="84"/>
      <c r="J113" s="78">
        <f t="shared" si="42"/>
        <v>30</v>
      </c>
      <c r="K113" s="149">
        <v>39753</v>
      </c>
      <c r="L113" s="508">
        <v>7.4181548927958016E-2</v>
      </c>
      <c r="M113" s="509">
        <v>6.5348702583027024E-2</v>
      </c>
      <c r="N113" s="132">
        <f t="shared" si="39"/>
        <v>0.52742632182094185</v>
      </c>
      <c r="O113" s="133">
        <f>VLOOKUP(K113,Inflation!$B$8:$C$266,2)</f>
        <v>1.2681475550815278</v>
      </c>
      <c r="P113" s="132"/>
      <c r="Q113" s="134">
        <f>VLOOKUP(K113,'Fuel Curve'!$B$11:$F$268,5)</f>
        <v>4.8046551724137938</v>
      </c>
      <c r="R113" s="238">
        <f>VLOOKUP(K113,'Fuel Curve Simulation'!$B$12:$J$258,9)</f>
        <v>4.8046551724137938</v>
      </c>
      <c r="S113" s="134">
        <f t="shared" si="45"/>
        <v>46.023791896551728</v>
      </c>
      <c r="T113" s="136"/>
      <c r="V113" s="135">
        <f>VLOOKUP(K113,PJM_01212000!$A$7:$C$259,3)</f>
        <v>28.747499084472658</v>
      </c>
      <c r="W113" s="486"/>
      <c r="X113" s="118">
        <f>'PJM Curve Simulation'!J113</f>
        <v>28.747499084472658</v>
      </c>
      <c r="Y113" s="512"/>
      <c r="Z113" s="137"/>
      <c r="AA113" s="78">
        <f t="shared" si="44"/>
        <v>315</v>
      </c>
      <c r="AB113" s="85">
        <f t="shared" si="46"/>
        <v>110880</v>
      </c>
      <c r="AC113" s="85">
        <f>VLOOKUP(K113,'Company Volumes'!$B$20:$C$259,2)</f>
        <v>8056.8533905502209</v>
      </c>
      <c r="AD113" s="153">
        <f t="shared" si="50"/>
        <v>0</v>
      </c>
      <c r="AE113" s="150"/>
      <c r="AF113" s="150">
        <v>0</v>
      </c>
      <c r="AG113" s="150">
        <v>0</v>
      </c>
      <c r="AH113" s="150">
        <f t="shared" si="51"/>
        <v>0</v>
      </c>
      <c r="AI113" s="150">
        <f t="shared" si="52"/>
        <v>0</v>
      </c>
      <c r="AJ113" s="150">
        <f t="shared" si="53"/>
        <v>0</v>
      </c>
      <c r="AK113" s="85">
        <f t="shared" si="54"/>
        <v>63407.377754076384</v>
      </c>
      <c r="AL113" s="85">
        <f t="shared" si="55"/>
        <v>161688.8132728948</v>
      </c>
      <c r="AM113" s="85">
        <f t="shared" si="47"/>
        <v>0</v>
      </c>
      <c r="AN113" s="85">
        <f t="shared" si="48"/>
        <v>144991.53713098803</v>
      </c>
      <c r="AO113" s="85">
        <f t="shared" si="56"/>
        <v>31703.688877038192</v>
      </c>
      <c r="AP113" s="85">
        <f t="shared" si="68"/>
        <v>46500.558215233643</v>
      </c>
      <c r="AQ113" s="84">
        <f t="shared" si="57"/>
        <v>448291.97525023099</v>
      </c>
      <c r="AR113" s="85">
        <f t="shared" si="58"/>
        <v>15851.844438519096</v>
      </c>
      <c r="AS113" s="84">
        <f t="shared" si="72"/>
        <v>30387.755000000001</v>
      </c>
      <c r="AT113" s="85">
        <f t="shared" si="59"/>
        <v>0</v>
      </c>
      <c r="AU113" s="84">
        <f t="shared" si="60"/>
        <v>494531.57468875009</v>
      </c>
      <c r="AV113" s="84">
        <f t="shared" si="49"/>
        <v>-494531.57468875009</v>
      </c>
      <c r="AW113" s="453"/>
      <c r="AX113" s="93">
        <f t="shared" si="43"/>
        <v>39753</v>
      </c>
      <c r="BA113" s="315"/>
      <c r="BB113" s="134">
        <f t="shared" si="61"/>
        <v>28.747499084472658</v>
      </c>
      <c r="BC113" s="134">
        <f>'Curve Analysis - Base Case'!D105</f>
        <v>48.560087006714781</v>
      </c>
      <c r="BD113" s="131">
        <f t="shared" si="62"/>
        <v>7.4181548927958016E-2</v>
      </c>
      <c r="BE113" s="131">
        <f t="shared" si="63"/>
        <v>7.4181548927958016E-2</v>
      </c>
      <c r="BF113" s="365">
        <f>PJM_01212000!X113</f>
        <v>9.4848229048319979E-2</v>
      </c>
      <c r="BG113" s="85">
        <f t="shared" si="64"/>
        <v>3179</v>
      </c>
      <c r="BH113" s="84">
        <f t="shared" si="65"/>
        <v>0</v>
      </c>
      <c r="BJ113" s="537">
        <f>_xll.EURO(BB113,BC113,BD113,BE113,BF113,BG113,1,0)*BH113</f>
        <v>0</v>
      </c>
      <c r="BK113" s="84">
        <f t="shared" si="66"/>
        <v>0</v>
      </c>
      <c r="BM113" s="84">
        <f t="shared" si="67"/>
        <v>0</v>
      </c>
    </row>
    <row r="114" spans="1:65">
      <c r="A114" s="78">
        <f t="shared" si="40"/>
        <v>108</v>
      </c>
      <c r="C114" s="78">
        <v>31</v>
      </c>
      <c r="D114" s="78" t="s">
        <v>72</v>
      </c>
      <c r="E114" s="113">
        <f t="shared" si="41"/>
        <v>39783</v>
      </c>
      <c r="F114" s="85">
        <f t="shared" si="37"/>
        <v>23</v>
      </c>
      <c r="G114" s="84">
        <f t="shared" si="71"/>
        <v>8</v>
      </c>
      <c r="H114" s="84">
        <f>SUM(F103:G114)</f>
        <v>366</v>
      </c>
      <c r="I114" s="84"/>
      <c r="J114" s="78">
        <f t="shared" si="42"/>
        <v>31</v>
      </c>
      <c r="K114" s="149">
        <v>39783</v>
      </c>
      <c r="L114" s="508">
        <v>7.4196048159509018E-2</v>
      </c>
      <c r="M114" s="509">
        <v>6.5280999020832009E-2</v>
      </c>
      <c r="N114" s="132">
        <f t="shared" si="39"/>
        <v>0.52421535241972717</v>
      </c>
      <c r="O114" s="133">
        <f>VLOOKUP(K114,Inflation!$B$8:$C$266,2)</f>
        <v>1.2709661744507241</v>
      </c>
      <c r="P114" s="132"/>
      <c r="Q114" s="134">
        <f>VLOOKUP(K114,'Fuel Curve'!$B$11:$F$268,5)</f>
        <v>4.8474137931034491</v>
      </c>
      <c r="R114" s="238">
        <f>VLOOKUP(K114,'Fuel Curve Simulation'!$B$12:$J$258,9)</f>
        <v>4.8474137931034491</v>
      </c>
      <c r="S114" s="134">
        <f t="shared" si="45"/>
        <v>46.433376724137936</v>
      </c>
      <c r="T114" s="136"/>
      <c r="V114" s="135">
        <f>VLOOKUP(K114,PJM_01212000!$A$7:$C$259,3)</f>
        <v>30.499999618530275</v>
      </c>
      <c r="W114" s="486"/>
      <c r="X114" s="118">
        <f>'PJM Curve Simulation'!J114</f>
        <v>30.499999618530275</v>
      </c>
      <c r="Y114" s="512"/>
      <c r="Z114" s="137"/>
      <c r="AA114" s="78">
        <f t="shared" si="44"/>
        <v>315</v>
      </c>
      <c r="AB114" s="85">
        <f t="shared" si="46"/>
        <v>115920</v>
      </c>
      <c r="AC114" s="85">
        <f>VLOOKUP(K114,'Company Volumes'!$B$20:$C$259,2)</f>
        <v>8056.8533905502209</v>
      </c>
      <c r="AD114" s="153">
        <f t="shared" si="50"/>
        <v>0</v>
      </c>
      <c r="AE114" s="150"/>
      <c r="AF114" s="150">
        <v>0</v>
      </c>
      <c r="AG114" s="150">
        <v>0</v>
      </c>
      <c r="AH114" s="150">
        <f t="shared" si="51"/>
        <v>0</v>
      </c>
      <c r="AI114" s="150">
        <f t="shared" si="52"/>
        <v>0</v>
      </c>
      <c r="AJ114" s="150">
        <f t="shared" si="53"/>
        <v>0</v>
      </c>
      <c r="AK114" s="85">
        <f t="shared" si="54"/>
        <v>63548.308722536203</v>
      </c>
      <c r="AL114" s="85">
        <f t="shared" si="55"/>
        <v>162048.18724246733</v>
      </c>
      <c r="AM114" s="85">
        <f t="shared" si="47"/>
        <v>0</v>
      </c>
      <c r="AN114" s="85">
        <f t="shared" si="48"/>
        <v>145313.79927886612</v>
      </c>
      <c r="AO114" s="85">
        <f t="shared" si="56"/>
        <v>31774.154361268102</v>
      </c>
      <c r="AP114" s="85">
        <f t="shared" si="68"/>
        <v>46500.558215233643</v>
      </c>
      <c r="AQ114" s="84">
        <f t="shared" si="57"/>
        <v>449185.00782037142</v>
      </c>
      <c r="AR114" s="85">
        <f t="shared" si="58"/>
        <v>15887.077180634051</v>
      </c>
      <c r="AS114" s="84">
        <f t="shared" si="72"/>
        <v>30387.755000000001</v>
      </c>
      <c r="AT114" s="85">
        <f t="shared" si="59"/>
        <v>0</v>
      </c>
      <c r="AU114" s="84">
        <f t="shared" si="60"/>
        <v>495459.84000100545</v>
      </c>
      <c r="AV114" s="84">
        <f t="shared" si="49"/>
        <v>-495459.84000100545</v>
      </c>
      <c r="AW114" s="453"/>
      <c r="AX114" s="93">
        <f t="shared" si="43"/>
        <v>39783</v>
      </c>
      <c r="AY114" s="85">
        <f ca="1">'Debt Amortization'!P8</f>
        <v>4271675.7511974927</v>
      </c>
      <c r="AZ114" s="85">
        <f ca="1">AY114*N114</f>
        <v>2239278.0093367966</v>
      </c>
      <c r="BA114" s="315"/>
      <c r="BB114" s="134">
        <f t="shared" si="61"/>
        <v>30.499999618530275</v>
      </c>
      <c r="BC114" s="134">
        <f>'Curve Analysis - Base Case'!D106</f>
        <v>48.975309073039384</v>
      </c>
      <c r="BD114" s="131">
        <f t="shared" si="62"/>
        <v>7.4196048159509018E-2</v>
      </c>
      <c r="BE114" s="131">
        <f t="shared" si="63"/>
        <v>7.4196048159509018E-2</v>
      </c>
      <c r="BF114" s="365">
        <f>PJM_01212000!X114</f>
        <v>9.4848229048319979E-2</v>
      </c>
      <c r="BG114" s="85">
        <f t="shared" si="64"/>
        <v>3209</v>
      </c>
      <c r="BH114" s="84">
        <f t="shared" si="65"/>
        <v>0</v>
      </c>
      <c r="BJ114" s="537">
        <f>_xll.EURO(BB114,BC114,BD114,BE114,BF114,BG114,1,0)*BH114</f>
        <v>0</v>
      </c>
      <c r="BK114" s="84">
        <f t="shared" si="66"/>
        <v>0</v>
      </c>
      <c r="BM114" s="84">
        <f t="shared" si="67"/>
        <v>0</v>
      </c>
    </row>
    <row r="115" spans="1:65">
      <c r="A115" s="78">
        <f t="shared" si="40"/>
        <v>109</v>
      </c>
      <c r="C115" s="78">
        <v>31</v>
      </c>
      <c r="D115" s="78" t="s">
        <v>62</v>
      </c>
      <c r="E115" s="113">
        <f t="shared" si="41"/>
        <v>39814</v>
      </c>
      <c r="F115" s="85">
        <f t="shared" si="37"/>
        <v>23</v>
      </c>
      <c r="G115" s="84">
        <f>C115-F115</f>
        <v>8</v>
      </c>
      <c r="H115" s="84"/>
      <c r="I115" s="84"/>
      <c r="J115" s="78">
        <f t="shared" si="42"/>
        <v>31</v>
      </c>
      <c r="K115" s="149">
        <v>39814</v>
      </c>
      <c r="L115" s="508">
        <v>7.4211030698851016E-2</v>
      </c>
      <c r="M115" s="509">
        <v>6.5161404953905003E-2</v>
      </c>
      <c r="N115" s="132">
        <f t="shared" si="39"/>
        <v>0.5209166296131954</v>
      </c>
      <c r="O115" s="133">
        <f>VLOOKUP(K115,Inflation!$B$8:$C$266,2)</f>
        <v>1.2737910585602632</v>
      </c>
      <c r="P115" s="132"/>
      <c r="Q115" s="134">
        <f>VLOOKUP(K115,'Fuel Curve'!$B$11:$F$268,5)</f>
        <v>4.7901724137931048</v>
      </c>
      <c r="R115" s="238">
        <f>VLOOKUP(K115,'Fuel Curve Simulation'!$B$12:$J$258,9)</f>
        <v>4.7901724137931048</v>
      </c>
      <c r="S115" s="134">
        <f t="shared" si="45"/>
        <v>45.885061551724156</v>
      </c>
      <c r="T115" s="136"/>
      <c r="V115" s="135">
        <f>VLOOKUP(K115,PJM_01212000!$A$7:$C$259,3)</f>
        <v>39.324998474121088</v>
      </c>
      <c r="W115" s="486"/>
      <c r="X115" s="118">
        <f>'PJM Curve Simulation'!J115</f>
        <v>39.324998474121088</v>
      </c>
      <c r="Y115" s="512"/>
      <c r="Z115" s="137"/>
      <c r="AA115" s="78">
        <f t="shared" si="44"/>
        <v>315</v>
      </c>
      <c r="AB115" s="85">
        <f t="shared" si="46"/>
        <v>115920</v>
      </c>
      <c r="AC115" s="85">
        <f>VLOOKUP(K115,'Company Volumes'!$B$20:$C$259,2)</f>
        <v>17006.62445384622</v>
      </c>
      <c r="AD115" s="153">
        <f t="shared" si="50"/>
        <v>0</v>
      </c>
      <c r="AE115" s="150"/>
      <c r="AF115" s="150">
        <v>0</v>
      </c>
      <c r="AG115" s="150">
        <v>0</v>
      </c>
      <c r="AH115" s="150">
        <f t="shared" si="51"/>
        <v>0</v>
      </c>
      <c r="AI115" s="150">
        <f t="shared" si="52"/>
        <v>0</v>
      </c>
      <c r="AJ115" s="150">
        <f t="shared" si="53"/>
        <v>0</v>
      </c>
      <c r="AK115" s="85">
        <f t="shared" si="54"/>
        <v>63689.552928013167</v>
      </c>
      <c r="AL115" s="85">
        <f t="shared" si="55"/>
        <v>162408.35996643355</v>
      </c>
      <c r="AM115" s="85">
        <f t="shared" si="47"/>
        <v>0</v>
      </c>
      <c r="AN115" s="85">
        <f t="shared" si="48"/>
        <v>145636.77769539008</v>
      </c>
      <c r="AO115" s="85">
        <f t="shared" si="56"/>
        <v>31844.776464006583</v>
      </c>
      <c r="AP115" s="85">
        <f t="shared" si="68"/>
        <v>46500.558215233643</v>
      </c>
      <c r="AQ115" s="84">
        <f t="shared" si="57"/>
        <v>450080.02526907704</v>
      </c>
      <c r="AR115" s="85">
        <f t="shared" si="58"/>
        <v>15922.388232003292</v>
      </c>
      <c r="AS115" s="84">
        <f t="shared" si="72"/>
        <v>30387.755000000001</v>
      </c>
      <c r="AT115" s="85">
        <f t="shared" si="59"/>
        <v>0</v>
      </c>
      <c r="AU115" s="84">
        <f t="shared" si="60"/>
        <v>496390.16850108036</v>
      </c>
      <c r="AV115" s="84">
        <f t="shared" si="49"/>
        <v>-496390.16850108036</v>
      </c>
      <c r="AW115" s="453"/>
      <c r="AX115" s="93">
        <f t="shared" si="43"/>
        <v>39814</v>
      </c>
      <c r="BA115" s="315"/>
      <c r="BB115" s="134">
        <f t="shared" si="61"/>
        <v>39.324998474121088</v>
      </c>
      <c r="BC115" s="134">
        <f>'Curve Analysis - Base Case'!D107</f>
        <v>48.432643668844683</v>
      </c>
      <c r="BD115" s="131">
        <f t="shared" si="62"/>
        <v>7.4211030698851016E-2</v>
      </c>
      <c r="BE115" s="131">
        <f t="shared" si="63"/>
        <v>7.4211030698851016E-2</v>
      </c>
      <c r="BF115" s="365">
        <f>PJM_01212000!X115</f>
        <v>0.14568687981821948</v>
      </c>
      <c r="BG115" s="85">
        <f t="shared" si="64"/>
        <v>3240</v>
      </c>
      <c r="BH115" s="84">
        <f t="shared" si="65"/>
        <v>0</v>
      </c>
      <c r="BJ115" s="537">
        <f>_xll.EURO(BB115,BC115,BD115,BE115,BF115,BG115,1,0)*BH115</f>
        <v>0</v>
      </c>
      <c r="BK115" s="84">
        <f t="shared" si="66"/>
        <v>0</v>
      </c>
      <c r="BM115" s="84">
        <f t="shared" si="67"/>
        <v>0</v>
      </c>
    </row>
    <row r="116" spans="1:65">
      <c r="A116" s="78">
        <f t="shared" si="40"/>
        <v>110</v>
      </c>
      <c r="C116" s="78">
        <v>28</v>
      </c>
      <c r="D116" s="78" t="s">
        <v>63</v>
      </c>
      <c r="E116" s="113">
        <f t="shared" si="41"/>
        <v>39845</v>
      </c>
      <c r="F116" s="85">
        <f t="shared" si="37"/>
        <v>20</v>
      </c>
      <c r="G116" s="84">
        <f t="shared" ref="G116:G126" si="73">C116-F116</f>
        <v>8</v>
      </c>
      <c r="H116" s="84"/>
      <c r="I116" s="84"/>
      <c r="J116" s="78">
        <f t="shared" si="42"/>
        <v>28</v>
      </c>
      <c r="K116" s="149">
        <v>39845</v>
      </c>
      <c r="L116" s="508">
        <v>7.422601323826801E-2</v>
      </c>
      <c r="M116" s="509">
        <v>6.5041810986527004E-2</v>
      </c>
      <c r="N116" s="132">
        <f t="shared" si="39"/>
        <v>0.51763739574229861</v>
      </c>
      <c r="O116" s="133">
        <f>VLOOKUP(K116,Inflation!$B$8:$C$266,2)</f>
        <v>1.2766222213343272</v>
      </c>
      <c r="P116" s="132"/>
      <c r="Q116" s="134">
        <f>VLOOKUP(K116,'Fuel Curve'!$B$11:$F$268,5)</f>
        <v>4.6910344827586217</v>
      </c>
      <c r="R116" s="238">
        <f>VLOOKUP(K116,'Fuel Curve Simulation'!$B$12:$J$258,9)</f>
        <v>4.6910344827586217</v>
      </c>
      <c r="S116" s="134">
        <f t="shared" si="45"/>
        <v>44.935419310344834</v>
      </c>
      <c r="T116" s="136"/>
      <c r="V116" s="135">
        <f>VLOOKUP(K116,PJM_01212000!$A$7:$C$259,3)</f>
        <v>39.324998474121088</v>
      </c>
      <c r="W116" s="486"/>
      <c r="X116" s="118">
        <f>'PJM Curve Simulation'!J116</f>
        <v>39.324998474121088</v>
      </c>
      <c r="Y116" s="512"/>
      <c r="Z116" s="137"/>
      <c r="AA116" s="78">
        <f t="shared" si="44"/>
        <v>315</v>
      </c>
      <c r="AB116" s="85">
        <f t="shared" si="46"/>
        <v>100800</v>
      </c>
      <c r="AC116" s="85">
        <f>VLOOKUP(K116,'Company Volumes'!$B$20:$C$259,2)</f>
        <v>699.60804490266662</v>
      </c>
      <c r="AD116" s="153">
        <f t="shared" si="50"/>
        <v>0</v>
      </c>
      <c r="AE116" s="150"/>
      <c r="AF116" s="150">
        <v>0</v>
      </c>
      <c r="AG116" s="150">
        <v>0</v>
      </c>
      <c r="AH116" s="150">
        <f t="shared" si="51"/>
        <v>0</v>
      </c>
      <c r="AI116" s="150">
        <f t="shared" si="52"/>
        <v>0</v>
      </c>
      <c r="AJ116" s="150">
        <f t="shared" si="53"/>
        <v>0</v>
      </c>
      <c r="AK116" s="85">
        <f t="shared" si="54"/>
        <v>63831.111066716367</v>
      </c>
      <c r="AL116" s="85">
        <f t="shared" si="55"/>
        <v>162769.33322012672</v>
      </c>
      <c r="AM116" s="85">
        <f t="shared" si="47"/>
        <v>0</v>
      </c>
      <c r="AN116" s="85">
        <f t="shared" si="48"/>
        <v>145960.47397255807</v>
      </c>
      <c r="AO116" s="85">
        <f t="shared" si="56"/>
        <v>31915.555533358183</v>
      </c>
      <c r="AP116" s="85">
        <f t="shared" si="68"/>
        <v>46500.558215233643</v>
      </c>
      <c r="AQ116" s="84">
        <f t="shared" si="57"/>
        <v>450977.03200799297</v>
      </c>
      <c r="AR116" s="85">
        <f t="shared" si="58"/>
        <v>15957.777766679092</v>
      </c>
      <c r="AS116" s="84">
        <f t="shared" si="72"/>
        <v>30387.755000000001</v>
      </c>
      <c r="AT116" s="85">
        <f t="shared" si="59"/>
        <v>0</v>
      </c>
      <c r="AU116" s="84">
        <f t="shared" si="60"/>
        <v>497322.56477467204</v>
      </c>
      <c r="AV116" s="84">
        <f t="shared" si="49"/>
        <v>-497322.56477467204</v>
      </c>
      <c r="AW116" s="453"/>
      <c r="AX116" s="93">
        <f t="shared" si="43"/>
        <v>39845</v>
      </c>
      <c r="BA116" s="315"/>
      <c r="BB116" s="134">
        <f t="shared" si="61"/>
        <v>39.324998474121088</v>
      </c>
      <c r="BC116" s="134">
        <f>'Curve Analysis - Base Case'!D108</f>
        <v>47.488663753013491</v>
      </c>
      <c r="BD116" s="131">
        <f t="shared" si="62"/>
        <v>7.422601323826801E-2</v>
      </c>
      <c r="BE116" s="131">
        <f t="shared" si="63"/>
        <v>7.422601323826801E-2</v>
      </c>
      <c r="BF116" s="365">
        <f>PJM_01212000!X116</f>
        <v>0.14568687981821948</v>
      </c>
      <c r="BG116" s="85">
        <f t="shared" si="64"/>
        <v>3271</v>
      </c>
      <c r="BH116" s="84">
        <f t="shared" si="65"/>
        <v>0</v>
      </c>
      <c r="BJ116" s="537">
        <f>_xll.EURO(BB116,BC116,BD116,BE116,BF116,BG116,1,0)*BH116</f>
        <v>0</v>
      </c>
      <c r="BK116" s="84">
        <f t="shared" si="66"/>
        <v>0</v>
      </c>
      <c r="BM116" s="84">
        <f t="shared" si="67"/>
        <v>0</v>
      </c>
    </row>
    <row r="117" spans="1:65">
      <c r="A117" s="78">
        <f t="shared" si="40"/>
        <v>111</v>
      </c>
      <c r="C117" s="78">
        <v>31</v>
      </c>
      <c r="D117" s="78" t="s">
        <v>64</v>
      </c>
      <c r="E117" s="113">
        <f t="shared" si="41"/>
        <v>39873</v>
      </c>
      <c r="F117" s="85">
        <f t="shared" si="37"/>
        <v>22</v>
      </c>
      <c r="G117" s="84">
        <f t="shared" si="73"/>
        <v>9</v>
      </c>
      <c r="H117" s="84"/>
      <c r="I117" s="84"/>
      <c r="J117" s="78">
        <f t="shared" si="42"/>
        <v>31</v>
      </c>
      <c r="K117" s="149">
        <v>39873</v>
      </c>
      <c r="L117" s="508">
        <v>7.4239545854578023E-2</v>
      </c>
      <c r="M117" s="509">
        <v>6.4933790714462994E-2</v>
      </c>
      <c r="N117" s="132">
        <f t="shared" si="39"/>
        <v>0.51469216952292873</v>
      </c>
      <c r="O117" s="133">
        <f>VLOOKUP(K117,Inflation!$B$8:$C$266,2)</f>
        <v>1.2794596767280477</v>
      </c>
      <c r="P117" s="132"/>
      <c r="Q117" s="134">
        <f>VLOOKUP(K117,'Fuel Curve'!$B$11:$F$268,5)</f>
        <v>4.5939655172413802</v>
      </c>
      <c r="R117" s="238">
        <f>VLOOKUP(K117,'Fuel Curve Simulation'!$B$12:$J$258,9)</f>
        <v>4.5939655172413802</v>
      </c>
      <c r="S117" s="134">
        <f t="shared" si="45"/>
        <v>44.005595689655181</v>
      </c>
      <c r="T117" s="136"/>
      <c r="V117" s="135">
        <f>VLOOKUP(K117,PJM_01212000!$A$7:$C$259,3)</f>
        <v>29.050000762939455</v>
      </c>
      <c r="W117" s="486"/>
      <c r="X117" s="118">
        <f>'PJM Curve Simulation'!J117</f>
        <v>29.050000762939455</v>
      </c>
      <c r="Y117" s="512"/>
      <c r="Z117" s="137"/>
      <c r="AA117" s="78">
        <f t="shared" si="44"/>
        <v>315</v>
      </c>
      <c r="AB117" s="85">
        <f t="shared" si="46"/>
        <v>110880</v>
      </c>
      <c r="AC117" s="85">
        <f>VLOOKUP(K117,'Company Volumes'!$B$20:$C$259,2)</f>
        <v>699.60804490266662</v>
      </c>
      <c r="AD117" s="153">
        <f t="shared" si="50"/>
        <v>0</v>
      </c>
      <c r="AE117" s="150"/>
      <c r="AF117" s="150">
        <v>0</v>
      </c>
      <c r="AG117" s="150">
        <v>0</v>
      </c>
      <c r="AH117" s="150">
        <f t="shared" si="51"/>
        <v>0</v>
      </c>
      <c r="AI117" s="150">
        <f t="shared" si="52"/>
        <v>0</v>
      </c>
      <c r="AJ117" s="150">
        <f t="shared" si="53"/>
        <v>0</v>
      </c>
      <c r="AK117" s="85">
        <f t="shared" si="54"/>
        <v>63972.983836402389</v>
      </c>
      <c r="AL117" s="85">
        <f t="shared" si="55"/>
        <v>163131.10878282608</v>
      </c>
      <c r="AM117" s="85">
        <f t="shared" si="47"/>
        <v>0</v>
      </c>
      <c r="AN117" s="85">
        <f t="shared" si="48"/>
        <v>146284.8897059068</v>
      </c>
      <c r="AO117" s="85">
        <f t="shared" si="56"/>
        <v>31986.491918201194</v>
      </c>
      <c r="AP117" s="85">
        <f t="shared" si="68"/>
        <v>46500.558215233643</v>
      </c>
      <c r="AQ117" s="84">
        <f t="shared" si="57"/>
        <v>451876.03245857009</v>
      </c>
      <c r="AR117" s="85">
        <f t="shared" si="58"/>
        <v>15993.245959100597</v>
      </c>
      <c r="AS117" s="84">
        <f t="shared" si="72"/>
        <v>30387.755000000001</v>
      </c>
      <c r="AT117" s="85">
        <f t="shared" si="59"/>
        <v>0</v>
      </c>
      <c r="AU117" s="84">
        <f t="shared" si="60"/>
        <v>498257.03341767064</v>
      </c>
      <c r="AV117" s="84">
        <f t="shared" si="49"/>
        <v>-498257.03341767064</v>
      </c>
      <c r="AW117" s="453"/>
      <c r="AX117" s="93">
        <f t="shared" si="43"/>
        <v>39873</v>
      </c>
      <c r="BA117" s="315"/>
      <c r="BB117" s="134">
        <f t="shared" si="61"/>
        <v>29.050000762939455</v>
      </c>
      <c r="BC117" s="134">
        <f>'Curve Analysis - Base Case'!D109</f>
        <v>46.564515043111278</v>
      </c>
      <c r="BD117" s="131">
        <f t="shared" si="62"/>
        <v>7.4239545854578023E-2</v>
      </c>
      <c r="BE117" s="131">
        <f t="shared" si="63"/>
        <v>7.4239545854578023E-2</v>
      </c>
      <c r="BF117" s="365">
        <f>PJM_01212000!X117</f>
        <v>0.12140573318184956</v>
      </c>
      <c r="BG117" s="85">
        <f t="shared" si="64"/>
        <v>3299</v>
      </c>
      <c r="BH117" s="84">
        <f t="shared" si="65"/>
        <v>0</v>
      </c>
      <c r="BJ117" s="537">
        <f>_xll.EURO(BB117,BC117,BD117,BE117,BF117,BG117,1,0)*BH117</f>
        <v>0</v>
      </c>
      <c r="BK117" s="84">
        <f t="shared" si="66"/>
        <v>0</v>
      </c>
      <c r="BM117" s="84">
        <f t="shared" si="67"/>
        <v>0</v>
      </c>
    </row>
    <row r="118" spans="1:65">
      <c r="A118" s="78">
        <f t="shared" si="40"/>
        <v>112</v>
      </c>
      <c r="C118" s="78">
        <v>30</v>
      </c>
      <c r="D118" s="78" t="s">
        <v>65</v>
      </c>
      <c r="E118" s="113">
        <f t="shared" si="41"/>
        <v>39904</v>
      </c>
      <c r="F118" s="85">
        <f t="shared" si="37"/>
        <v>21</v>
      </c>
      <c r="G118" s="84">
        <f t="shared" si="73"/>
        <v>9</v>
      </c>
      <c r="H118" s="84"/>
      <c r="I118" s="84"/>
      <c r="J118" s="78">
        <f t="shared" si="42"/>
        <v>30</v>
      </c>
      <c r="K118" s="149">
        <v>39904</v>
      </c>
      <c r="L118" s="508">
        <v>7.4254528394135003E-2</v>
      </c>
      <c r="M118" s="509">
        <v>6.4814196936563012E-2</v>
      </c>
      <c r="N118" s="132">
        <f t="shared" si="39"/>
        <v>0.51144973330331744</v>
      </c>
      <c r="O118" s="133">
        <f>VLOOKUP(K118,Inflation!$B$8:$C$266,2)</f>
        <v>1.2823034387275729</v>
      </c>
      <c r="P118" s="132"/>
      <c r="Q118" s="134">
        <f>VLOOKUP(K118,'Fuel Curve'!$B$11:$F$268,5)</f>
        <v>4.4939655172413797</v>
      </c>
      <c r="R118" s="238">
        <f>VLOOKUP(K118,'Fuel Curve Simulation'!$B$12:$J$258,9)</f>
        <v>4.4939655172413797</v>
      </c>
      <c r="S118" s="134">
        <f t="shared" si="45"/>
        <v>43.047695689655178</v>
      </c>
      <c r="T118" s="136"/>
      <c r="V118" s="135">
        <f>VLOOKUP(K118,PJM_01212000!$A$7:$C$259,3)</f>
        <v>28.825000762939453</v>
      </c>
      <c r="W118" s="486"/>
      <c r="X118" s="118">
        <f>'PJM Curve Simulation'!J118</f>
        <v>28.825000762939453</v>
      </c>
      <c r="Y118" s="512"/>
      <c r="Z118" s="137"/>
      <c r="AA118" s="78">
        <f t="shared" si="44"/>
        <v>315</v>
      </c>
      <c r="AB118" s="85">
        <f t="shared" si="46"/>
        <v>105840</v>
      </c>
      <c r="AC118" s="85">
        <f>VLOOKUP(K118,'Company Volumes'!$B$20:$C$259,2)</f>
        <v>9156.874316647556</v>
      </c>
      <c r="AD118" s="153">
        <f t="shared" si="50"/>
        <v>0</v>
      </c>
      <c r="AE118" s="150"/>
      <c r="AF118" s="150">
        <v>0</v>
      </c>
      <c r="AG118" s="150">
        <v>0</v>
      </c>
      <c r="AH118" s="150">
        <f t="shared" si="51"/>
        <v>0</v>
      </c>
      <c r="AI118" s="150">
        <f t="shared" si="52"/>
        <v>0</v>
      </c>
      <c r="AJ118" s="150">
        <f t="shared" si="53"/>
        <v>0</v>
      </c>
      <c r="AK118" s="85">
        <f t="shared" si="54"/>
        <v>64115.171936378647</v>
      </c>
      <c r="AL118" s="85">
        <f t="shared" si="55"/>
        <v>163493.68843776555</v>
      </c>
      <c r="AM118" s="85">
        <f t="shared" si="47"/>
        <v>0</v>
      </c>
      <c r="AN118" s="85">
        <f t="shared" si="48"/>
        <v>146610.02649451917</v>
      </c>
      <c r="AO118" s="85">
        <f t="shared" si="56"/>
        <v>32057.585968189323</v>
      </c>
      <c r="AP118" s="85">
        <f t="shared" si="68"/>
        <v>46500.558215233643</v>
      </c>
      <c r="AQ118" s="84">
        <f t="shared" si="57"/>
        <v>452777.03105208639</v>
      </c>
      <c r="AR118" s="85">
        <f t="shared" si="58"/>
        <v>16028.792984094662</v>
      </c>
      <c r="AS118" s="84">
        <f t="shared" si="72"/>
        <v>30387.755000000001</v>
      </c>
      <c r="AT118" s="85">
        <f t="shared" si="59"/>
        <v>0</v>
      </c>
      <c r="AU118" s="84">
        <f t="shared" si="60"/>
        <v>499193.57903618109</v>
      </c>
      <c r="AV118" s="84">
        <f t="shared" si="49"/>
        <v>-499193.57903618109</v>
      </c>
      <c r="AW118" s="453"/>
      <c r="AX118" s="93">
        <f t="shared" si="43"/>
        <v>39904</v>
      </c>
      <c r="BA118" s="315"/>
      <c r="BB118" s="134">
        <f t="shared" si="61"/>
        <v>28.825000762939453</v>
      </c>
      <c r="BC118" s="134">
        <f>'Curve Analysis - Base Case'!D110</f>
        <v>45.612302567110326</v>
      </c>
      <c r="BD118" s="131">
        <f t="shared" si="62"/>
        <v>7.4254528394135003E-2</v>
      </c>
      <c r="BE118" s="131">
        <f t="shared" si="63"/>
        <v>7.4254528394135003E-2</v>
      </c>
      <c r="BF118" s="365">
        <f>PJM_01212000!X118</f>
        <v>0.1153354465227571</v>
      </c>
      <c r="BG118" s="85">
        <f t="shared" si="64"/>
        <v>3330</v>
      </c>
      <c r="BH118" s="84">
        <f t="shared" si="65"/>
        <v>0</v>
      </c>
      <c r="BJ118" s="537">
        <f>_xll.EURO(BB118,BC118,BD118,BE118,BF118,BG118,1,0)*BH118</f>
        <v>0</v>
      </c>
      <c r="BK118" s="84">
        <f t="shared" si="66"/>
        <v>0</v>
      </c>
      <c r="BM118" s="84">
        <f t="shared" si="67"/>
        <v>0</v>
      </c>
    </row>
    <row r="119" spans="1:65">
      <c r="A119" s="78">
        <f t="shared" si="40"/>
        <v>113</v>
      </c>
      <c r="C119" s="78">
        <v>31</v>
      </c>
      <c r="D119" s="78" t="s">
        <v>38</v>
      </c>
      <c r="E119" s="113">
        <f t="shared" si="41"/>
        <v>39934</v>
      </c>
      <c r="F119" s="85">
        <f t="shared" si="37"/>
        <v>23</v>
      </c>
      <c r="G119" s="84">
        <f t="shared" si="73"/>
        <v>8</v>
      </c>
      <c r="H119" s="84"/>
      <c r="I119" s="84"/>
      <c r="J119" s="78">
        <f t="shared" si="42"/>
        <v>31</v>
      </c>
      <c r="K119" s="149">
        <v>39934</v>
      </c>
      <c r="L119" s="508">
        <v>7.4269027626035003E-2</v>
      </c>
      <c r="M119" s="509">
        <v>6.4698461117264017E-2</v>
      </c>
      <c r="N119" s="132">
        <f t="shared" si="39"/>
        <v>0.50833015553540151</v>
      </c>
      <c r="O119" s="133">
        <f>VLOOKUP(K119,Inflation!$B$8:$C$266,2)</f>
        <v>1.2851535213501368</v>
      </c>
      <c r="P119" s="132"/>
      <c r="Q119" s="134">
        <f>VLOOKUP(K119,'Fuel Curve'!$B$11:$F$268,5)</f>
        <v>4.4267241379310347</v>
      </c>
      <c r="R119" s="238">
        <f>VLOOKUP(K119,'Fuel Curve Simulation'!$B$12:$J$258,9)</f>
        <v>4.4267241379310347</v>
      </c>
      <c r="S119" s="134">
        <f t="shared" si="45"/>
        <v>42.403590517241383</v>
      </c>
      <c r="T119" s="136"/>
      <c r="V119" s="135">
        <f>VLOOKUP(K119,PJM_01212000!$A$7:$C$259,3)</f>
        <v>36.075000000000003</v>
      </c>
      <c r="W119" s="486"/>
      <c r="X119" s="118">
        <f>'PJM Curve Simulation'!J119</f>
        <v>36.075000000000003</v>
      </c>
      <c r="Y119" s="512"/>
      <c r="Z119" s="137"/>
      <c r="AA119" s="78">
        <f t="shared" si="44"/>
        <v>315</v>
      </c>
      <c r="AB119" s="85">
        <f t="shared" si="46"/>
        <v>115920</v>
      </c>
      <c r="AC119" s="85">
        <f>VLOOKUP(K119,'Company Volumes'!$B$20:$C$259,2)</f>
        <v>16891.36970430311</v>
      </c>
      <c r="AD119" s="153">
        <f t="shared" si="50"/>
        <v>0</v>
      </c>
      <c r="AE119" s="150"/>
      <c r="AF119" s="150">
        <v>0</v>
      </c>
      <c r="AG119" s="150">
        <v>0</v>
      </c>
      <c r="AH119" s="150">
        <f t="shared" si="51"/>
        <v>0</v>
      </c>
      <c r="AI119" s="150">
        <f t="shared" si="52"/>
        <v>0</v>
      </c>
      <c r="AJ119" s="150">
        <f t="shared" si="53"/>
        <v>0</v>
      </c>
      <c r="AK119" s="85">
        <f t="shared" si="54"/>
        <v>64257.676067506844</v>
      </c>
      <c r="AL119" s="85">
        <f t="shared" si="55"/>
        <v>163857.07397214245</v>
      </c>
      <c r="AM119" s="85">
        <f t="shared" si="47"/>
        <v>0</v>
      </c>
      <c r="AN119" s="85">
        <f t="shared" si="48"/>
        <v>146935.88594103232</v>
      </c>
      <c r="AO119" s="85">
        <f t="shared" si="56"/>
        <v>32128.838033753422</v>
      </c>
      <c r="AP119" s="85">
        <f t="shared" si="68"/>
        <v>46500.558215233643</v>
      </c>
      <c r="AQ119" s="84">
        <f t="shared" si="57"/>
        <v>453680.03222966869</v>
      </c>
      <c r="AR119" s="85">
        <f t="shared" si="58"/>
        <v>16064.419016876711</v>
      </c>
      <c r="AS119" s="84">
        <f t="shared" si="72"/>
        <v>30387.755000000001</v>
      </c>
      <c r="AT119" s="85">
        <f t="shared" si="59"/>
        <v>0</v>
      </c>
      <c r="AU119" s="84">
        <f t="shared" si="60"/>
        <v>500132.20624654542</v>
      </c>
      <c r="AV119" s="84">
        <f t="shared" si="49"/>
        <v>-500132.20624654542</v>
      </c>
      <c r="AW119" s="453"/>
      <c r="AX119" s="93">
        <f t="shared" si="43"/>
        <v>39934</v>
      </c>
      <c r="BA119" s="315"/>
      <c r="BB119" s="134">
        <f t="shared" si="61"/>
        <v>36.075000000000003</v>
      </c>
      <c r="BC119" s="134">
        <f>'Curve Analysis - Base Case'!D111</f>
        <v>44.973897559941655</v>
      </c>
      <c r="BD119" s="131">
        <f t="shared" si="62"/>
        <v>7.4269027626035003E-2</v>
      </c>
      <c r="BE119" s="131">
        <f t="shared" si="63"/>
        <v>7.4269027626035003E-2</v>
      </c>
      <c r="BF119" s="365">
        <f>PJM_01212000!X119</f>
        <v>0.12747601984094203</v>
      </c>
      <c r="BG119" s="85">
        <f t="shared" si="64"/>
        <v>3360</v>
      </c>
      <c r="BH119" s="84">
        <f t="shared" si="65"/>
        <v>0</v>
      </c>
      <c r="BJ119" s="537">
        <f>_xll.EURO(BB119,BC119,BD119,BE119,BF119,BG119,1,0)*BH119</f>
        <v>0</v>
      </c>
      <c r="BK119" s="84">
        <f t="shared" si="66"/>
        <v>0</v>
      </c>
      <c r="BM119" s="84">
        <f t="shared" si="67"/>
        <v>0</v>
      </c>
    </row>
    <row r="120" spans="1:65">
      <c r="A120" s="78">
        <f t="shared" si="40"/>
        <v>114</v>
      </c>
      <c r="C120" s="78">
        <v>30</v>
      </c>
      <c r="D120" s="78" t="s">
        <v>66</v>
      </c>
      <c r="E120" s="113">
        <f t="shared" si="41"/>
        <v>39965</v>
      </c>
      <c r="F120" s="85">
        <f t="shared" si="37"/>
        <v>21</v>
      </c>
      <c r="G120" s="84">
        <f t="shared" si="73"/>
        <v>9</v>
      </c>
      <c r="H120" s="84"/>
      <c r="I120" s="84"/>
      <c r="J120" s="78">
        <f t="shared" si="42"/>
        <v>30</v>
      </c>
      <c r="K120" s="149">
        <v>39965</v>
      </c>
      <c r="L120" s="508">
        <v>7.4284010165738018E-2</v>
      </c>
      <c r="M120" s="509">
        <v>6.4578867535287007E-2</v>
      </c>
      <c r="N120" s="132">
        <f t="shared" si="39"/>
        <v>0.50512536205173364</v>
      </c>
      <c r="O120" s="133">
        <f>VLOOKUP(K120,Inflation!$B$8:$C$266,2)</f>
        <v>1.2880099386441288</v>
      </c>
      <c r="P120" s="132"/>
      <c r="Q120" s="134">
        <f>VLOOKUP(K120,'Fuel Curve'!$B$11:$F$268,5)</f>
        <v>4.4201724137931047</v>
      </c>
      <c r="R120" s="238">
        <f>VLOOKUP(K120,'Fuel Curve Simulation'!$B$12:$J$258,9)</f>
        <v>4.4201724137931047</v>
      </c>
      <c r="S120" s="134">
        <f t="shared" si="45"/>
        <v>42.34083155172415</v>
      </c>
      <c r="T120" s="136"/>
      <c r="V120" s="135">
        <f>VLOOKUP(K120,PJM_01212000!$A$7:$C$259,3)</f>
        <v>61.099998474121094</v>
      </c>
      <c r="W120" s="486"/>
      <c r="X120" s="118">
        <f>'PJM Curve Simulation'!J120</f>
        <v>61.099998474121094</v>
      </c>
      <c r="Y120" s="512"/>
      <c r="Z120" s="137"/>
      <c r="AA120" s="78">
        <f t="shared" si="44"/>
        <v>315</v>
      </c>
      <c r="AB120" s="85">
        <f t="shared" si="46"/>
        <v>105840</v>
      </c>
      <c r="AC120" s="85">
        <f>VLOOKUP(K120,'Company Volumes'!$B$20:$C$259,2)</f>
        <v>32784.36806177556</v>
      </c>
      <c r="AD120" s="153">
        <f t="shared" si="50"/>
        <v>105840</v>
      </c>
      <c r="AE120" s="150"/>
      <c r="AF120" s="150">
        <v>0</v>
      </c>
      <c r="AG120" s="150">
        <v>0</v>
      </c>
      <c r="AH120" s="150">
        <f t="shared" si="51"/>
        <v>6466823.8385009766</v>
      </c>
      <c r="AI120" s="150">
        <f t="shared" si="52"/>
        <v>6466823.8385009766</v>
      </c>
      <c r="AJ120" s="150">
        <f t="shared" si="53"/>
        <v>4481353.6114344839</v>
      </c>
      <c r="AK120" s="85">
        <f t="shared" si="54"/>
        <v>64400.496932206443</v>
      </c>
      <c r="AL120" s="85">
        <f t="shared" si="55"/>
        <v>164221.26717712643</v>
      </c>
      <c r="AM120" s="85">
        <f t="shared" si="47"/>
        <v>272645.94381218922</v>
      </c>
      <c r="AN120" s="85">
        <f t="shared" si="48"/>
        <v>147262.4696516454</v>
      </c>
      <c r="AO120" s="85">
        <f t="shared" si="56"/>
        <v>32200.248466103221</v>
      </c>
      <c r="AP120" s="85">
        <f t="shared" si="68"/>
        <v>46500.558215233643</v>
      </c>
      <c r="AQ120" s="84">
        <f t="shared" si="57"/>
        <v>727230.98425450432</v>
      </c>
      <c r="AR120" s="85">
        <f t="shared" si="58"/>
        <v>16100.124233051611</v>
      </c>
      <c r="AS120" s="84">
        <f t="shared" si="72"/>
        <v>30387.755000000001</v>
      </c>
      <c r="AT120" s="85">
        <f t="shared" si="59"/>
        <v>49976.000252700193</v>
      </c>
      <c r="AU120" s="84">
        <f t="shared" si="60"/>
        <v>5305048.47517474</v>
      </c>
      <c r="AV120" s="84">
        <f t="shared" si="49"/>
        <v>1161775.3633262366</v>
      </c>
      <c r="AW120" s="453"/>
      <c r="AX120" s="93">
        <f t="shared" si="43"/>
        <v>39965</v>
      </c>
      <c r="BA120" s="315"/>
      <c r="BB120" s="134">
        <f t="shared" si="61"/>
        <v>61.099998474121094</v>
      </c>
      <c r="BC120" s="134">
        <f>'Curve Analysis - Base Case'!D112</f>
        <v>44.916851429012411</v>
      </c>
      <c r="BD120" s="131">
        <f t="shared" si="62"/>
        <v>7.4284010165738018E-2</v>
      </c>
      <c r="BE120" s="131">
        <f t="shared" si="63"/>
        <v>7.4284010165738018E-2</v>
      </c>
      <c r="BF120" s="365">
        <f>PJM_01212000!X120</f>
        <v>0.16389773979549691</v>
      </c>
      <c r="BG120" s="85">
        <f t="shared" si="64"/>
        <v>3391</v>
      </c>
      <c r="BH120" s="84">
        <f t="shared" si="65"/>
        <v>105840</v>
      </c>
      <c r="BJ120" s="537">
        <f>_xll.EURO(BB120,BC120,BD120,BE120,BF120,BG120,1,0)*BH120</f>
        <v>1083831.911078491</v>
      </c>
      <c r="BK120" s="84">
        <f t="shared" si="66"/>
        <v>1002911.3672898998</v>
      </c>
      <c r="BM120" s="84">
        <f t="shared" si="67"/>
        <v>80920.543788591167</v>
      </c>
    </row>
    <row r="121" spans="1:65">
      <c r="A121" s="78">
        <f t="shared" si="40"/>
        <v>115</v>
      </c>
      <c r="C121" s="78">
        <v>31</v>
      </c>
      <c r="D121" s="78" t="s">
        <v>67</v>
      </c>
      <c r="E121" s="113">
        <f t="shared" si="41"/>
        <v>39995</v>
      </c>
      <c r="F121" s="85">
        <f t="shared" si="37"/>
        <v>22</v>
      </c>
      <c r="G121" s="84">
        <f t="shared" si="73"/>
        <v>9</v>
      </c>
      <c r="H121" s="84"/>
      <c r="I121" s="84"/>
      <c r="J121" s="78">
        <f t="shared" si="42"/>
        <v>31</v>
      </c>
      <c r="K121" s="149">
        <v>39995</v>
      </c>
      <c r="L121" s="508">
        <v>7.4298509397779017E-2</v>
      </c>
      <c r="M121" s="509">
        <v>6.4463131905601018E-2</v>
      </c>
      <c r="N121" s="132">
        <f t="shared" si="39"/>
        <v>0.50204201626175271</v>
      </c>
      <c r="O121" s="133">
        <f>VLOOKUP(K121,Inflation!$B$8:$C$266,2)</f>
        <v>1.2908727046891624</v>
      </c>
      <c r="P121" s="132"/>
      <c r="Q121" s="134">
        <f>VLOOKUP(K121,'Fuel Curve'!$B$11:$F$268,5)</f>
        <v>4.477413793103449</v>
      </c>
      <c r="R121" s="238">
        <f>VLOOKUP(K121,'Fuel Curve Simulation'!$B$12:$J$258,9)</f>
        <v>4.477413793103449</v>
      </c>
      <c r="S121" s="134">
        <f t="shared" si="45"/>
        <v>42.889146724137937</v>
      </c>
      <c r="T121" s="136"/>
      <c r="V121" s="135">
        <f>VLOOKUP(K121,PJM_01212000!$A$7:$C$259,3)</f>
        <v>104.69999694824219</v>
      </c>
      <c r="W121" s="486"/>
      <c r="X121" s="118">
        <f>'PJM Curve Simulation'!J121</f>
        <v>104.69999694824219</v>
      </c>
      <c r="Y121" s="512"/>
      <c r="Z121" s="137"/>
      <c r="AA121" s="78">
        <f t="shared" si="44"/>
        <v>315</v>
      </c>
      <c r="AB121" s="85">
        <f t="shared" si="46"/>
        <v>110880</v>
      </c>
      <c r="AC121" s="85">
        <f>VLOOKUP(K121,'Company Volumes'!$B$20:$C$259,2)</f>
        <v>51579.897963987554</v>
      </c>
      <c r="AD121" s="153">
        <f t="shared" si="50"/>
        <v>110880</v>
      </c>
      <c r="AE121" s="150"/>
      <c r="AF121" s="150">
        <v>0</v>
      </c>
      <c r="AG121" s="150">
        <v>0</v>
      </c>
      <c r="AH121" s="150">
        <f t="shared" si="51"/>
        <v>11609135.661621094</v>
      </c>
      <c r="AI121" s="150">
        <f t="shared" si="52"/>
        <v>11609135.661621094</v>
      </c>
      <c r="AJ121" s="150">
        <f t="shared" si="53"/>
        <v>4755548.5887724143</v>
      </c>
      <c r="AK121" s="85">
        <f t="shared" si="54"/>
        <v>64543.635234458117</v>
      </c>
      <c r="AL121" s="85">
        <f t="shared" si="55"/>
        <v>164586.26984786821</v>
      </c>
      <c r="AM121" s="85">
        <f t="shared" si="47"/>
        <v>286263.93099186866</v>
      </c>
      <c r="AN121" s="85">
        <f t="shared" si="48"/>
        <v>147589.77923612756</v>
      </c>
      <c r="AO121" s="85">
        <f t="shared" si="56"/>
        <v>32271.817617229059</v>
      </c>
      <c r="AP121" s="85">
        <f t="shared" si="68"/>
        <v>46500.558215233643</v>
      </c>
      <c r="AQ121" s="84">
        <f t="shared" si="57"/>
        <v>741755.99114278518</v>
      </c>
      <c r="AR121" s="85">
        <f t="shared" si="58"/>
        <v>16135.908808614529</v>
      </c>
      <c r="AS121" s="84">
        <f t="shared" si="72"/>
        <v>30387.755000000001</v>
      </c>
      <c r="AT121" s="85">
        <f t="shared" si="59"/>
        <v>89915.498103721373</v>
      </c>
      <c r="AU121" s="84">
        <f t="shared" si="60"/>
        <v>5633743.7418275345</v>
      </c>
      <c r="AV121" s="84">
        <f t="shared" si="49"/>
        <v>5975391.9197935592</v>
      </c>
      <c r="AW121" s="453"/>
      <c r="AX121" s="93">
        <f t="shared" si="43"/>
        <v>39995</v>
      </c>
      <c r="BA121" s="315"/>
      <c r="BB121" s="134">
        <f t="shared" si="61"/>
        <v>104.69999694824219</v>
      </c>
      <c r="BC121" s="134">
        <f>'Curve Analysis - Base Case'!D113</f>
        <v>45.470892133516259</v>
      </c>
      <c r="BD121" s="131">
        <f t="shared" si="62"/>
        <v>7.4298509397779017E-2</v>
      </c>
      <c r="BE121" s="131">
        <f t="shared" si="63"/>
        <v>7.4298509397779017E-2</v>
      </c>
      <c r="BF121" s="365">
        <f>PJM_01212000!X121</f>
        <v>0.20031945975005178</v>
      </c>
      <c r="BG121" s="85">
        <f t="shared" si="64"/>
        <v>3421</v>
      </c>
      <c r="BH121" s="84">
        <f t="shared" si="65"/>
        <v>110880</v>
      </c>
      <c r="BJ121" s="537">
        <f>_xll.EURO(BB121,BC121,BD121,BE121,BF121,BG121,1,0)*BH121</f>
        <v>3365137.1301352875</v>
      </c>
      <c r="BK121" s="84">
        <f t="shared" si="66"/>
        <v>3440788.6726784348</v>
      </c>
      <c r="BM121" s="84">
        <f t="shared" si="67"/>
        <v>-75651.542543147225</v>
      </c>
    </row>
    <row r="122" spans="1:65">
      <c r="A122" s="78">
        <f t="shared" si="40"/>
        <v>116</v>
      </c>
      <c r="C122" s="78">
        <v>31</v>
      </c>
      <c r="D122" s="78" t="s">
        <v>68</v>
      </c>
      <c r="E122" s="113">
        <f t="shared" si="41"/>
        <v>40026</v>
      </c>
      <c r="F122" s="85">
        <f t="shared" si="37"/>
        <v>23</v>
      </c>
      <c r="G122" s="84">
        <f t="shared" si="73"/>
        <v>8</v>
      </c>
      <c r="H122" s="84"/>
      <c r="I122" s="84"/>
      <c r="J122" s="78">
        <f t="shared" si="42"/>
        <v>31</v>
      </c>
      <c r="K122" s="149">
        <v>40026</v>
      </c>
      <c r="L122" s="508">
        <v>7.4313491937627998E-2</v>
      </c>
      <c r="M122" s="509">
        <v>6.4343538519569005E-2</v>
      </c>
      <c r="N122" s="132">
        <f t="shared" si="39"/>
        <v>0.49887446046185019</v>
      </c>
      <c r="O122" s="133">
        <f>VLOOKUP(K122,Inflation!$B$8:$C$266,2)</f>
        <v>1.2937418335961453</v>
      </c>
      <c r="P122" s="132"/>
      <c r="Q122" s="134">
        <f>VLOOKUP(K122,'Fuel Curve'!$B$11:$F$268,5)</f>
        <v>4.5679310344827595</v>
      </c>
      <c r="R122" s="238">
        <f>VLOOKUP(K122,'Fuel Curve Simulation'!$B$12:$J$258,9)</f>
        <v>4.5679310344827595</v>
      </c>
      <c r="S122" s="134">
        <f t="shared" si="45"/>
        <v>43.756211379310358</v>
      </c>
      <c r="T122" s="136"/>
      <c r="V122" s="135">
        <f>VLOOKUP(K122,PJM_01212000!$A$7:$C$259,3)</f>
        <v>91.699996948242188</v>
      </c>
      <c r="W122" s="486"/>
      <c r="X122" s="118">
        <f>'PJM Curve Simulation'!J122</f>
        <v>91.699996948242188</v>
      </c>
      <c r="Y122" s="512"/>
      <c r="Z122" s="137"/>
      <c r="AA122" s="78">
        <f t="shared" si="44"/>
        <v>315</v>
      </c>
      <c r="AB122" s="85">
        <f t="shared" si="46"/>
        <v>115920</v>
      </c>
      <c r="AC122" s="85">
        <f>VLOOKUP(K122,'Company Volumes'!$B$20:$C$259,2)</f>
        <v>34386.598642987112</v>
      </c>
      <c r="AD122" s="153">
        <f t="shared" si="50"/>
        <v>115920</v>
      </c>
      <c r="AE122" s="150"/>
      <c r="AF122" s="150">
        <v>0</v>
      </c>
      <c r="AG122" s="150">
        <v>0</v>
      </c>
      <c r="AH122" s="150">
        <f t="shared" si="51"/>
        <v>10629863.646240234</v>
      </c>
      <c r="AI122" s="150">
        <f t="shared" si="52"/>
        <v>10629863.646240234</v>
      </c>
      <c r="AJ122" s="150">
        <f t="shared" si="53"/>
        <v>5072220.0230896557</v>
      </c>
      <c r="AK122" s="85">
        <f t="shared" si="54"/>
        <v>64687.091679807265</v>
      </c>
      <c r="AL122" s="85">
        <f t="shared" si="55"/>
        <v>164952.08378350851</v>
      </c>
      <c r="AM122" s="85">
        <f t="shared" si="47"/>
        <v>299941.10670093034</v>
      </c>
      <c r="AN122" s="85">
        <f t="shared" si="48"/>
        <v>147917.81630782594</v>
      </c>
      <c r="AO122" s="85">
        <f t="shared" si="56"/>
        <v>32343.545839903632</v>
      </c>
      <c r="AP122" s="85">
        <f t="shared" si="68"/>
        <v>46500.558215233643</v>
      </c>
      <c r="AQ122" s="84">
        <f t="shared" si="57"/>
        <v>756342.2025272093</v>
      </c>
      <c r="AR122" s="85">
        <f t="shared" si="58"/>
        <v>16171.772919951816</v>
      </c>
      <c r="AS122" s="84">
        <f t="shared" si="72"/>
        <v>30387.755000000001</v>
      </c>
      <c r="AT122" s="85">
        <f t="shared" si="59"/>
        <v>82513.795707383077</v>
      </c>
      <c r="AU122" s="84">
        <f t="shared" si="60"/>
        <v>5957635.5492441999</v>
      </c>
      <c r="AV122" s="84">
        <f t="shared" si="49"/>
        <v>4672228.0969960345</v>
      </c>
      <c r="AW122" s="453"/>
      <c r="AX122" s="93">
        <f t="shared" si="43"/>
        <v>40026</v>
      </c>
      <c r="BA122" s="315"/>
      <c r="BB122" s="134">
        <f t="shared" si="61"/>
        <v>91.699996948242188</v>
      </c>
      <c r="BC122" s="134">
        <f>'Curve Analysis - Base Case'!D114</f>
        <v>46.343695046502646</v>
      </c>
      <c r="BD122" s="131">
        <f t="shared" si="62"/>
        <v>7.4313491937627998E-2</v>
      </c>
      <c r="BE122" s="131">
        <f t="shared" si="63"/>
        <v>7.4313491937627998E-2</v>
      </c>
      <c r="BF122" s="365">
        <f>PJM_01212000!X122</f>
        <v>0.20031945975005178</v>
      </c>
      <c r="BG122" s="85">
        <f t="shared" si="64"/>
        <v>3452</v>
      </c>
      <c r="BH122" s="84">
        <f t="shared" si="65"/>
        <v>115920</v>
      </c>
      <c r="BJ122" s="537">
        <f>_xll.EURO(BB122,BC122,BD122,BE122,BF122,BG122,1,0)*BH122</f>
        <v>2755703.3041331223</v>
      </c>
      <c r="BK122" s="84">
        <f t="shared" si="66"/>
        <v>2772566.4639384872</v>
      </c>
      <c r="BM122" s="84">
        <f t="shared" si="67"/>
        <v>-16863.159805364907</v>
      </c>
    </row>
    <row r="123" spans="1:65">
      <c r="A123" s="78">
        <f t="shared" si="40"/>
        <v>117</v>
      </c>
      <c r="C123" s="78">
        <v>30</v>
      </c>
      <c r="D123" s="78" t="s">
        <v>69</v>
      </c>
      <c r="E123" s="113">
        <f t="shared" si="41"/>
        <v>40057</v>
      </c>
      <c r="F123" s="85">
        <f t="shared" si="37"/>
        <v>20</v>
      </c>
      <c r="G123" s="84">
        <f t="shared" si="73"/>
        <v>10</v>
      </c>
      <c r="H123" s="84"/>
      <c r="I123" s="84"/>
      <c r="J123" s="78">
        <f t="shared" si="42"/>
        <v>30</v>
      </c>
      <c r="K123" s="149">
        <v>40057</v>
      </c>
      <c r="L123" s="508">
        <v>7.4328474477551018E-2</v>
      </c>
      <c r="M123" s="509">
        <v>6.4223945233122012E-2</v>
      </c>
      <c r="N123" s="132">
        <f t="shared" si="39"/>
        <v>0.49572567477130808</v>
      </c>
      <c r="O123" s="133">
        <f>VLOOKUP(K123,Inflation!$B$8:$C$266,2)</f>
        <v>1.2966173395073477</v>
      </c>
      <c r="P123" s="132"/>
      <c r="Q123" s="134">
        <f>VLOOKUP(K123,'Fuel Curve'!$B$11:$F$268,5)</f>
        <v>4.6627586206896563</v>
      </c>
      <c r="R123" s="238">
        <f>VLOOKUP(K123,'Fuel Curve Simulation'!$B$12:$J$258,9)</f>
        <v>4.6627586206896563</v>
      </c>
      <c r="S123" s="134">
        <f t="shared" si="45"/>
        <v>44.664564827586219</v>
      </c>
      <c r="T123" s="136"/>
      <c r="V123" s="135">
        <f>VLOOKUP(K123,PJM_01212000!$A$7:$C$259,3)</f>
        <v>35.924998474121097</v>
      </c>
      <c r="W123" s="486"/>
      <c r="X123" s="118">
        <f>'PJM Curve Simulation'!J123</f>
        <v>35.924998474121097</v>
      </c>
      <c r="Y123" s="512"/>
      <c r="Z123" s="137"/>
      <c r="AA123" s="78">
        <f t="shared" si="44"/>
        <v>315</v>
      </c>
      <c r="AB123" s="85">
        <f t="shared" si="46"/>
        <v>100800</v>
      </c>
      <c r="AC123" s="85">
        <f>VLOOKUP(K123,'Company Volumes'!$B$20:$C$259,2)</f>
        <v>20645.007416260887</v>
      </c>
      <c r="AD123" s="153">
        <f t="shared" si="50"/>
        <v>0</v>
      </c>
      <c r="AE123" s="150"/>
      <c r="AF123" s="150">
        <v>0</v>
      </c>
      <c r="AG123" s="150">
        <v>0</v>
      </c>
      <c r="AH123" s="150">
        <f t="shared" si="51"/>
        <v>0</v>
      </c>
      <c r="AI123" s="150">
        <f t="shared" si="52"/>
        <v>0</v>
      </c>
      <c r="AJ123" s="150">
        <f t="shared" si="53"/>
        <v>0</v>
      </c>
      <c r="AK123" s="85">
        <f t="shared" si="54"/>
        <v>64830.866975367389</v>
      </c>
      <c r="AL123" s="85">
        <f t="shared" si="55"/>
        <v>165318.71078718684</v>
      </c>
      <c r="AM123" s="85">
        <f t="shared" si="47"/>
        <v>0</v>
      </c>
      <c r="AN123" s="85">
        <f t="shared" si="48"/>
        <v>148246.58248367344</v>
      </c>
      <c r="AO123" s="85">
        <f t="shared" si="56"/>
        <v>32415.433487683695</v>
      </c>
      <c r="AP123" s="85">
        <f t="shared" si="68"/>
        <v>46500.558215233643</v>
      </c>
      <c r="AQ123" s="84">
        <f t="shared" si="57"/>
        <v>457312.15194914502</v>
      </c>
      <c r="AR123" s="85">
        <f t="shared" si="58"/>
        <v>16207.716743841847</v>
      </c>
      <c r="AS123" s="84">
        <f t="shared" si="72"/>
        <v>30387.755000000001</v>
      </c>
      <c r="AT123" s="85">
        <f t="shared" si="59"/>
        <v>0</v>
      </c>
      <c r="AU123" s="84">
        <f t="shared" si="60"/>
        <v>503907.6236929869</v>
      </c>
      <c r="AV123" s="84">
        <f t="shared" si="49"/>
        <v>-503907.6236929869</v>
      </c>
      <c r="AW123" s="453"/>
      <c r="AX123" s="93">
        <f t="shared" si="43"/>
        <v>40057</v>
      </c>
      <c r="BA123" s="315"/>
      <c r="BB123" s="134">
        <f t="shared" si="61"/>
        <v>35.924998474121097</v>
      </c>
      <c r="BC123" s="134">
        <f>'Curve Analysis - Base Case'!D115</f>
        <v>47.257799506600911</v>
      </c>
      <c r="BD123" s="131">
        <f t="shared" si="62"/>
        <v>7.4328474477551018E-2</v>
      </c>
      <c r="BE123" s="131">
        <f t="shared" si="63"/>
        <v>7.4328474477551018E-2</v>
      </c>
      <c r="BF123" s="365">
        <f>PJM_01212000!X123</f>
        <v>0.12876365640499196</v>
      </c>
      <c r="BG123" s="85">
        <f t="shared" si="64"/>
        <v>3483</v>
      </c>
      <c r="BH123" s="84">
        <f t="shared" si="65"/>
        <v>0</v>
      </c>
      <c r="BJ123" s="537">
        <f>_xll.EURO(BB123,BC123,BD123,BE123,BF123,BG123,1,0)*BH123</f>
        <v>0</v>
      </c>
      <c r="BK123" s="84">
        <f t="shared" si="66"/>
        <v>0</v>
      </c>
      <c r="BM123" s="84">
        <f t="shared" si="67"/>
        <v>0</v>
      </c>
    </row>
    <row r="124" spans="1:65">
      <c r="A124" s="78">
        <f t="shared" si="40"/>
        <v>118</v>
      </c>
      <c r="C124" s="78">
        <v>31</v>
      </c>
      <c r="D124" s="78" t="s">
        <v>70</v>
      </c>
      <c r="E124" s="113">
        <f t="shared" si="41"/>
        <v>40087</v>
      </c>
      <c r="F124" s="85">
        <f t="shared" si="37"/>
        <v>23</v>
      </c>
      <c r="G124" s="84">
        <f t="shared" si="73"/>
        <v>8</v>
      </c>
      <c r="H124" s="84"/>
      <c r="I124" s="84"/>
      <c r="J124" s="78">
        <f t="shared" si="42"/>
        <v>31</v>
      </c>
      <c r="K124" s="149">
        <v>40087</v>
      </c>
      <c r="L124" s="508">
        <v>7.4342973709804E-2</v>
      </c>
      <c r="M124" s="509">
        <v>6.4108209889451012E-2</v>
      </c>
      <c r="N124" s="132">
        <f t="shared" si="39"/>
        <v>0.49269623736971191</v>
      </c>
      <c r="O124" s="133">
        <f>VLOOKUP(K124,Inflation!$B$8:$C$266,2)</f>
        <v>1.2994992365964735</v>
      </c>
      <c r="P124" s="132"/>
      <c r="Q124" s="134">
        <f>VLOOKUP(K124,'Fuel Curve'!$B$11:$F$268,5)</f>
        <v>4.7553448275862067</v>
      </c>
      <c r="R124" s="238">
        <f>VLOOKUP(K124,'Fuel Curve Simulation'!$B$12:$J$258,9)</f>
        <v>4.7553448275862067</v>
      </c>
      <c r="S124" s="134">
        <f t="shared" si="45"/>
        <v>45.551448103448273</v>
      </c>
      <c r="T124" s="136"/>
      <c r="V124" s="135">
        <f>VLOOKUP(K124,PJM_01212000!$A$7:$C$259,3)</f>
        <v>29.575000381469728</v>
      </c>
      <c r="W124" s="486"/>
      <c r="X124" s="118">
        <f>'PJM Curve Simulation'!J124</f>
        <v>29.575000381469728</v>
      </c>
      <c r="Y124" s="512"/>
      <c r="Z124" s="137"/>
      <c r="AA124" s="78">
        <f t="shared" si="44"/>
        <v>315</v>
      </c>
      <c r="AB124" s="85">
        <f t="shared" si="46"/>
        <v>115920</v>
      </c>
      <c r="AC124" s="85">
        <f>VLOOKUP(K124,'Company Volumes'!$B$20:$C$259,2)</f>
        <v>3645.9429178946666</v>
      </c>
      <c r="AD124" s="153">
        <f t="shared" si="50"/>
        <v>0</v>
      </c>
      <c r="AE124" s="150"/>
      <c r="AF124" s="150">
        <v>0</v>
      </c>
      <c r="AG124" s="150">
        <v>0</v>
      </c>
      <c r="AH124" s="150">
        <f t="shared" si="51"/>
        <v>0</v>
      </c>
      <c r="AI124" s="150">
        <f t="shared" si="52"/>
        <v>0</v>
      </c>
      <c r="AJ124" s="150">
        <f t="shared" si="53"/>
        <v>0</v>
      </c>
      <c r="AK124" s="85">
        <f t="shared" si="54"/>
        <v>64974.961829823675</v>
      </c>
      <c r="AL124" s="85">
        <f t="shared" si="55"/>
        <v>165686.15266605039</v>
      </c>
      <c r="AM124" s="85">
        <f t="shared" si="47"/>
        <v>0</v>
      </c>
      <c r="AN124" s="85">
        <f t="shared" si="48"/>
        <v>148576.07938419681</v>
      </c>
      <c r="AO124" s="85">
        <f t="shared" si="56"/>
        <v>32487.480914911837</v>
      </c>
      <c r="AP124" s="85">
        <f t="shared" si="68"/>
        <v>46500.558215233643</v>
      </c>
      <c r="AQ124" s="84">
        <f t="shared" si="57"/>
        <v>458225.23301021638</v>
      </c>
      <c r="AR124" s="85">
        <f t="shared" si="58"/>
        <v>16243.740457455919</v>
      </c>
      <c r="AS124" s="84">
        <f t="shared" si="72"/>
        <v>30387.755000000001</v>
      </c>
      <c r="AT124" s="85">
        <f t="shared" si="59"/>
        <v>0</v>
      </c>
      <c r="AU124" s="84">
        <f t="shared" si="60"/>
        <v>504856.72846767225</v>
      </c>
      <c r="AV124" s="84">
        <f t="shared" si="49"/>
        <v>-504856.72846767225</v>
      </c>
      <c r="AW124" s="453"/>
      <c r="AX124" s="93">
        <f t="shared" si="43"/>
        <v>40087</v>
      </c>
      <c r="BA124" s="315"/>
      <c r="BB124" s="134">
        <f t="shared" si="61"/>
        <v>29.575000381469728</v>
      </c>
      <c r="BC124" s="134">
        <f>'Curve Analysis - Base Case'!D116</f>
        <v>48.150446576641222</v>
      </c>
      <c r="BD124" s="131">
        <f t="shared" si="62"/>
        <v>7.4342973709804E-2</v>
      </c>
      <c r="BE124" s="131">
        <f t="shared" si="63"/>
        <v>7.4342973709804E-2</v>
      </c>
      <c r="BF124" s="365">
        <f>PJM_01212000!X124</f>
        <v>9.1054299886387177E-2</v>
      </c>
      <c r="BG124" s="85">
        <f t="shared" si="64"/>
        <v>3513</v>
      </c>
      <c r="BH124" s="84">
        <f t="shared" si="65"/>
        <v>0</v>
      </c>
      <c r="BJ124" s="537">
        <f>_xll.EURO(BB124,BC124,BD124,BE124,BF124,BG124,1,0)*BH124</f>
        <v>0</v>
      </c>
      <c r="BK124" s="84">
        <f t="shared" si="66"/>
        <v>0</v>
      </c>
      <c r="BM124" s="84">
        <f t="shared" si="67"/>
        <v>0</v>
      </c>
    </row>
    <row r="125" spans="1:65">
      <c r="A125" s="78">
        <f t="shared" si="40"/>
        <v>119</v>
      </c>
      <c r="C125" s="78">
        <v>30</v>
      </c>
      <c r="D125" s="78" t="s">
        <v>71</v>
      </c>
      <c r="E125" s="113">
        <f t="shared" si="41"/>
        <v>40118</v>
      </c>
      <c r="F125" s="85">
        <f t="shared" si="37"/>
        <v>22</v>
      </c>
      <c r="G125" s="84">
        <f t="shared" si="73"/>
        <v>8</v>
      </c>
      <c r="H125" s="84"/>
      <c r="I125" s="84"/>
      <c r="J125" s="78">
        <f t="shared" si="42"/>
        <v>30</v>
      </c>
      <c r="K125" s="149">
        <v>40118</v>
      </c>
      <c r="L125" s="508">
        <v>7.4357956249873014E-2</v>
      </c>
      <c r="M125" s="509">
        <v>6.3988616798981018E-2</v>
      </c>
      <c r="N125" s="132">
        <f t="shared" si="39"/>
        <v>0.48958408593606678</v>
      </c>
      <c r="O125" s="133">
        <f>VLOOKUP(K125,Inflation!$B$8:$C$266,2)</f>
        <v>1.3023875390687289</v>
      </c>
      <c r="P125" s="132"/>
      <c r="Q125" s="134">
        <f>VLOOKUP(K125,'Fuel Curve'!$B$11:$F$268,5)</f>
        <v>4.8046551724137938</v>
      </c>
      <c r="R125" s="238">
        <f>VLOOKUP(K125,'Fuel Curve Simulation'!$B$12:$J$258,9)</f>
        <v>4.8046551724137938</v>
      </c>
      <c r="S125" s="134">
        <f t="shared" si="45"/>
        <v>46.023791896551728</v>
      </c>
      <c r="T125" s="136"/>
      <c r="V125" s="135">
        <f>VLOOKUP(K125,PJM_01212000!$A$7:$C$259,3)</f>
        <v>29.247499084472658</v>
      </c>
      <c r="W125" s="486"/>
      <c r="X125" s="118">
        <f>'PJM Curve Simulation'!J125</f>
        <v>29.247499084472658</v>
      </c>
      <c r="Y125" s="512"/>
      <c r="Z125" s="137"/>
      <c r="AA125" s="78">
        <f t="shared" si="44"/>
        <v>315</v>
      </c>
      <c r="AB125" s="85">
        <f t="shared" si="46"/>
        <v>110880</v>
      </c>
      <c r="AC125" s="85">
        <f>VLOOKUP(K125,'Company Volumes'!$B$20:$C$259,2)</f>
        <v>8230.2170141955557</v>
      </c>
      <c r="AD125" s="153">
        <f t="shared" si="50"/>
        <v>0</v>
      </c>
      <c r="AE125" s="150"/>
      <c r="AF125" s="150">
        <v>0</v>
      </c>
      <c r="AG125" s="150">
        <v>0</v>
      </c>
      <c r="AH125" s="150">
        <f t="shared" si="51"/>
        <v>0</v>
      </c>
      <c r="AI125" s="150">
        <f t="shared" si="52"/>
        <v>0</v>
      </c>
      <c r="AJ125" s="150">
        <f t="shared" si="53"/>
        <v>0</v>
      </c>
      <c r="AK125" s="85">
        <f t="shared" si="54"/>
        <v>65119.376953436447</v>
      </c>
      <c r="AL125" s="85">
        <f t="shared" si="55"/>
        <v>166054.41123126293</v>
      </c>
      <c r="AM125" s="85">
        <f t="shared" si="47"/>
        <v>0</v>
      </c>
      <c r="AN125" s="85">
        <f t="shared" si="48"/>
        <v>148906.30863352466</v>
      </c>
      <c r="AO125" s="85">
        <f t="shared" si="56"/>
        <v>32559.688476718224</v>
      </c>
      <c r="AP125" s="85">
        <f t="shared" si="68"/>
        <v>46500.558215233643</v>
      </c>
      <c r="AQ125" s="84">
        <f t="shared" si="57"/>
        <v>459140.34351017594</v>
      </c>
      <c r="AR125" s="85">
        <f t="shared" si="58"/>
        <v>16279.844238359112</v>
      </c>
      <c r="AS125" s="84">
        <f t="shared" si="72"/>
        <v>30387.755000000001</v>
      </c>
      <c r="AT125" s="85">
        <f t="shared" si="59"/>
        <v>0</v>
      </c>
      <c r="AU125" s="84">
        <f t="shared" si="60"/>
        <v>505807.94274853508</v>
      </c>
      <c r="AV125" s="84">
        <f t="shared" si="49"/>
        <v>-505807.94274853508</v>
      </c>
      <c r="AW125" s="453"/>
      <c r="AX125" s="93">
        <f t="shared" si="43"/>
        <v>40118</v>
      </c>
      <c r="BA125" s="315"/>
      <c r="BB125" s="134">
        <f t="shared" si="61"/>
        <v>29.247499084472658</v>
      </c>
      <c r="BC125" s="134">
        <f>'Curve Analysis - Base Case'!D117</f>
        <v>48.628566974689186</v>
      </c>
      <c r="BD125" s="131">
        <f t="shared" si="62"/>
        <v>7.4357956249873014E-2</v>
      </c>
      <c r="BE125" s="131">
        <f t="shared" si="63"/>
        <v>7.4357956249873014E-2</v>
      </c>
      <c r="BF125" s="365">
        <f>PJM_01212000!X125</f>
        <v>9.1054299886387177E-2</v>
      </c>
      <c r="BG125" s="85">
        <f t="shared" si="64"/>
        <v>3544</v>
      </c>
      <c r="BH125" s="84">
        <f t="shared" si="65"/>
        <v>0</v>
      </c>
      <c r="BJ125" s="537">
        <f>_xll.EURO(BB125,BC125,BD125,BE125,BF125,BG125,1,0)*BH125</f>
        <v>0</v>
      </c>
      <c r="BK125" s="84">
        <f t="shared" si="66"/>
        <v>0</v>
      </c>
      <c r="BM125" s="84">
        <f t="shared" si="67"/>
        <v>0</v>
      </c>
    </row>
    <row r="126" spans="1:65">
      <c r="A126" s="78">
        <f t="shared" si="40"/>
        <v>120</v>
      </c>
      <c r="C126" s="78">
        <v>31</v>
      </c>
      <c r="D126" s="78" t="s">
        <v>72</v>
      </c>
      <c r="E126" s="113">
        <f t="shared" si="41"/>
        <v>40148</v>
      </c>
      <c r="F126" s="85">
        <f t="shared" si="37"/>
        <v>21</v>
      </c>
      <c r="G126" s="84">
        <f t="shared" si="73"/>
        <v>10</v>
      </c>
      <c r="H126" s="84">
        <f>SUM(F115:G126)</f>
        <v>365</v>
      </c>
      <c r="I126" s="84"/>
      <c r="J126" s="78">
        <f t="shared" si="42"/>
        <v>31</v>
      </c>
      <c r="K126" s="149">
        <v>40148</v>
      </c>
      <c r="L126" s="508">
        <v>7.4372455482268021E-2</v>
      </c>
      <c r="M126" s="509">
        <v>6.3872881644976023E-2</v>
      </c>
      <c r="N126" s="132">
        <f t="shared" si="39"/>
        <v>0.48658990934541541</v>
      </c>
      <c r="O126" s="133">
        <f>VLOOKUP(K126,Inflation!$B$8:$C$266,2)</f>
        <v>1.3052822611608936</v>
      </c>
      <c r="P126" s="132"/>
      <c r="Q126" s="134">
        <f>VLOOKUP(K126,'Fuel Curve'!$B$11:$F$268,5)</f>
        <v>4.8474137931034491</v>
      </c>
      <c r="R126" s="238">
        <f>VLOOKUP(K126,'Fuel Curve Simulation'!$B$12:$J$258,9)</f>
        <v>4.8474137931034491</v>
      </c>
      <c r="S126" s="134">
        <f t="shared" si="45"/>
        <v>46.433376724137936</v>
      </c>
      <c r="T126" s="136"/>
      <c r="V126" s="135">
        <f>VLOOKUP(K126,PJM_01212000!$A$7:$C$259,3)</f>
        <v>30.999999618530275</v>
      </c>
      <c r="W126" s="486"/>
      <c r="X126" s="118">
        <f>'PJM Curve Simulation'!J126</f>
        <v>30.999999618530275</v>
      </c>
      <c r="Y126" s="512"/>
      <c r="Z126" s="137"/>
      <c r="AA126" s="78">
        <f t="shared" si="44"/>
        <v>315</v>
      </c>
      <c r="AB126" s="85">
        <f t="shared" si="46"/>
        <v>105840</v>
      </c>
      <c r="AC126" s="85">
        <f>VLOOKUP(K126,'Company Volumes'!$B$20:$C$259,2)</f>
        <v>8230.2170141955557</v>
      </c>
      <c r="AD126" s="153">
        <f t="shared" si="50"/>
        <v>0</v>
      </c>
      <c r="AE126" s="150"/>
      <c r="AF126" s="150">
        <v>0</v>
      </c>
      <c r="AG126" s="150">
        <v>0</v>
      </c>
      <c r="AH126" s="150">
        <f t="shared" si="51"/>
        <v>0</v>
      </c>
      <c r="AI126" s="150">
        <f t="shared" si="52"/>
        <v>0</v>
      </c>
      <c r="AJ126" s="150">
        <f t="shared" si="53"/>
        <v>0</v>
      </c>
      <c r="AK126" s="85">
        <f t="shared" si="54"/>
        <v>65264.113058044684</v>
      </c>
      <c r="AL126" s="85">
        <f t="shared" si="55"/>
        <v>166423.48829801395</v>
      </c>
      <c r="AM126" s="85">
        <f t="shared" si="47"/>
        <v>0</v>
      </c>
      <c r="AN126" s="85">
        <f t="shared" si="48"/>
        <v>149237.27185939552</v>
      </c>
      <c r="AO126" s="85">
        <f t="shared" si="56"/>
        <v>32632.056529022342</v>
      </c>
      <c r="AP126" s="85">
        <f t="shared" si="68"/>
        <v>46500.558215233643</v>
      </c>
      <c r="AQ126" s="84">
        <f t="shared" si="57"/>
        <v>460057.48795971018</v>
      </c>
      <c r="AR126" s="85">
        <f t="shared" si="58"/>
        <v>16316.028264511171</v>
      </c>
      <c r="AS126" s="84">
        <f t="shared" si="72"/>
        <v>30387.755000000001</v>
      </c>
      <c r="AT126" s="85">
        <f t="shared" si="59"/>
        <v>0</v>
      </c>
      <c r="AU126" s="84">
        <f t="shared" si="60"/>
        <v>506761.27122422133</v>
      </c>
      <c r="AV126" s="84">
        <f t="shared" si="49"/>
        <v>-506761.27122422133</v>
      </c>
      <c r="AW126" s="453"/>
      <c r="AX126" s="93">
        <f t="shared" si="43"/>
        <v>40148</v>
      </c>
      <c r="AY126" s="85">
        <f ca="1">'Debt Amortization'!Q8</f>
        <v>4645411.0599928489</v>
      </c>
      <c r="AZ126" s="85">
        <f ca="1">AY126*N126</f>
        <v>2260410.1465541106</v>
      </c>
      <c r="BA126" s="315"/>
      <c r="BB126" s="134">
        <f t="shared" si="61"/>
        <v>30.999999618530275</v>
      </c>
      <c r="BC126" s="134">
        <f>'Curve Analysis - Base Case'!D118</f>
        <v>49.043941246459724</v>
      </c>
      <c r="BD126" s="131">
        <f t="shared" si="62"/>
        <v>7.4372455482268021E-2</v>
      </c>
      <c r="BE126" s="131">
        <f t="shared" si="63"/>
        <v>7.4372455482268021E-2</v>
      </c>
      <c r="BF126" s="365">
        <f>PJM_01212000!X126</f>
        <v>9.1054299886387177E-2</v>
      </c>
      <c r="BG126" s="85">
        <f t="shared" si="64"/>
        <v>3574</v>
      </c>
      <c r="BH126" s="84">
        <f t="shared" si="65"/>
        <v>0</v>
      </c>
      <c r="BJ126" s="537">
        <f>_xll.EURO(BB126,BC126,BD126,BE126,BF126,BG126,1,0)*BH126</f>
        <v>0</v>
      </c>
      <c r="BK126" s="84">
        <f t="shared" si="66"/>
        <v>0</v>
      </c>
      <c r="BM126" s="84">
        <f t="shared" si="67"/>
        <v>0</v>
      </c>
    </row>
    <row r="127" spans="1:65">
      <c r="A127" s="78">
        <f t="shared" si="40"/>
        <v>121</v>
      </c>
      <c r="C127" s="78">
        <v>31</v>
      </c>
      <c r="D127" s="78" t="s">
        <v>62</v>
      </c>
      <c r="E127" s="113">
        <f t="shared" si="41"/>
        <v>40179</v>
      </c>
      <c r="F127" s="85">
        <f t="shared" si="37"/>
        <v>23</v>
      </c>
      <c r="G127" s="84">
        <f>C127-F127</f>
        <v>8</v>
      </c>
      <c r="H127" s="84"/>
      <c r="I127" s="84"/>
      <c r="J127" s="78">
        <f t="shared" si="42"/>
        <v>31</v>
      </c>
      <c r="K127" s="149">
        <v>40179</v>
      </c>
      <c r="L127" s="508">
        <v>7.438743802248203E-2</v>
      </c>
      <c r="M127" s="509">
        <v>6.3753288750505011E-2</v>
      </c>
      <c r="N127" s="132">
        <f t="shared" si="39"/>
        <v>0.48351399697489028</v>
      </c>
      <c r="O127" s="133">
        <f>VLOOKUP(K127,Inflation!$B$8:$C$266,2)</f>
        <v>1.3081834171413902</v>
      </c>
      <c r="P127" s="132"/>
      <c r="Q127" s="134">
        <f>VLOOKUP(K127,'Fuel Curve'!$B$11:$F$268,5)</f>
        <v>4.7901724137931048</v>
      </c>
      <c r="R127" s="238">
        <f>VLOOKUP(K127,'Fuel Curve Simulation'!$B$12:$J$258,9)</f>
        <v>4.7901724137931048</v>
      </c>
      <c r="S127" s="134">
        <f t="shared" si="45"/>
        <v>45.885061551724156</v>
      </c>
      <c r="T127" s="136"/>
      <c r="V127" s="135">
        <f>VLOOKUP(K127,PJM_01212000!$A$7:$C$259,3)</f>
        <v>39.824998474121088</v>
      </c>
      <c r="W127" s="486"/>
      <c r="X127" s="118">
        <f>'PJM Curve Simulation'!J127</f>
        <v>39.824998474121088</v>
      </c>
      <c r="Y127" s="512"/>
      <c r="Z127" s="137"/>
      <c r="AA127" s="78">
        <f t="shared" si="44"/>
        <v>315</v>
      </c>
      <c r="AB127" s="85">
        <f t="shared" si="46"/>
        <v>115920</v>
      </c>
      <c r="AC127" s="85">
        <f>VLOOKUP(K127,'Company Volumes'!$B$20:$C$259,2)</f>
        <v>16153.385273371108</v>
      </c>
      <c r="AD127" s="153">
        <f t="shared" si="50"/>
        <v>0</v>
      </c>
      <c r="AE127" s="150"/>
      <c r="AF127" s="150">
        <v>0</v>
      </c>
      <c r="AG127" s="150">
        <v>0</v>
      </c>
      <c r="AH127" s="150">
        <f t="shared" si="51"/>
        <v>0</v>
      </c>
      <c r="AI127" s="150">
        <f t="shared" si="52"/>
        <v>0</v>
      </c>
      <c r="AJ127" s="150">
        <f t="shared" si="53"/>
        <v>0</v>
      </c>
      <c r="AK127" s="85">
        <f t="shared" si="54"/>
        <v>65409.170857069512</v>
      </c>
      <c r="AL127" s="85">
        <f t="shared" si="55"/>
        <v>166793.38568552726</v>
      </c>
      <c r="AM127" s="85">
        <f t="shared" si="47"/>
        <v>0</v>
      </c>
      <c r="AN127" s="85">
        <f t="shared" si="48"/>
        <v>149568.97069316561</v>
      </c>
      <c r="AO127" s="85">
        <f t="shared" si="56"/>
        <v>32704.585428534756</v>
      </c>
      <c r="AP127" s="85">
        <f t="shared" si="68"/>
        <v>46500.558215233643</v>
      </c>
      <c r="AQ127" s="84">
        <f t="shared" si="57"/>
        <v>460976.67087953084</v>
      </c>
      <c r="AR127" s="85">
        <f t="shared" si="58"/>
        <v>16352.292714267378</v>
      </c>
      <c r="AS127" s="84">
        <f t="shared" si="72"/>
        <v>30387.755000000001</v>
      </c>
      <c r="AT127" s="85">
        <f t="shared" si="59"/>
        <v>0</v>
      </c>
      <c r="AU127" s="84">
        <f t="shared" si="60"/>
        <v>507716.71859379823</v>
      </c>
      <c r="AV127" s="84">
        <f t="shared" si="49"/>
        <v>-507716.71859379823</v>
      </c>
      <c r="AW127" s="453"/>
      <c r="AX127" s="93">
        <f t="shared" si="43"/>
        <v>40179</v>
      </c>
      <c r="BA127" s="315"/>
      <c r="BB127" s="134">
        <f t="shared" si="61"/>
        <v>39.824998474121088</v>
      </c>
      <c r="BC127" s="134">
        <f>'Curve Analysis - Base Case'!D119</f>
        <v>48.501428386006936</v>
      </c>
      <c r="BD127" s="131">
        <f t="shared" si="62"/>
        <v>7.438743802248203E-2</v>
      </c>
      <c r="BE127" s="131">
        <f t="shared" si="63"/>
        <v>7.438743802248203E-2</v>
      </c>
      <c r="BF127" s="365">
        <f>PJM_01212000!X127</f>
        <v>0.13985940462549071</v>
      </c>
      <c r="BG127" s="85">
        <f t="shared" si="64"/>
        <v>3605</v>
      </c>
      <c r="BH127" s="84">
        <f t="shared" si="65"/>
        <v>0</v>
      </c>
      <c r="BJ127" s="537">
        <f>_xll.EURO(BB127,BC127,BD127,BE127,BF127,BG127,1,0)*BH127</f>
        <v>0</v>
      </c>
      <c r="BK127" s="84">
        <f t="shared" si="66"/>
        <v>0</v>
      </c>
      <c r="BM127" s="84">
        <f t="shared" si="67"/>
        <v>0</v>
      </c>
    </row>
    <row r="128" spans="1:65">
      <c r="A128" s="78">
        <f t="shared" si="40"/>
        <v>122</v>
      </c>
      <c r="C128" s="78">
        <v>28</v>
      </c>
      <c r="D128" s="78" t="s">
        <v>63</v>
      </c>
      <c r="E128" s="113">
        <f t="shared" si="41"/>
        <v>40210</v>
      </c>
      <c r="F128" s="85">
        <f t="shared" si="37"/>
        <v>20</v>
      </c>
      <c r="G128" s="84">
        <f t="shared" ref="G128:G138" si="74">C128-F128</f>
        <v>8</v>
      </c>
      <c r="H128" s="84"/>
      <c r="I128" s="84"/>
      <c r="J128" s="78">
        <f t="shared" si="42"/>
        <v>28</v>
      </c>
      <c r="K128" s="149">
        <v>40210</v>
      </c>
      <c r="L128" s="508">
        <v>7.4402420562771021E-2</v>
      </c>
      <c r="M128" s="509">
        <v>6.3633695955649008E-2</v>
      </c>
      <c r="N128" s="132">
        <f t="shared" si="39"/>
        <v>0.48045635096898015</v>
      </c>
      <c r="O128" s="133">
        <f>VLOOKUP(K128,Inflation!$B$8:$C$266,2)</f>
        <v>1.3110910213103539</v>
      </c>
      <c r="P128" s="132"/>
      <c r="Q128" s="134">
        <f>VLOOKUP(K128,'Fuel Curve'!$B$11:$F$268,5)</f>
        <v>4.6910344827586217</v>
      </c>
      <c r="R128" s="238">
        <f>VLOOKUP(K128,'Fuel Curve Simulation'!$B$12:$J$258,9)</f>
        <v>4.6910344827586217</v>
      </c>
      <c r="S128" s="134">
        <f t="shared" si="45"/>
        <v>44.935419310344834</v>
      </c>
      <c r="T128" s="136"/>
      <c r="V128" s="135">
        <f>VLOOKUP(K128,PJM_01212000!$A$7:$C$259,3)</f>
        <v>39.824998474121088</v>
      </c>
      <c r="W128" s="486"/>
      <c r="X128" s="118">
        <f>'PJM Curve Simulation'!J128</f>
        <v>39.824998474121088</v>
      </c>
      <c r="Y128" s="512"/>
      <c r="Z128" s="137"/>
      <c r="AA128" s="78">
        <f t="shared" si="44"/>
        <v>315</v>
      </c>
      <c r="AB128" s="85">
        <f t="shared" si="46"/>
        <v>100800</v>
      </c>
      <c r="AC128" s="85">
        <f>VLOOKUP(K128,'Company Volumes'!$B$20:$C$259,2)</f>
        <v>688.89185384444443</v>
      </c>
      <c r="AD128" s="153">
        <f t="shared" si="50"/>
        <v>0</v>
      </c>
      <c r="AE128" s="150"/>
      <c r="AF128" s="150">
        <v>0</v>
      </c>
      <c r="AG128" s="150">
        <v>0</v>
      </c>
      <c r="AH128" s="150">
        <f t="shared" si="51"/>
        <v>0</v>
      </c>
      <c r="AI128" s="150">
        <f t="shared" si="52"/>
        <v>0</v>
      </c>
      <c r="AJ128" s="150">
        <f t="shared" si="53"/>
        <v>0</v>
      </c>
      <c r="AK128" s="85">
        <f t="shared" si="54"/>
        <v>65554.551065517691</v>
      </c>
      <c r="AL128" s="85">
        <f t="shared" si="55"/>
        <v>167164.10521707012</v>
      </c>
      <c r="AM128" s="85">
        <f t="shared" si="47"/>
        <v>0</v>
      </c>
      <c r="AN128" s="85">
        <f t="shared" si="48"/>
        <v>149901.40676981714</v>
      </c>
      <c r="AO128" s="85">
        <f t="shared" si="56"/>
        <v>32777.275532758846</v>
      </c>
      <c r="AP128" s="85">
        <f t="shared" si="68"/>
        <v>46500.558215233643</v>
      </c>
      <c r="AQ128" s="84">
        <f t="shared" si="57"/>
        <v>461897.89680039743</v>
      </c>
      <c r="AR128" s="85">
        <f t="shared" si="58"/>
        <v>16388.637766379423</v>
      </c>
      <c r="AS128" s="84">
        <f t="shared" si="72"/>
        <v>30387.755000000001</v>
      </c>
      <c r="AT128" s="85">
        <f t="shared" si="59"/>
        <v>0</v>
      </c>
      <c r="AU128" s="84">
        <f t="shared" si="60"/>
        <v>508674.28956677683</v>
      </c>
      <c r="AV128" s="84">
        <f t="shared" si="49"/>
        <v>-508674.28956677683</v>
      </c>
      <c r="AW128" s="453"/>
      <c r="AX128" s="93">
        <f t="shared" si="43"/>
        <v>40210</v>
      </c>
      <c r="BA128" s="315"/>
      <c r="BB128" s="134">
        <f t="shared" si="61"/>
        <v>39.824998474121088</v>
      </c>
      <c r="BC128" s="134">
        <f>'Curve Analysis - Base Case'!D120</f>
        <v>47.557601352965541</v>
      </c>
      <c r="BD128" s="131">
        <f t="shared" si="62"/>
        <v>7.4402420562771021E-2</v>
      </c>
      <c r="BE128" s="131">
        <f t="shared" si="63"/>
        <v>7.4402420562771021E-2</v>
      </c>
      <c r="BF128" s="365">
        <f>PJM_01212000!X128</f>
        <v>0.13985940462549071</v>
      </c>
      <c r="BG128" s="85">
        <f t="shared" si="64"/>
        <v>3636</v>
      </c>
      <c r="BH128" s="84">
        <f t="shared" si="65"/>
        <v>0</v>
      </c>
      <c r="BJ128" s="537">
        <f>_xll.EURO(BB128,BC128,BD128,BE128,BF128,BG128,1,0)*BH128</f>
        <v>0</v>
      </c>
      <c r="BK128" s="84">
        <f t="shared" si="66"/>
        <v>0</v>
      </c>
      <c r="BM128" s="84">
        <f t="shared" si="67"/>
        <v>0</v>
      </c>
    </row>
    <row r="129" spans="1:65">
      <c r="A129" s="78">
        <f t="shared" si="40"/>
        <v>123</v>
      </c>
      <c r="C129" s="78">
        <v>31</v>
      </c>
      <c r="D129" s="78" t="s">
        <v>64</v>
      </c>
      <c r="E129" s="113">
        <f t="shared" si="41"/>
        <v>40238</v>
      </c>
      <c r="F129" s="85">
        <f t="shared" si="37"/>
        <v>21</v>
      </c>
      <c r="G129" s="84">
        <f t="shared" si="74"/>
        <v>10</v>
      </c>
      <c r="H129" s="84"/>
      <c r="I129" s="84"/>
      <c r="J129" s="78">
        <f t="shared" si="42"/>
        <v>31</v>
      </c>
      <c r="K129" s="149">
        <v>40238</v>
      </c>
      <c r="L129" s="508">
        <v>7.4415953179869029E-2</v>
      </c>
      <c r="M129" s="509">
        <v>6.3606092618865004E-2</v>
      </c>
      <c r="N129" s="132">
        <f t="shared" si="39"/>
        <v>0.47771022286491061</v>
      </c>
      <c r="O129" s="133">
        <f>VLOOKUP(K129,Inflation!$B$8:$C$266,2)</f>
        <v>1.3140050879997049</v>
      </c>
      <c r="P129" s="132"/>
      <c r="Q129" s="134">
        <f>VLOOKUP(K129,'Fuel Curve'!$B$11:$F$268,5)</f>
        <v>4.5939655172413802</v>
      </c>
      <c r="R129" s="238">
        <f>VLOOKUP(K129,'Fuel Curve Simulation'!$B$12:$J$258,9)</f>
        <v>4.5939655172413802</v>
      </c>
      <c r="S129" s="134">
        <f t="shared" si="45"/>
        <v>44.005595689655181</v>
      </c>
      <c r="T129" s="136"/>
      <c r="V129" s="135">
        <f>VLOOKUP(K129,PJM_01212000!$A$7:$C$259,3)</f>
        <v>29.550000762939455</v>
      </c>
      <c r="W129" s="486"/>
      <c r="X129" s="118">
        <f>'PJM Curve Simulation'!J129</f>
        <v>29.550000762939455</v>
      </c>
      <c r="Y129" s="512"/>
      <c r="Z129" s="137"/>
      <c r="AA129" s="78">
        <f t="shared" si="44"/>
        <v>315</v>
      </c>
      <c r="AB129" s="85">
        <f t="shared" si="46"/>
        <v>105840</v>
      </c>
      <c r="AC129" s="85">
        <f>VLOOKUP(K129,'Company Volumes'!$B$20:$C$259,2)</f>
        <v>688.89185384444443</v>
      </c>
      <c r="AD129" s="153">
        <f t="shared" si="50"/>
        <v>0</v>
      </c>
      <c r="AE129" s="150"/>
      <c r="AF129" s="150">
        <v>0</v>
      </c>
      <c r="AG129" s="150">
        <v>0</v>
      </c>
      <c r="AH129" s="150">
        <f t="shared" si="51"/>
        <v>0</v>
      </c>
      <c r="AI129" s="150">
        <f t="shared" si="52"/>
        <v>0</v>
      </c>
      <c r="AJ129" s="150">
        <f t="shared" si="53"/>
        <v>0</v>
      </c>
      <c r="AK129" s="85">
        <f t="shared" si="54"/>
        <v>65700.25439998525</v>
      </c>
      <c r="AL129" s="85">
        <f t="shared" si="55"/>
        <v>167535.64871996237</v>
      </c>
      <c r="AM129" s="85">
        <f t="shared" si="47"/>
        <v>0</v>
      </c>
      <c r="AN129" s="85">
        <f t="shared" si="48"/>
        <v>150234.58172796629</v>
      </c>
      <c r="AO129" s="85">
        <f t="shared" si="56"/>
        <v>32850.127199992625</v>
      </c>
      <c r="AP129" s="85">
        <f t="shared" si="68"/>
        <v>46500.558215233643</v>
      </c>
      <c r="AQ129" s="84">
        <f t="shared" si="57"/>
        <v>462821.17026314011</v>
      </c>
      <c r="AR129" s="85">
        <f t="shared" si="58"/>
        <v>16425.063599996312</v>
      </c>
      <c r="AS129" s="84">
        <f t="shared" si="72"/>
        <v>30387.755000000001</v>
      </c>
      <c r="AT129" s="85">
        <f t="shared" si="59"/>
        <v>0</v>
      </c>
      <c r="AU129" s="84">
        <f t="shared" si="60"/>
        <v>509633.98886313639</v>
      </c>
      <c r="AV129" s="84">
        <f t="shared" si="49"/>
        <v>-509633.98886313639</v>
      </c>
      <c r="AW129" s="453"/>
      <c r="AX129" s="93">
        <f t="shared" si="43"/>
        <v>40238</v>
      </c>
      <c r="BA129" s="315"/>
      <c r="BB129" s="134">
        <f t="shared" si="61"/>
        <v>29.550000762939455</v>
      </c>
      <c r="BC129" s="134">
        <f>'Curve Analysis - Base Case'!D121</f>
        <v>46.633605865654587</v>
      </c>
      <c r="BD129" s="131">
        <f t="shared" si="62"/>
        <v>7.4415953179869029E-2</v>
      </c>
      <c r="BE129" s="131">
        <f t="shared" si="63"/>
        <v>7.4415953179869029E-2</v>
      </c>
      <c r="BF129" s="365">
        <f>PJM_01212000!X129</f>
        <v>0.11654950385457558</v>
      </c>
      <c r="BG129" s="85">
        <f t="shared" si="64"/>
        <v>3664</v>
      </c>
      <c r="BH129" s="84">
        <f t="shared" si="65"/>
        <v>0</v>
      </c>
      <c r="BJ129" s="537">
        <f>_xll.EURO(BB129,BC129,BD129,BE129,BF129,BG129,1,0)*BH129</f>
        <v>0</v>
      </c>
      <c r="BK129" s="84">
        <f t="shared" si="66"/>
        <v>0</v>
      </c>
      <c r="BM129" s="84">
        <f t="shared" si="67"/>
        <v>0</v>
      </c>
    </row>
    <row r="130" spans="1:65">
      <c r="A130" s="78">
        <f t="shared" si="40"/>
        <v>124</v>
      </c>
      <c r="C130" s="78">
        <v>30</v>
      </c>
      <c r="D130" s="78" t="s">
        <v>65</v>
      </c>
      <c r="E130" s="113">
        <f t="shared" si="41"/>
        <v>40269</v>
      </c>
      <c r="F130" s="85">
        <f t="shared" si="37"/>
        <v>22</v>
      </c>
      <c r="G130" s="84">
        <f t="shared" si="74"/>
        <v>8</v>
      </c>
      <c r="H130" s="84"/>
      <c r="I130" s="84"/>
      <c r="J130" s="78">
        <f t="shared" si="42"/>
        <v>30</v>
      </c>
      <c r="K130" s="149">
        <v>40269</v>
      </c>
      <c r="L130" s="508">
        <v>7.4415331083391018E-2</v>
      </c>
      <c r="M130" s="509">
        <v>6.3617704784620019E-2</v>
      </c>
      <c r="N130" s="132">
        <f t="shared" si="39"/>
        <v>0.47475988376968126</v>
      </c>
      <c r="O130" s="133">
        <f>VLOOKUP(K130,Inflation!$B$8:$C$266,2)</f>
        <v>1.3169256315732172</v>
      </c>
      <c r="P130" s="132"/>
      <c r="Q130" s="134">
        <f>VLOOKUP(K130,'Fuel Curve'!$B$11:$F$268,5)</f>
        <v>4.4939655172413797</v>
      </c>
      <c r="R130" s="238">
        <f>VLOOKUP(K130,'Fuel Curve Simulation'!$B$12:$J$258,9)</f>
        <v>4.4939655172413797</v>
      </c>
      <c r="S130" s="134">
        <f t="shared" si="45"/>
        <v>43.047695689655178</v>
      </c>
      <c r="T130" s="136"/>
      <c r="V130" s="135">
        <f>VLOOKUP(K130,PJM_01212000!$A$7:$C$259,3)</f>
        <v>29.325000762939453</v>
      </c>
      <c r="W130" s="486"/>
      <c r="X130" s="118">
        <f>'PJM Curve Simulation'!J130</f>
        <v>29.325000762939453</v>
      </c>
      <c r="Y130" s="512"/>
      <c r="Z130" s="137"/>
      <c r="AA130" s="78">
        <f t="shared" si="44"/>
        <v>315</v>
      </c>
      <c r="AB130" s="85">
        <f t="shared" si="46"/>
        <v>110880</v>
      </c>
      <c r="AC130" s="85">
        <f>VLOOKUP(K130,'Company Volumes'!$B$20:$C$259,2)</f>
        <v>9049.5044936551094</v>
      </c>
      <c r="AD130" s="153">
        <f t="shared" si="50"/>
        <v>0</v>
      </c>
      <c r="AE130" s="150"/>
      <c r="AF130" s="150">
        <v>0</v>
      </c>
      <c r="AG130" s="150">
        <v>0</v>
      </c>
      <c r="AH130" s="150">
        <f t="shared" si="51"/>
        <v>0</v>
      </c>
      <c r="AI130" s="150">
        <f t="shared" si="52"/>
        <v>0</v>
      </c>
      <c r="AJ130" s="150">
        <f t="shared" si="53"/>
        <v>0</v>
      </c>
      <c r="AK130" s="85">
        <f t="shared" si="54"/>
        <v>65846.281578660855</v>
      </c>
      <c r="AL130" s="85">
        <f t="shared" si="55"/>
        <v>167908.01802558519</v>
      </c>
      <c r="AM130" s="85">
        <f t="shared" si="47"/>
        <v>0</v>
      </c>
      <c r="AN130" s="85">
        <f t="shared" si="48"/>
        <v>150568.49720987116</v>
      </c>
      <c r="AO130" s="85">
        <f t="shared" si="56"/>
        <v>32923.140789330428</v>
      </c>
      <c r="AP130" s="85">
        <f t="shared" si="68"/>
        <v>46500.558215233643</v>
      </c>
      <c r="AQ130" s="84">
        <f t="shared" si="57"/>
        <v>463746.49581868132</v>
      </c>
      <c r="AR130" s="85">
        <f t="shared" si="58"/>
        <v>16461.570394665214</v>
      </c>
      <c r="AS130" s="84">
        <f t="shared" si="72"/>
        <v>30387.755000000001</v>
      </c>
      <c r="AT130" s="85">
        <f t="shared" si="59"/>
        <v>0</v>
      </c>
      <c r="AU130" s="84">
        <f t="shared" si="60"/>
        <v>510595.82121334656</v>
      </c>
      <c r="AV130" s="84">
        <f t="shared" si="49"/>
        <v>-510595.82121334656</v>
      </c>
      <c r="AW130" s="453"/>
      <c r="AX130" s="93">
        <f t="shared" si="43"/>
        <v>40269</v>
      </c>
      <c r="BA130" s="315"/>
      <c r="BB130" s="134">
        <f t="shared" si="61"/>
        <v>29.325000762939453</v>
      </c>
      <c r="BC130" s="134">
        <f>'Curve Analysis - Base Case'!D122</f>
        <v>45.681546952801611</v>
      </c>
      <c r="BD130" s="131">
        <f t="shared" si="62"/>
        <v>7.4415331083391018E-2</v>
      </c>
      <c r="BE130" s="131">
        <f t="shared" si="63"/>
        <v>7.4415331083391018E-2</v>
      </c>
      <c r="BF130" s="365">
        <f>PJM_01212000!X130</f>
        <v>0.11072202866184681</v>
      </c>
      <c r="BG130" s="85">
        <f t="shared" si="64"/>
        <v>3695</v>
      </c>
      <c r="BH130" s="84">
        <f t="shared" si="65"/>
        <v>0</v>
      </c>
      <c r="BJ130" s="537">
        <f>_xll.EURO(BB130,BC130,BD130,BE130,BF130,BG130,1,0)*BH130</f>
        <v>0</v>
      </c>
      <c r="BK130" s="84">
        <f t="shared" si="66"/>
        <v>0</v>
      </c>
      <c r="BM130" s="84">
        <f t="shared" si="67"/>
        <v>0</v>
      </c>
    </row>
    <row r="131" spans="1:65">
      <c r="A131" s="78">
        <f t="shared" si="40"/>
        <v>125</v>
      </c>
      <c r="C131" s="78">
        <v>31</v>
      </c>
      <c r="D131" s="78" t="s">
        <v>38</v>
      </c>
      <c r="E131" s="113">
        <f t="shared" si="41"/>
        <v>40299</v>
      </c>
      <c r="F131" s="85">
        <f t="shared" si="37"/>
        <v>23</v>
      </c>
      <c r="G131" s="84">
        <f t="shared" si="74"/>
        <v>8</v>
      </c>
      <c r="H131" s="84"/>
      <c r="I131" s="84"/>
      <c r="J131" s="78">
        <f t="shared" si="42"/>
        <v>31</v>
      </c>
      <c r="K131" s="149">
        <v>40299</v>
      </c>
      <c r="L131" s="508">
        <v>7.4410324519944018E-2</v>
      </c>
      <c r="M131" s="509">
        <v>6.362894236527801E-2</v>
      </c>
      <c r="N131" s="132">
        <f t="shared" si="39"/>
        <v>0.4719427106093031</v>
      </c>
      <c r="O131" s="133">
        <f>VLOOKUP(K131,Inflation!$B$8:$C$266,2)</f>
        <v>1.3198526664265904</v>
      </c>
      <c r="P131" s="132"/>
      <c r="Q131" s="134">
        <f>VLOOKUP(K131,'Fuel Curve'!$B$11:$F$268,5)</f>
        <v>4.4267241379310347</v>
      </c>
      <c r="R131" s="238">
        <f>VLOOKUP(K131,'Fuel Curve Simulation'!$B$12:$J$258,9)</f>
        <v>4.4267241379310347</v>
      </c>
      <c r="S131" s="134">
        <f t="shared" si="45"/>
        <v>42.403590517241383</v>
      </c>
      <c r="T131" s="136"/>
      <c r="V131" s="135">
        <f>VLOOKUP(K131,PJM_01212000!$A$7:$C$259,3)</f>
        <v>37.325000000000003</v>
      </c>
      <c r="W131" s="486"/>
      <c r="X131" s="118">
        <f>'PJM Curve Simulation'!J131</f>
        <v>37.325000000000003</v>
      </c>
      <c r="Y131" s="512"/>
      <c r="Z131" s="137"/>
      <c r="AA131" s="78">
        <f t="shared" si="44"/>
        <v>315</v>
      </c>
      <c r="AB131" s="85">
        <f t="shared" si="46"/>
        <v>115920</v>
      </c>
      <c r="AC131" s="85">
        <f>VLOOKUP(K131,'Company Volumes'!$B$20:$C$259,2)</f>
        <v>16716.802065064887</v>
      </c>
      <c r="AD131" s="153">
        <f t="shared" si="50"/>
        <v>0</v>
      </c>
      <c r="AE131" s="150"/>
      <c r="AF131" s="150">
        <v>0</v>
      </c>
      <c r="AG131" s="150">
        <v>0</v>
      </c>
      <c r="AH131" s="150">
        <f t="shared" si="51"/>
        <v>0</v>
      </c>
      <c r="AI131" s="150">
        <f t="shared" si="52"/>
        <v>0</v>
      </c>
      <c r="AJ131" s="150">
        <f t="shared" si="53"/>
        <v>0</v>
      </c>
      <c r="AK131" s="85">
        <f t="shared" si="54"/>
        <v>65992.633321329515</v>
      </c>
      <c r="AL131" s="85">
        <f t="shared" si="55"/>
        <v>168281.21496939028</v>
      </c>
      <c r="AM131" s="85">
        <f t="shared" si="47"/>
        <v>0</v>
      </c>
      <c r="AN131" s="85">
        <f t="shared" si="48"/>
        <v>150903.15486144018</v>
      </c>
      <c r="AO131" s="85">
        <f t="shared" si="56"/>
        <v>32996.316660664757</v>
      </c>
      <c r="AP131" s="85">
        <f t="shared" si="68"/>
        <v>46500.558215233643</v>
      </c>
      <c r="AQ131" s="84">
        <f t="shared" si="57"/>
        <v>464673.87802805833</v>
      </c>
      <c r="AR131" s="85">
        <f t="shared" si="58"/>
        <v>16498.158330332379</v>
      </c>
      <c r="AS131" s="84">
        <f t="shared" si="72"/>
        <v>30387.755000000001</v>
      </c>
      <c r="AT131" s="85">
        <f t="shared" si="59"/>
        <v>0</v>
      </c>
      <c r="AU131" s="84">
        <f t="shared" si="60"/>
        <v>511559.79135839071</v>
      </c>
      <c r="AV131" s="84">
        <f t="shared" si="49"/>
        <v>-511559.79135839071</v>
      </c>
      <c r="AW131" s="453"/>
      <c r="AX131" s="93">
        <f t="shared" si="43"/>
        <v>40299</v>
      </c>
      <c r="BA131" s="315"/>
      <c r="BB131" s="134">
        <f t="shared" si="61"/>
        <v>37.325000000000003</v>
      </c>
      <c r="BC131" s="134">
        <f>'Curve Analysis - Base Case'!D123</f>
        <v>45.043295850094566</v>
      </c>
      <c r="BD131" s="131">
        <f t="shared" si="62"/>
        <v>7.4410324519944018E-2</v>
      </c>
      <c r="BE131" s="131">
        <f t="shared" si="63"/>
        <v>7.4410324519944018E-2</v>
      </c>
      <c r="BF131" s="365">
        <f>PJM_01212000!X131</f>
        <v>0.12237697904730435</v>
      </c>
      <c r="BG131" s="85">
        <f t="shared" si="64"/>
        <v>3725</v>
      </c>
      <c r="BH131" s="84">
        <f t="shared" si="65"/>
        <v>0</v>
      </c>
      <c r="BJ131" s="537">
        <f>_xll.EURO(BB131,BC131,BD131,BE131,BF131,BG131,1,0)*BH131</f>
        <v>0</v>
      </c>
      <c r="BK131" s="84">
        <f t="shared" si="66"/>
        <v>0</v>
      </c>
      <c r="BM131" s="84">
        <f t="shared" si="67"/>
        <v>0</v>
      </c>
    </row>
    <row r="132" spans="1:65">
      <c r="A132" s="78">
        <f t="shared" si="40"/>
        <v>126</v>
      </c>
      <c r="C132" s="78">
        <v>30</v>
      </c>
      <c r="D132" s="78" t="s">
        <v>66</v>
      </c>
      <c r="E132" s="113">
        <f t="shared" si="41"/>
        <v>40330</v>
      </c>
      <c r="F132" s="85">
        <f t="shared" ref="F132:F195" si="75">F84</f>
        <v>20</v>
      </c>
      <c r="G132" s="84">
        <f t="shared" si="74"/>
        <v>10</v>
      </c>
      <c r="H132" s="84"/>
      <c r="I132" s="84"/>
      <c r="J132" s="78">
        <f t="shared" si="42"/>
        <v>30</v>
      </c>
      <c r="K132" s="149">
        <v>40330</v>
      </c>
      <c r="L132" s="508">
        <v>7.4405151071058009E-2</v>
      </c>
      <c r="M132" s="509">
        <v>6.3640554532881019E-2</v>
      </c>
      <c r="N132" s="132">
        <f t="shared" si="39"/>
        <v>0.46904958322754942</v>
      </c>
      <c r="O132" s="133">
        <f>VLOOKUP(K132,Inflation!$B$8:$C$266,2)</f>
        <v>1.3227862069875203</v>
      </c>
      <c r="P132" s="132"/>
      <c r="Q132" s="134">
        <f>VLOOKUP(K132,'Fuel Curve'!$B$11:$F$268,5)</f>
        <v>4.4201724137931047</v>
      </c>
      <c r="R132" s="238">
        <f>VLOOKUP(K132,'Fuel Curve Simulation'!$B$12:$J$258,9)</f>
        <v>4.4201724137931047</v>
      </c>
      <c r="S132" s="134">
        <f t="shared" si="45"/>
        <v>42.34083155172415</v>
      </c>
      <c r="T132" s="136"/>
      <c r="V132" s="135">
        <f>VLOOKUP(K132,PJM_01212000!$A$7:$C$259,3)</f>
        <v>62.349998474121094</v>
      </c>
      <c r="W132" s="486"/>
      <c r="X132" s="118">
        <f>'PJM Curve Simulation'!J132</f>
        <v>62.349998474121094</v>
      </c>
      <c r="Y132" s="512"/>
      <c r="Z132" s="137"/>
      <c r="AA132" s="78">
        <f t="shared" si="44"/>
        <v>315</v>
      </c>
      <c r="AB132" s="85">
        <f t="shared" si="46"/>
        <v>100800</v>
      </c>
      <c r="AC132" s="85">
        <f>VLOOKUP(K132,'Company Volumes'!$B$20:$C$259,2)</f>
        <v>32682.876341182662</v>
      </c>
      <c r="AD132" s="153">
        <f t="shared" si="50"/>
        <v>100800</v>
      </c>
      <c r="AE132" s="150"/>
      <c r="AF132" s="150">
        <v>0</v>
      </c>
      <c r="AG132" s="150">
        <v>0</v>
      </c>
      <c r="AH132" s="150">
        <f t="shared" si="51"/>
        <v>6284879.8461914063</v>
      </c>
      <c r="AI132" s="150">
        <f t="shared" si="52"/>
        <v>6284879.8461914063</v>
      </c>
      <c r="AJ132" s="150">
        <f t="shared" si="53"/>
        <v>4267955.8204137944</v>
      </c>
      <c r="AK132" s="85">
        <f t="shared" si="54"/>
        <v>66139.310349376014</v>
      </c>
      <c r="AL132" s="85">
        <f t="shared" si="55"/>
        <v>168655.24139090884</v>
      </c>
      <c r="AM132" s="85">
        <f t="shared" si="47"/>
        <v>266673.69932868407</v>
      </c>
      <c r="AN132" s="85">
        <f t="shared" si="48"/>
        <v>151238.55633223982</v>
      </c>
      <c r="AO132" s="85">
        <f t="shared" si="56"/>
        <v>33069.655174688007</v>
      </c>
      <c r="AP132" s="85">
        <f t="shared" si="68"/>
        <v>46500.558215233643</v>
      </c>
      <c r="AQ132" s="84">
        <f t="shared" si="57"/>
        <v>732277.02079113026</v>
      </c>
      <c r="AR132" s="85">
        <f t="shared" si="58"/>
        <v>16534.827587344003</v>
      </c>
      <c r="AS132" s="84">
        <f t="shared" si="72"/>
        <v>30387.755000000001</v>
      </c>
      <c r="AT132" s="85">
        <f t="shared" si="59"/>
        <v>49881.314238695035</v>
      </c>
      <c r="AU132" s="84">
        <f t="shared" si="60"/>
        <v>5097036.7380309645</v>
      </c>
      <c r="AV132" s="84">
        <f t="shared" si="49"/>
        <v>1187843.1081604417</v>
      </c>
      <c r="AW132" s="453"/>
      <c r="AX132" s="93">
        <f t="shared" si="43"/>
        <v>40330</v>
      </c>
      <c r="BA132" s="315"/>
      <c r="BB132" s="134">
        <f t="shared" si="61"/>
        <v>62.349998474121094</v>
      </c>
      <c r="BC132" s="134">
        <f>'Curve Analysis - Base Case'!D124</f>
        <v>44.986403965699189</v>
      </c>
      <c r="BD132" s="131">
        <f t="shared" si="62"/>
        <v>7.4405151071058009E-2</v>
      </c>
      <c r="BE132" s="131">
        <f t="shared" si="63"/>
        <v>7.4405151071058009E-2</v>
      </c>
      <c r="BF132" s="365">
        <f>PJM_01212000!X132</f>
        <v>0.15734183020367704</v>
      </c>
      <c r="BG132" s="85">
        <f t="shared" si="64"/>
        <v>3756</v>
      </c>
      <c r="BH132" s="84">
        <f t="shared" si="65"/>
        <v>100800</v>
      </c>
      <c r="BJ132" s="537">
        <f>_xll.EURO(BB132,BC132,BD132,BE132,BF132,BG132,1,0)*BH132</f>
        <v>1006664.7883693239</v>
      </c>
      <c r="BK132" s="84">
        <f t="shared" si="66"/>
        <v>946037.37369261996</v>
      </c>
      <c r="BM132" s="84">
        <f t="shared" si="67"/>
        <v>60627.414676703978</v>
      </c>
    </row>
    <row r="133" spans="1:65">
      <c r="A133" s="78">
        <f t="shared" si="40"/>
        <v>127</v>
      </c>
      <c r="C133" s="78">
        <v>31</v>
      </c>
      <c r="D133" s="78" t="s">
        <v>67</v>
      </c>
      <c r="E133" s="113">
        <f t="shared" si="41"/>
        <v>40360</v>
      </c>
      <c r="F133" s="85">
        <f t="shared" si="75"/>
        <v>23</v>
      </c>
      <c r="G133" s="84">
        <f t="shared" si="74"/>
        <v>8</v>
      </c>
      <c r="H133" s="84"/>
      <c r="I133" s="84"/>
      <c r="J133" s="78">
        <f t="shared" si="42"/>
        <v>31</v>
      </c>
      <c r="K133" s="149">
        <v>40360</v>
      </c>
      <c r="L133" s="508">
        <v>7.440014450762801E-2</v>
      </c>
      <c r="M133" s="509">
        <v>6.3651792115326997E-2</v>
      </c>
      <c r="N133" s="132">
        <f t="shared" si="39"/>
        <v>0.46626704623979814</v>
      </c>
      <c r="O133" s="133">
        <f>VLOOKUP(K133,Inflation!$B$8:$C$266,2)</f>
        <v>1.3257262677157697</v>
      </c>
      <c r="P133" s="132"/>
      <c r="Q133" s="134">
        <f>VLOOKUP(K133,'Fuel Curve'!$B$11:$F$268,5)</f>
        <v>4.477413793103449</v>
      </c>
      <c r="R133" s="238">
        <f>VLOOKUP(K133,'Fuel Curve Simulation'!$B$12:$J$258,9)</f>
        <v>4.477413793103449</v>
      </c>
      <c r="S133" s="134">
        <f t="shared" si="45"/>
        <v>42.889146724137937</v>
      </c>
      <c r="T133" s="136"/>
      <c r="V133" s="135">
        <f>VLOOKUP(K133,PJM_01212000!$A$7:$C$259,3)</f>
        <v>106.94999694824219</v>
      </c>
      <c r="W133" s="486"/>
      <c r="X133" s="118">
        <f>'PJM Curve Simulation'!J133</f>
        <v>106.94999694824219</v>
      </c>
      <c r="Y133" s="512"/>
      <c r="Z133" s="137"/>
      <c r="AA133" s="78">
        <f t="shared" si="44"/>
        <v>315</v>
      </c>
      <c r="AB133" s="85">
        <f t="shared" si="46"/>
        <v>115920</v>
      </c>
      <c r="AC133" s="85">
        <f>VLOOKUP(K133,'Company Volumes'!$B$20:$C$259,2)</f>
        <v>51393.150848165766</v>
      </c>
      <c r="AD133" s="153">
        <f t="shared" si="50"/>
        <v>115920</v>
      </c>
      <c r="AE133" s="150"/>
      <c r="AF133" s="150">
        <v>0</v>
      </c>
      <c r="AG133" s="150">
        <v>0</v>
      </c>
      <c r="AH133" s="150">
        <f t="shared" si="51"/>
        <v>12397643.646240234</v>
      </c>
      <c r="AI133" s="150">
        <f t="shared" si="52"/>
        <v>12397643.646240234</v>
      </c>
      <c r="AJ133" s="150">
        <f t="shared" si="53"/>
        <v>4971709.8882620698</v>
      </c>
      <c r="AK133" s="85">
        <f t="shared" si="54"/>
        <v>66286.313385788482</v>
      </c>
      <c r="AL133" s="85">
        <f t="shared" si="55"/>
        <v>169030.09913376064</v>
      </c>
      <c r="AM133" s="85">
        <f t="shared" si="47"/>
        <v>307356.37790722406</v>
      </c>
      <c r="AN133" s="85">
        <f t="shared" si="48"/>
        <v>151574.70327550301</v>
      </c>
      <c r="AO133" s="85">
        <f t="shared" si="56"/>
        <v>33143.156692894241</v>
      </c>
      <c r="AP133" s="85">
        <f t="shared" si="68"/>
        <v>46500.558215233643</v>
      </c>
      <c r="AQ133" s="84">
        <f t="shared" si="57"/>
        <v>773891.20861040417</v>
      </c>
      <c r="AR133" s="85">
        <f t="shared" si="58"/>
        <v>16571.578346447121</v>
      </c>
      <c r="AS133" s="84">
        <f t="shared" si="72"/>
        <v>30387.755000000001</v>
      </c>
      <c r="AT133" s="85">
        <f t="shared" si="59"/>
        <v>98615.291037601157</v>
      </c>
      <c r="AU133" s="84">
        <f t="shared" si="60"/>
        <v>5891175.7212565215</v>
      </c>
      <c r="AV133" s="84">
        <f t="shared" si="49"/>
        <v>6506467.9249837128</v>
      </c>
      <c r="AW133" s="453"/>
      <c r="AX133" s="93">
        <f t="shared" si="43"/>
        <v>40360</v>
      </c>
      <c r="BA133" s="315"/>
      <c r="BB133" s="134">
        <f t="shared" si="61"/>
        <v>106.94999694824219</v>
      </c>
      <c r="BC133" s="134">
        <f>'Curve Analysis - Base Case'!D125</f>
        <v>45.540599259569476</v>
      </c>
      <c r="BD133" s="131">
        <f t="shared" si="62"/>
        <v>7.440014450762801E-2</v>
      </c>
      <c r="BE133" s="131">
        <f t="shared" si="63"/>
        <v>7.440014450762801E-2</v>
      </c>
      <c r="BF133" s="365">
        <f>PJM_01212000!X133</f>
        <v>0.19230668136004969</v>
      </c>
      <c r="BG133" s="85">
        <f t="shared" si="64"/>
        <v>3786</v>
      </c>
      <c r="BH133" s="84">
        <f t="shared" si="65"/>
        <v>115920</v>
      </c>
      <c r="BJ133" s="537">
        <f>_xll.EURO(BB133,BC133,BD133,BE133,BF133,BG133,1,0)*BH133</f>
        <v>3378065.2926640743</v>
      </c>
      <c r="BK133" s="84">
        <f t="shared" si="66"/>
        <v>3462468.1989048827</v>
      </c>
      <c r="BM133" s="84">
        <f t="shared" si="67"/>
        <v>-84402.906240808312</v>
      </c>
    </row>
    <row r="134" spans="1:65">
      <c r="A134" s="78">
        <f t="shared" si="40"/>
        <v>128</v>
      </c>
      <c r="C134" s="78">
        <v>31</v>
      </c>
      <c r="D134" s="78" t="s">
        <v>68</v>
      </c>
      <c r="E134" s="113">
        <f t="shared" si="41"/>
        <v>40391</v>
      </c>
      <c r="F134" s="85">
        <f t="shared" si="75"/>
        <v>22</v>
      </c>
      <c r="G134" s="84">
        <f t="shared" si="74"/>
        <v>9</v>
      </c>
      <c r="H134" s="84"/>
      <c r="I134" s="84"/>
      <c r="J134" s="78">
        <f t="shared" si="42"/>
        <v>31</v>
      </c>
      <c r="K134" s="149">
        <v>40391</v>
      </c>
      <c r="L134" s="508">
        <v>7.4394971058760001E-2</v>
      </c>
      <c r="M134" s="509">
        <v>6.3663404284779027E-2</v>
      </c>
      <c r="N134" s="132">
        <f t="shared" si="39"/>
        <v>0.46340948428482165</v>
      </c>
      <c r="O134" s="133">
        <f>VLOOKUP(K134,Inflation!$B$8:$C$266,2)</f>
        <v>1.328672863103241</v>
      </c>
      <c r="P134" s="132"/>
      <c r="Q134" s="134">
        <f>VLOOKUP(K134,'Fuel Curve'!$B$11:$F$268,5)</f>
        <v>4.5679310344827595</v>
      </c>
      <c r="R134" s="238">
        <f>VLOOKUP(K134,'Fuel Curve Simulation'!$B$12:$J$258,9)</f>
        <v>4.5679310344827595</v>
      </c>
      <c r="S134" s="134">
        <f t="shared" si="45"/>
        <v>43.756211379310358</v>
      </c>
      <c r="T134" s="136"/>
      <c r="V134" s="135">
        <f>VLOOKUP(K134,PJM_01212000!$A$7:$C$259,3)</f>
        <v>93.949996948242188</v>
      </c>
      <c r="W134" s="486"/>
      <c r="X134" s="118">
        <f>'PJM Curve Simulation'!J134</f>
        <v>93.949996948242188</v>
      </c>
      <c r="Y134" s="512"/>
      <c r="Z134" s="137"/>
      <c r="AA134" s="78">
        <f t="shared" si="44"/>
        <v>315</v>
      </c>
      <c r="AB134" s="85">
        <f t="shared" si="46"/>
        <v>110880</v>
      </c>
      <c r="AC134" s="85">
        <f>VLOOKUP(K134,'Company Volumes'!$B$20:$C$259,2)</f>
        <v>34262.100565115106</v>
      </c>
      <c r="AD134" s="153">
        <f t="shared" si="50"/>
        <v>110880</v>
      </c>
      <c r="AE134" s="150"/>
      <c r="AF134" s="150">
        <v>0</v>
      </c>
      <c r="AG134" s="150">
        <v>0</v>
      </c>
      <c r="AH134" s="150">
        <f t="shared" si="51"/>
        <v>10417175.661621094</v>
      </c>
      <c r="AI134" s="150">
        <f t="shared" si="52"/>
        <v>10417175.661621094</v>
      </c>
      <c r="AJ134" s="150">
        <f t="shared" si="53"/>
        <v>4851688.7177379318</v>
      </c>
      <c r="AK134" s="85">
        <f t="shared" si="54"/>
        <v>66433.643155162048</v>
      </c>
      <c r="AL134" s="85">
        <f t="shared" si="55"/>
        <v>169405.79004566322</v>
      </c>
      <c r="AM134" s="85">
        <f t="shared" si="47"/>
        <v>294646.49412177474</v>
      </c>
      <c r="AN134" s="85">
        <f t="shared" si="48"/>
        <v>151911.59734813723</v>
      </c>
      <c r="AO134" s="85">
        <f t="shared" si="56"/>
        <v>33216.821577581024</v>
      </c>
      <c r="AP134" s="85">
        <f t="shared" si="68"/>
        <v>46500.558215233643</v>
      </c>
      <c r="AQ134" s="84">
        <f t="shared" si="57"/>
        <v>762114.90446355194</v>
      </c>
      <c r="AR134" s="85">
        <f t="shared" si="58"/>
        <v>16608.410788790512</v>
      </c>
      <c r="AS134" s="84">
        <f t="shared" si="72"/>
        <v>30387.755000000001</v>
      </c>
      <c r="AT134" s="85">
        <f t="shared" si="59"/>
        <v>83046.111670652987</v>
      </c>
      <c r="AU134" s="84">
        <f t="shared" si="60"/>
        <v>5743845.8996609263</v>
      </c>
      <c r="AV134" s="84">
        <f t="shared" si="49"/>
        <v>4673329.7619601674</v>
      </c>
      <c r="AW134" s="453"/>
      <c r="AX134" s="93">
        <f t="shared" si="43"/>
        <v>40391</v>
      </c>
      <c r="BA134" s="315"/>
      <c r="BB134" s="134">
        <f t="shared" si="61"/>
        <v>93.949996948242188</v>
      </c>
      <c r="BC134" s="134">
        <f>'Curve Analysis - Base Case'!D126</f>
        <v>46.413557105516837</v>
      </c>
      <c r="BD134" s="131">
        <f t="shared" si="62"/>
        <v>7.4394971058760001E-2</v>
      </c>
      <c r="BE134" s="131">
        <f t="shared" si="63"/>
        <v>7.4394971058760001E-2</v>
      </c>
      <c r="BF134" s="365">
        <f>PJM_01212000!X134</f>
        <v>0.19230668136004969</v>
      </c>
      <c r="BG134" s="85">
        <f t="shared" si="64"/>
        <v>3817</v>
      </c>
      <c r="BH134" s="84">
        <f t="shared" si="65"/>
        <v>110880</v>
      </c>
      <c r="BJ134" s="537">
        <f>_xll.EURO(BB134,BC134,BD134,BE134,BF134,BG134,1,0)*BH134</f>
        <v>2552201.4290862707</v>
      </c>
      <c r="BK134" s="84">
        <f t="shared" si="66"/>
        <v>2579099.4344588043</v>
      </c>
      <c r="BM134" s="84">
        <f t="shared" si="67"/>
        <v>-26898.005372533575</v>
      </c>
    </row>
    <row r="135" spans="1:65">
      <c r="A135" s="78">
        <f t="shared" si="40"/>
        <v>129</v>
      </c>
      <c r="C135" s="78">
        <v>30</v>
      </c>
      <c r="D135" s="78" t="s">
        <v>69</v>
      </c>
      <c r="E135" s="113">
        <f t="shared" si="41"/>
        <v>40422</v>
      </c>
      <c r="F135" s="85">
        <f t="shared" si="75"/>
        <v>21</v>
      </c>
      <c r="G135" s="84">
        <f t="shared" si="74"/>
        <v>9</v>
      </c>
      <c r="H135" s="84"/>
      <c r="I135" s="84"/>
      <c r="J135" s="78">
        <f t="shared" si="42"/>
        <v>30</v>
      </c>
      <c r="K135" s="149">
        <v>40422</v>
      </c>
      <c r="L135" s="508">
        <v>7.4389797609900013E-2</v>
      </c>
      <c r="M135" s="509">
        <v>6.367501645517E-2</v>
      </c>
      <c r="N135" s="132">
        <f t="shared" si="39"/>
        <v>0.46056982518632961</v>
      </c>
      <c r="O135" s="133">
        <f>VLOOKUP(K135,Inflation!$B$8:$C$266,2)</f>
        <v>1.3316260076740458</v>
      </c>
      <c r="P135" s="132"/>
      <c r="Q135" s="134">
        <f>VLOOKUP(K135,'Fuel Curve'!$B$11:$F$268,5)</f>
        <v>4.6627586206896563</v>
      </c>
      <c r="R135" s="238">
        <f>VLOOKUP(K135,'Fuel Curve Simulation'!$B$12:$J$258,9)</f>
        <v>4.6627586206896563</v>
      </c>
      <c r="S135" s="134">
        <f t="shared" si="45"/>
        <v>44.664564827586219</v>
      </c>
      <c r="T135" s="136"/>
      <c r="V135" s="135">
        <f>VLOOKUP(K135,PJM_01212000!$A$7:$C$259,3)</f>
        <v>36.424998474121097</v>
      </c>
      <c r="W135" s="486"/>
      <c r="X135" s="118">
        <f>'PJM Curve Simulation'!J135</f>
        <v>36.424998474121097</v>
      </c>
      <c r="Y135" s="512"/>
      <c r="Z135" s="137"/>
      <c r="AA135" s="78">
        <f t="shared" si="44"/>
        <v>315</v>
      </c>
      <c r="AB135" s="85">
        <f t="shared" si="46"/>
        <v>105840</v>
      </c>
      <c r="AC135" s="85">
        <f>VLOOKUP(K135,'Company Volumes'!$B$20:$C$259,2)</f>
        <v>20431.646968522222</v>
      </c>
      <c r="AD135" s="153">
        <f t="shared" si="50"/>
        <v>0</v>
      </c>
      <c r="AE135" s="150"/>
      <c r="AF135" s="150">
        <v>0</v>
      </c>
      <c r="AG135" s="150">
        <v>0</v>
      </c>
      <c r="AH135" s="150">
        <f t="shared" si="51"/>
        <v>0</v>
      </c>
      <c r="AI135" s="150">
        <f t="shared" si="52"/>
        <v>0</v>
      </c>
      <c r="AJ135" s="150">
        <f t="shared" si="53"/>
        <v>0</v>
      </c>
      <c r="AK135" s="85">
        <f t="shared" si="54"/>
        <v>66581.300383702284</v>
      </c>
      <c r="AL135" s="85">
        <f t="shared" si="55"/>
        <v>169782.31597844083</v>
      </c>
      <c r="AM135" s="85">
        <f t="shared" si="47"/>
        <v>0</v>
      </c>
      <c r="AN135" s="85">
        <f t="shared" si="48"/>
        <v>152249.24021073259</v>
      </c>
      <c r="AO135" s="85">
        <f t="shared" si="56"/>
        <v>33290.650191851142</v>
      </c>
      <c r="AP135" s="85">
        <f t="shared" si="68"/>
        <v>46500.558215233643</v>
      </c>
      <c r="AQ135" s="84">
        <f t="shared" si="57"/>
        <v>468404.06497996056</v>
      </c>
      <c r="AR135" s="85">
        <f t="shared" si="58"/>
        <v>16645.325095925571</v>
      </c>
      <c r="AS135" s="84">
        <f t="shared" si="72"/>
        <v>30387.755000000001</v>
      </c>
      <c r="AT135" s="85">
        <f t="shared" si="59"/>
        <v>0</v>
      </c>
      <c r="AU135" s="84">
        <f t="shared" si="60"/>
        <v>515437.14507588616</v>
      </c>
      <c r="AV135" s="84">
        <f t="shared" si="49"/>
        <v>-515437.14507588616</v>
      </c>
      <c r="AW135" s="453"/>
      <c r="AX135" s="93">
        <f t="shared" si="43"/>
        <v>40422</v>
      </c>
      <c r="BA135" s="315"/>
      <c r="BB135" s="134">
        <f t="shared" si="61"/>
        <v>36.424998474121097</v>
      </c>
      <c r="BC135" s="134">
        <f>'Curve Analysis - Base Case'!D127</f>
        <v>47.327816842934311</v>
      </c>
      <c r="BD135" s="131">
        <f t="shared" si="62"/>
        <v>7.4389797609900013E-2</v>
      </c>
      <c r="BE135" s="131">
        <f t="shared" si="63"/>
        <v>7.4389797609900013E-2</v>
      </c>
      <c r="BF135" s="365">
        <f>PJM_01212000!X135</f>
        <v>0.12361311014879228</v>
      </c>
      <c r="BG135" s="85">
        <f t="shared" si="64"/>
        <v>3848</v>
      </c>
      <c r="BH135" s="84">
        <f t="shared" si="65"/>
        <v>0</v>
      </c>
      <c r="BJ135" s="537">
        <f>_xll.EURO(BB135,BC135,BD135,BE135,BF135,BG135,1,0)*BH135</f>
        <v>0</v>
      </c>
      <c r="BK135" s="84">
        <f t="shared" si="66"/>
        <v>0</v>
      </c>
      <c r="BM135" s="84">
        <f t="shared" si="67"/>
        <v>0</v>
      </c>
    </row>
    <row r="136" spans="1:65">
      <c r="A136" s="78">
        <f t="shared" si="40"/>
        <v>130</v>
      </c>
      <c r="C136" s="78">
        <v>31</v>
      </c>
      <c r="D136" s="78" t="s">
        <v>70</v>
      </c>
      <c r="E136" s="113">
        <f t="shared" si="41"/>
        <v>40452</v>
      </c>
      <c r="F136" s="85">
        <f t="shared" si="75"/>
        <v>23</v>
      </c>
      <c r="G136" s="84">
        <f t="shared" si="74"/>
        <v>8</v>
      </c>
      <c r="H136" s="84"/>
      <c r="I136" s="84"/>
      <c r="J136" s="78">
        <f t="shared" si="42"/>
        <v>31</v>
      </c>
      <c r="K136" s="149">
        <v>40452</v>
      </c>
      <c r="L136" s="508">
        <v>7.438479104649702E-2</v>
      </c>
      <c r="M136" s="509">
        <v>6.3686254040312987E-2</v>
      </c>
      <c r="N136" s="132">
        <f t="shared" ref="N136:N199" si="76">(1+L136/2)^(-2*((K136+$T$1)-$K$1)/365.25)</f>
        <v>0.4578387060479096</v>
      </c>
      <c r="O136" s="133">
        <f>VLOOKUP(K136,Inflation!$B$8:$C$266,2)</f>
        <v>1.334585715984578</v>
      </c>
      <c r="P136" s="132"/>
      <c r="Q136" s="134">
        <f>VLOOKUP(K136,'Fuel Curve'!$B$11:$F$268,5)</f>
        <v>4.7553448275862067</v>
      </c>
      <c r="R136" s="238">
        <f>VLOOKUP(K136,'Fuel Curve Simulation'!$B$12:$J$258,9)</f>
        <v>4.7553448275862067</v>
      </c>
      <c r="S136" s="134">
        <f t="shared" si="45"/>
        <v>45.551448103448273</v>
      </c>
      <c r="T136" s="136"/>
      <c r="V136" s="135">
        <f>VLOOKUP(K136,PJM_01212000!$A$7:$C$259,3)</f>
        <v>30.075000381469728</v>
      </c>
      <c r="W136" s="486"/>
      <c r="X136" s="118">
        <f>'PJM Curve Simulation'!J136</f>
        <v>30.075000381469728</v>
      </c>
      <c r="Y136" s="512"/>
      <c r="Z136" s="137"/>
      <c r="AA136" s="78">
        <f t="shared" si="44"/>
        <v>315</v>
      </c>
      <c r="AB136" s="85">
        <f t="shared" si="46"/>
        <v>115920</v>
      </c>
      <c r="AC136" s="85">
        <f>VLOOKUP(K136,'Company Volumes'!$B$20:$C$259,2)</f>
        <v>3440.115039231111</v>
      </c>
      <c r="AD136" s="153">
        <f t="shared" si="50"/>
        <v>0</v>
      </c>
      <c r="AE136" s="150"/>
      <c r="AF136" s="150">
        <v>0</v>
      </c>
      <c r="AG136" s="150">
        <v>0</v>
      </c>
      <c r="AH136" s="150">
        <f t="shared" si="51"/>
        <v>0</v>
      </c>
      <c r="AI136" s="150">
        <f t="shared" si="52"/>
        <v>0</v>
      </c>
      <c r="AJ136" s="150">
        <f t="shared" si="53"/>
        <v>0</v>
      </c>
      <c r="AK136" s="85">
        <f t="shared" si="54"/>
        <v>66729.285799228892</v>
      </c>
      <c r="AL136" s="85">
        <f t="shared" si="55"/>
        <v>170159.67878803369</v>
      </c>
      <c r="AM136" s="85">
        <f t="shared" si="47"/>
        <v>0</v>
      </c>
      <c r="AN136" s="85">
        <f t="shared" si="48"/>
        <v>152587.63352757008</v>
      </c>
      <c r="AO136" s="85">
        <f t="shared" si="56"/>
        <v>33364.642899614446</v>
      </c>
      <c r="AP136" s="85">
        <f t="shared" si="68"/>
        <v>46500.558215233643</v>
      </c>
      <c r="AQ136" s="84">
        <f t="shared" si="57"/>
        <v>469341.79922968079</v>
      </c>
      <c r="AR136" s="85">
        <f t="shared" si="58"/>
        <v>16682.321449807223</v>
      </c>
      <c r="AS136" s="84">
        <f t="shared" si="72"/>
        <v>30387.755000000001</v>
      </c>
      <c r="AT136" s="85">
        <f t="shared" si="59"/>
        <v>0</v>
      </c>
      <c r="AU136" s="84">
        <f t="shared" si="60"/>
        <v>516411.87567948806</v>
      </c>
      <c r="AV136" s="84">
        <f t="shared" si="49"/>
        <v>-516411.87567948806</v>
      </c>
      <c r="AW136" s="453"/>
      <c r="AX136" s="93">
        <f t="shared" si="43"/>
        <v>40452</v>
      </c>
      <c r="BA136" s="315"/>
      <c r="BB136" s="134">
        <f t="shared" si="61"/>
        <v>30.075000381469728</v>
      </c>
      <c r="BC136" s="134">
        <f>'Curve Analysis - Base Case'!D128</f>
        <v>48.220619535417427</v>
      </c>
      <c r="BD136" s="131">
        <f t="shared" si="62"/>
        <v>7.438479104649702E-2</v>
      </c>
      <c r="BE136" s="131">
        <f t="shared" si="63"/>
        <v>7.438479104649702E-2</v>
      </c>
      <c r="BF136" s="365">
        <f>PJM_01212000!X136</f>
        <v>8.7412127890931682E-2</v>
      </c>
      <c r="BG136" s="85">
        <f t="shared" si="64"/>
        <v>3878</v>
      </c>
      <c r="BH136" s="84">
        <f t="shared" si="65"/>
        <v>0</v>
      </c>
      <c r="BJ136" s="537">
        <f>_xll.EURO(BB136,BC136,BD136,BE136,BF136,BG136,1,0)*BH136</f>
        <v>0</v>
      </c>
      <c r="BK136" s="84">
        <f t="shared" si="66"/>
        <v>0</v>
      </c>
      <c r="BM136" s="84">
        <f t="shared" si="67"/>
        <v>0</v>
      </c>
    </row>
    <row r="137" spans="1:65">
      <c r="A137" s="78">
        <f t="shared" ref="A137:A200" si="77">A136+1</f>
        <v>131</v>
      </c>
      <c r="C137" s="78">
        <v>30</v>
      </c>
      <c r="D137" s="78" t="s">
        <v>71</v>
      </c>
      <c r="E137" s="113">
        <f t="shared" ref="E137:E200" si="78">E136+C136</f>
        <v>40483</v>
      </c>
      <c r="F137" s="85">
        <f t="shared" si="75"/>
        <v>21</v>
      </c>
      <c r="G137" s="84">
        <f t="shared" si="74"/>
        <v>9</v>
      </c>
      <c r="H137" s="84"/>
      <c r="I137" s="84"/>
      <c r="J137" s="78">
        <f t="shared" ref="J137:J200" si="79">K138-K137</f>
        <v>30</v>
      </c>
      <c r="K137" s="149">
        <v>40483</v>
      </c>
      <c r="L137" s="508">
        <v>7.4379617597654019E-2</v>
      </c>
      <c r="M137" s="509">
        <v>6.3697866212553009E-2</v>
      </c>
      <c r="N137" s="132">
        <f t="shared" si="76"/>
        <v>0.45503394153593618</v>
      </c>
      <c r="O137" s="133">
        <f>VLOOKUP(K137,Inflation!$B$8:$C$266,2)</f>
        <v>1.3375520026235845</v>
      </c>
      <c r="P137" s="132"/>
      <c r="Q137" s="134">
        <f>VLOOKUP(K137,'Fuel Curve'!$B$11:$F$268,5)</f>
        <v>4.8046551724137938</v>
      </c>
      <c r="R137" s="238">
        <f>VLOOKUP(K137,'Fuel Curve Simulation'!$B$12:$J$258,9)</f>
        <v>4.8046551724137938</v>
      </c>
      <c r="S137" s="134">
        <f t="shared" si="45"/>
        <v>46.023791896551728</v>
      </c>
      <c r="T137" s="136"/>
      <c r="V137" s="135">
        <f>VLOOKUP(K137,PJM_01212000!$A$7:$C$259,3)</f>
        <v>29.747499084472658</v>
      </c>
      <c r="W137" s="486"/>
      <c r="X137" s="118">
        <f>'PJM Curve Simulation'!J137</f>
        <v>29.747499084472658</v>
      </c>
      <c r="Y137" s="512"/>
      <c r="Z137" s="137"/>
      <c r="AA137" s="78">
        <f t="shared" si="44"/>
        <v>315</v>
      </c>
      <c r="AB137" s="85">
        <f t="shared" si="46"/>
        <v>105840</v>
      </c>
      <c r="AC137" s="85">
        <f>VLOOKUP(K137,'Company Volumes'!$B$20:$C$259,2)</f>
        <v>8417.2674012404441</v>
      </c>
      <c r="AD137" s="153">
        <f t="shared" si="50"/>
        <v>0</v>
      </c>
      <c r="AE137" s="150"/>
      <c r="AF137" s="150">
        <v>0</v>
      </c>
      <c r="AG137" s="150">
        <v>0</v>
      </c>
      <c r="AH137" s="150">
        <f t="shared" si="51"/>
        <v>0</v>
      </c>
      <c r="AI137" s="150">
        <f t="shared" si="52"/>
        <v>0</v>
      </c>
      <c r="AJ137" s="150">
        <f t="shared" si="53"/>
        <v>0</v>
      </c>
      <c r="AK137" s="85">
        <f t="shared" si="54"/>
        <v>66877.600131179221</v>
      </c>
      <c r="AL137" s="85">
        <f t="shared" si="55"/>
        <v>170537.88033450703</v>
      </c>
      <c r="AM137" s="85">
        <f t="shared" si="47"/>
        <v>0</v>
      </c>
      <c r="AN137" s="85">
        <f t="shared" si="48"/>
        <v>152926.77896662982</v>
      </c>
      <c r="AO137" s="85">
        <f t="shared" si="56"/>
        <v>33438.80006558961</v>
      </c>
      <c r="AP137" s="85">
        <f t="shared" si="68"/>
        <v>46500.558215233643</v>
      </c>
      <c r="AQ137" s="84">
        <f t="shared" si="57"/>
        <v>470281.61771313928</v>
      </c>
      <c r="AR137" s="85">
        <f t="shared" si="58"/>
        <v>16719.400032794805</v>
      </c>
      <c r="AS137" s="84">
        <f t="shared" si="72"/>
        <v>30387.755000000001</v>
      </c>
      <c r="AT137" s="85">
        <f t="shared" si="59"/>
        <v>0</v>
      </c>
      <c r="AU137" s="84">
        <f t="shared" si="60"/>
        <v>517388.77274593408</v>
      </c>
      <c r="AV137" s="84">
        <f t="shared" si="49"/>
        <v>-517388.77274593408</v>
      </c>
      <c r="AW137" s="453"/>
      <c r="AX137" s="93">
        <f t="shared" ref="AX137:AX200" si="80">K137</f>
        <v>40483</v>
      </c>
      <c r="BA137" s="315"/>
      <c r="BB137" s="134">
        <f t="shared" si="61"/>
        <v>29.747499084472658</v>
      </c>
      <c r="BC137" s="134">
        <f>'Curve Analysis - Base Case'!D129</f>
        <v>48.698895901798899</v>
      </c>
      <c r="BD137" s="131">
        <f t="shared" si="62"/>
        <v>7.4379617597654019E-2</v>
      </c>
      <c r="BE137" s="131">
        <f t="shared" si="63"/>
        <v>7.4379617597654019E-2</v>
      </c>
      <c r="BF137" s="365">
        <f>PJM_01212000!X137</f>
        <v>8.7412127890931682E-2</v>
      </c>
      <c r="BG137" s="85">
        <f t="shared" si="64"/>
        <v>3909</v>
      </c>
      <c r="BH137" s="84">
        <f t="shared" si="65"/>
        <v>0</v>
      </c>
      <c r="BJ137" s="537">
        <f>_xll.EURO(BB137,BC137,BD137,BE137,BF137,BG137,1,0)*BH137</f>
        <v>0</v>
      </c>
      <c r="BK137" s="84">
        <f t="shared" si="66"/>
        <v>0</v>
      </c>
      <c r="BM137" s="84">
        <f t="shared" si="67"/>
        <v>0</v>
      </c>
    </row>
    <row r="138" spans="1:65">
      <c r="A138" s="78">
        <f t="shared" si="77"/>
        <v>132</v>
      </c>
      <c r="C138" s="78">
        <v>31</v>
      </c>
      <c r="D138" s="78" t="s">
        <v>72</v>
      </c>
      <c r="E138" s="113">
        <f t="shared" si="78"/>
        <v>40513</v>
      </c>
      <c r="F138" s="85">
        <f t="shared" si="75"/>
        <v>22</v>
      </c>
      <c r="G138" s="84">
        <f t="shared" si="74"/>
        <v>9</v>
      </c>
      <c r="H138" s="84">
        <f>SUM(F127:G138)</f>
        <v>365</v>
      </c>
      <c r="I138" s="84"/>
      <c r="J138" s="78">
        <f t="shared" si="79"/>
        <v>31</v>
      </c>
      <c r="K138" s="149">
        <v>40513</v>
      </c>
      <c r="L138" s="508">
        <v>7.4374611034266999E-2</v>
      </c>
      <c r="M138" s="509">
        <v>6.3709103799484024E-2</v>
      </c>
      <c r="N138" s="132">
        <f t="shared" si="76"/>
        <v>0.45233637889151584</v>
      </c>
      <c r="O138" s="133">
        <f>VLOOKUP(K138,Inflation!$B$8:$C$266,2)</f>
        <v>1.3405248822122378</v>
      </c>
      <c r="P138" s="132"/>
      <c r="Q138" s="134">
        <f>VLOOKUP(K138,'Fuel Curve'!$B$11:$F$268,5)</f>
        <v>4.8474137931034491</v>
      </c>
      <c r="R138" s="238">
        <f>VLOOKUP(K138,'Fuel Curve Simulation'!$B$12:$J$258,9)</f>
        <v>4.8474137931034491</v>
      </c>
      <c r="S138" s="134">
        <f t="shared" si="45"/>
        <v>46.433376724137936</v>
      </c>
      <c r="T138" s="136"/>
      <c r="V138" s="135">
        <f>VLOOKUP(K138,PJM_01212000!$A$7:$C$259,3)</f>
        <v>31.499999618530275</v>
      </c>
      <c r="W138" s="486"/>
      <c r="X138" s="118">
        <f>'PJM Curve Simulation'!J138</f>
        <v>31.499999618530275</v>
      </c>
      <c r="Y138" s="512"/>
      <c r="Z138" s="137"/>
      <c r="AA138" s="78">
        <f t="shared" ref="AA138:AA201" si="81">AA137</f>
        <v>315</v>
      </c>
      <c r="AB138" s="85">
        <f t="shared" si="46"/>
        <v>110880</v>
      </c>
      <c r="AC138" s="85">
        <f>VLOOKUP(K138,'Company Volumes'!$B$20:$C$259,2)</f>
        <v>8417.2674012404441</v>
      </c>
      <c r="AD138" s="153">
        <f t="shared" si="50"/>
        <v>0</v>
      </c>
      <c r="AE138" s="150"/>
      <c r="AF138" s="150">
        <v>0</v>
      </c>
      <c r="AG138" s="150">
        <v>0</v>
      </c>
      <c r="AH138" s="150">
        <f t="shared" si="51"/>
        <v>0</v>
      </c>
      <c r="AI138" s="150">
        <f t="shared" si="52"/>
        <v>0</v>
      </c>
      <c r="AJ138" s="150">
        <f t="shared" si="53"/>
        <v>0</v>
      </c>
      <c r="AK138" s="85">
        <f t="shared" si="54"/>
        <v>67026.244110611893</v>
      </c>
      <c r="AL138" s="85">
        <f t="shared" si="55"/>
        <v>170916.9224820603</v>
      </c>
      <c r="AM138" s="85">
        <f t="shared" si="47"/>
        <v>0</v>
      </c>
      <c r="AN138" s="85">
        <f t="shared" si="48"/>
        <v>153266.67819959918</v>
      </c>
      <c r="AO138" s="85">
        <f t="shared" si="56"/>
        <v>33513.122055305947</v>
      </c>
      <c r="AP138" s="85">
        <f t="shared" si="68"/>
        <v>46500.558215233643</v>
      </c>
      <c r="AQ138" s="84">
        <f t="shared" si="57"/>
        <v>471223.52506281098</v>
      </c>
      <c r="AR138" s="85">
        <f t="shared" si="58"/>
        <v>16756.561027652973</v>
      </c>
      <c r="AS138" s="84">
        <f t="shared" si="72"/>
        <v>30387.755000000001</v>
      </c>
      <c r="AT138" s="85">
        <f t="shared" si="59"/>
        <v>0</v>
      </c>
      <c r="AU138" s="84">
        <f t="shared" si="60"/>
        <v>518367.84109046392</v>
      </c>
      <c r="AV138" s="84">
        <f t="shared" si="49"/>
        <v>-518367.84109046392</v>
      </c>
      <c r="AW138" s="453"/>
      <c r="AX138" s="93">
        <f t="shared" si="80"/>
        <v>40513</v>
      </c>
      <c r="AY138" s="85">
        <f ca="1">'Debt Amortization'!R8</f>
        <v>5051845.030666085</v>
      </c>
      <c r="AZ138" s="85">
        <f ca="1">AY138*N138</f>
        <v>2285133.2878925959</v>
      </c>
      <c r="BA138" s="315"/>
      <c r="BB138" s="134">
        <f t="shared" si="61"/>
        <v>31.499999618530275</v>
      </c>
      <c r="BC138" s="134">
        <f>'Curve Analysis - Base Case'!D130</f>
        <v>49.114426488562415</v>
      </c>
      <c r="BD138" s="131">
        <f t="shared" si="62"/>
        <v>7.4374611034266999E-2</v>
      </c>
      <c r="BE138" s="131">
        <f t="shared" si="63"/>
        <v>7.4374611034266999E-2</v>
      </c>
      <c r="BF138" s="365">
        <f>PJM_01212000!X138</f>
        <v>8.7412127890931682E-2</v>
      </c>
      <c r="BG138" s="85">
        <f t="shared" si="64"/>
        <v>3939</v>
      </c>
      <c r="BH138" s="84">
        <f t="shared" si="65"/>
        <v>0</v>
      </c>
      <c r="BJ138" s="537">
        <f>_xll.EURO(BB138,BC138,BD138,BE138,BF138,BG138,1,0)*BH138</f>
        <v>0</v>
      </c>
      <c r="BK138" s="84">
        <f t="shared" si="66"/>
        <v>0</v>
      </c>
      <c r="BM138" s="84">
        <f t="shared" si="67"/>
        <v>0</v>
      </c>
    </row>
    <row r="139" spans="1:65">
      <c r="A139" s="78">
        <f t="shared" si="77"/>
        <v>133</v>
      </c>
      <c r="C139" s="78">
        <v>31</v>
      </c>
      <c r="D139" s="78" t="s">
        <v>62</v>
      </c>
      <c r="E139" s="113">
        <f t="shared" si="78"/>
        <v>40544</v>
      </c>
      <c r="F139" s="85">
        <f t="shared" si="75"/>
        <v>23</v>
      </c>
      <c r="G139" s="84">
        <f>C139-F139</f>
        <v>8</v>
      </c>
      <c r="H139" s="84"/>
      <c r="I139" s="84"/>
      <c r="J139" s="78">
        <f t="shared" si="79"/>
        <v>31</v>
      </c>
      <c r="K139" s="149">
        <v>40544</v>
      </c>
      <c r="L139" s="508">
        <v>7.4369437585442011E-2</v>
      </c>
      <c r="M139" s="509">
        <v>6.3720715973571013E-2</v>
      </c>
      <c r="N139" s="132">
        <f t="shared" si="76"/>
        <v>0.44956607129656323</v>
      </c>
      <c r="O139" s="133">
        <f>VLOOKUP(K139,Inflation!$B$8:$C$266,2)</f>
        <v>1.3435043694042075</v>
      </c>
      <c r="P139" s="132"/>
      <c r="Q139" s="134">
        <f>VLOOKUP(K139,'Fuel Curve'!$B$11:$F$268,5)</f>
        <v>4.7901724137931048</v>
      </c>
      <c r="R139" s="238">
        <f>VLOOKUP(K139,'Fuel Curve Simulation'!$B$12:$J$258,9)</f>
        <v>4.7901724137931048</v>
      </c>
      <c r="S139" s="134">
        <f t="shared" si="45"/>
        <v>45.885061551724156</v>
      </c>
      <c r="T139" s="136"/>
      <c r="V139" s="135">
        <f>VLOOKUP(K139,PJM_01212000!$A$7:$C$259,3)</f>
        <v>40.074998474121088</v>
      </c>
      <c r="W139" s="486"/>
      <c r="X139" s="118">
        <f>'PJM Curve Simulation'!J139</f>
        <v>40.074998474121088</v>
      </c>
      <c r="Y139" s="512"/>
      <c r="Z139" s="137"/>
      <c r="AA139" s="78">
        <f t="shared" si="81"/>
        <v>315</v>
      </c>
      <c r="AB139" s="85">
        <f t="shared" si="46"/>
        <v>115920</v>
      </c>
      <c r="AC139" s="85">
        <f>VLOOKUP(K139,'Company Volumes'!$B$20:$C$259,2)</f>
        <v>16126.649219905776</v>
      </c>
      <c r="AD139" s="153">
        <f t="shared" si="50"/>
        <v>0</v>
      </c>
      <c r="AE139" s="150"/>
      <c r="AF139" s="150">
        <v>0</v>
      </c>
      <c r="AG139" s="150">
        <v>0</v>
      </c>
      <c r="AH139" s="150">
        <f t="shared" si="51"/>
        <v>0</v>
      </c>
      <c r="AI139" s="150">
        <f t="shared" si="52"/>
        <v>0</v>
      </c>
      <c r="AJ139" s="150">
        <f t="shared" si="53"/>
        <v>0</v>
      </c>
      <c r="AK139" s="85">
        <f t="shared" si="54"/>
        <v>67175.21847021037</v>
      </c>
      <c r="AL139" s="85">
        <f t="shared" si="55"/>
        <v>171296.80709903644</v>
      </c>
      <c r="AM139" s="85">
        <f t="shared" si="47"/>
        <v>0</v>
      </c>
      <c r="AN139" s="85">
        <f t="shared" si="48"/>
        <v>153607.33290188108</v>
      </c>
      <c r="AO139" s="85">
        <f t="shared" si="56"/>
        <v>33587.609235105185</v>
      </c>
      <c r="AP139" s="85">
        <f t="shared" si="68"/>
        <v>46500.558215233643</v>
      </c>
      <c r="AQ139" s="84">
        <f t="shared" si="57"/>
        <v>472167.52592146664</v>
      </c>
      <c r="AR139" s="85">
        <f t="shared" si="58"/>
        <v>16793.804617552592</v>
      </c>
      <c r="AS139" s="84">
        <f t="shared" si="72"/>
        <v>30387.755000000001</v>
      </c>
      <c r="AT139" s="85">
        <f t="shared" si="59"/>
        <v>0</v>
      </c>
      <c r="AU139" s="84">
        <f t="shared" si="60"/>
        <v>519349.0855390192</v>
      </c>
      <c r="AV139" s="84">
        <f t="shared" si="49"/>
        <v>-519349.0855390192</v>
      </c>
      <c r="AW139" s="453"/>
      <c r="AX139" s="93">
        <f t="shared" si="80"/>
        <v>40544</v>
      </c>
      <c r="BA139" s="315"/>
      <c r="BB139" s="134">
        <f t="shared" si="61"/>
        <v>40.074998474121088</v>
      </c>
      <c r="BC139" s="134">
        <f>'Curve Analysis - Base Case'!D131</f>
        <v>48.572070290532572</v>
      </c>
      <c r="BD139" s="131">
        <f t="shared" si="62"/>
        <v>7.4369437585442011E-2</v>
      </c>
      <c r="BE139" s="131">
        <f t="shared" si="63"/>
        <v>7.4369437585442011E-2</v>
      </c>
      <c r="BF139" s="365">
        <f>PJM_01212000!X139</f>
        <v>0.13426502844047108</v>
      </c>
      <c r="BG139" s="85">
        <f t="shared" si="64"/>
        <v>3970</v>
      </c>
      <c r="BH139" s="84">
        <f t="shared" si="65"/>
        <v>0</v>
      </c>
      <c r="BJ139" s="537">
        <f>_xll.EURO(BB139,BC139,BD139,BE139,BF139,BG139,1,0)*BH139</f>
        <v>0</v>
      </c>
      <c r="BK139" s="84">
        <f t="shared" si="66"/>
        <v>0</v>
      </c>
      <c r="BM139" s="84">
        <f t="shared" si="67"/>
        <v>0</v>
      </c>
    </row>
    <row r="140" spans="1:65">
      <c r="A140" s="78">
        <f t="shared" si="77"/>
        <v>134</v>
      </c>
      <c r="C140" s="78">
        <v>28</v>
      </c>
      <c r="D140" s="78" t="s">
        <v>63</v>
      </c>
      <c r="E140" s="113">
        <f t="shared" si="78"/>
        <v>40575</v>
      </c>
      <c r="F140" s="85">
        <f t="shared" si="75"/>
        <v>20</v>
      </c>
      <c r="G140" s="84">
        <f t="shared" ref="G140:G150" si="82">C140-F140</f>
        <v>8</v>
      </c>
      <c r="H140" s="84"/>
      <c r="I140" s="84"/>
      <c r="J140" s="78">
        <f t="shared" si="79"/>
        <v>28</v>
      </c>
      <c r="K140" s="149">
        <v>40575</v>
      </c>
      <c r="L140" s="508">
        <v>7.4364264136626015E-2</v>
      </c>
      <c r="M140" s="509">
        <v>6.3732328148597014E-2</v>
      </c>
      <c r="N140" s="132">
        <f t="shared" si="76"/>
        <v>0.44681310866161328</v>
      </c>
      <c r="O140" s="133">
        <f>VLOOKUP(K140,Inflation!$B$8:$C$266,2)</f>
        <v>1.3464904788857333</v>
      </c>
      <c r="P140" s="132"/>
      <c r="Q140" s="134">
        <f>VLOOKUP(K140,'Fuel Curve'!$B$11:$F$268,5)</f>
        <v>4.6910344827586217</v>
      </c>
      <c r="R140" s="238">
        <f>VLOOKUP(K140,'Fuel Curve Simulation'!$B$12:$J$258,9)</f>
        <v>4.6910344827586217</v>
      </c>
      <c r="S140" s="134">
        <f t="shared" ref="S140:S203" si="83">(R140*$S$2)/1000</f>
        <v>44.935419310344834</v>
      </c>
      <c r="T140" s="136"/>
      <c r="V140" s="135">
        <f>VLOOKUP(K140,PJM_01212000!$A$7:$C$259,3)</f>
        <v>40.074998474121088</v>
      </c>
      <c r="W140" s="486"/>
      <c r="X140" s="118">
        <f>'PJM Curve Simulation'!J140</f>
        <v>40.074998474121088</v>
      </c>
      <c r="Y140" s="512"/>
      <c r="Z140" s="137"/>
      <c r="AA140" s="78">
        <f t="shared" si="81"/>
        <v>315</v>
      </c>
      <c r="AB140" s="85">
        <f t="shared" ref="AB140:AB203" si="84">AA140*F140*16</f>
        <v>100800</v>
      </c>
      <c r="AC140" s="85">
        <f>VLOOKUP(K140,'Company Volumes'!$B$20:$C$259,2)</f>
        <v>670.64373574177762</v>
      </c>
      <c r="AD140" s="153">
        <f t="shared" si="50"/>
        <v>0</v>
      </c>
      <c r="AE140" s="150"/>
      <c r="AF140" s="150">
        <v>0</v>
      </c>
      <c r="AG140" s="150">
        <v>0</v>
      </c>
      <c r="AH140" s="150">
        <f t="shared" si="51"/>
        <v>0</v>
      </c>
      <c r="AI140" s="150">
        <f t="shared" si="52"/>
        <v>0</v>
      </c>
      <c r="AJ140" s="150">
        <f t="shared" si="53"/>
        <v>0</v>
      </c>
      <c r="AK140" s="85">
        <f t="shared" si="54"/>
        <v>67324.523944286659</v>
      </c>
      <c r="AL140" s="85">
        <f t="shared" si="55"/>
        <v>171677.53605793099</v>
      </c>
      <c r="AM140" s="85">
        <f t="shared" ref="AM140:AM203" si="85">AD140*$AM$5*1000*O140</f>
        <v>0</v>
      </c>
      <c r="AN140" s="85">
        <f t="shared" ref="AN140:AN203" si="86">(($AN$5*O140)/12)*$S$4</f>
        <v>153948.74475260219</v>
      </c>
      <c r="AO140" s="85">
        <f t="shared" si="56"/>
        <v>33662.261972143329</v>
      </c>
      <c r="AP140" s="85">
        <f t="shared" si="68"/>
        <v>46500.558215233643</v>
      </c>
      <c r="AQ140" s="84">
        <f t="shared" si="57"/>
        <v>473113.62494219677</v>
      </c>
      <c r="AR140" s="85">
        <f t="shared" si="58"/>
        <v>16831.130986071665</v>
      </c>
      <c r="AS140" s="84">
        <f t="shared" si="72"/>
        <v>30387.755000000001</v>
      </c>
      <c r="AT140" s="85">
        <f t="shared" si="59"/>
        <v>0</v>
      </c>
      <c r="AU140" s="84">
        <f t="shared" si="60"/>
        <v>520332.51092826843</v>
      </c>
      <c r="AV140" s="84">
        <f t="shared" ref="AV140:AV203" si="87">AI140-AU140</f>
        <v>-520332.51092826843</v>
      </c>
      <c r="AW140" s="453"/>
      <c r="AX140" s="93">
        <f t="shared" si="80"/>
        <v>40575</v>
      </c>
      <c r="BA140" s="315"/>
      <c r="BB140" s="134">
        <f t="shared" si="61"/>
        <v>40.074998474121088</v>
      </c>
      <c r="BC140" s="134">
        <f>'Curve Analysis - Base Case'!D132</f>
        <v>47.628400268116302</v>
      </c>
      <c r="BD140" s="131">
        <f t="shared" si="62"/>
        <v>7.4364264136626015E-2</v>
      </c>
      <c r="BE140" s="131">
        <f t="shared" si="63"/>
        <v>7.4364264136626015E-2</v>
      </c>
      <c r="BF140" s="365">
        <f>PJM_01212000!X140</f>
        <v>0.13426502844047108</v>
      </c>
      <c r="BG140" s="85">
        <f t="shared" si="64"/>
        <v>4001</v>
      </c>
      <c r="BH140" s="84">
        <f t="shared" si="65"/>
        <v>0</v>
      </c>
      <c r="BJ140" s="537">
        <f>_xll.EURO(BB140,BC140,BD140,BE140,BF140,BG140,1,0)*BH140</f>
        <v>0</v>
      </c>
      <c r="BK140" s="84">
        <f t="shared" si="66"/>
        <v>0</v>
      </c>
      <c r="BM140" s="84">
        <f t="shared" si="67"/>
        <v>0</v>
      </c>
    </row>
    <row r="141" spans="1:65">
      <c r="A141" s="78">
        <f t="shared" si="77"/>
        <v>135</v>
      </c>
      <c r="C141" s="78">
        <v>31</v>
      </c>
      <c r="D141" s="78" t="s">
        <v>64</v>
      </c>
      <c r="E141" s="113">
        <f t="shared" si="78"/>
        <v>40603</v>
      </c>
      <c r="F141" s="85">
        <f t="shared" si="75"/>
        <v>21</v>
      </c>
      <c r="G141" s="84">
        <f t="shared" si="82"/>
        <v>10</v>
      </c>
      <c r="H141" s="84"/>
      <c r="I141" s="84"/>
      <c r="J141" s="78">
        <f t="shared" si="79"/>
        <v>31</v>
      </c>
      <c r="K141" s="149">
        <v>40603</v>
      </c>
      <c r="L141" s="508">
        <v>7.4359591344155013E-2</v>
      </c>
      <c r="M141" s="509">
        <v>6.3742816565557012E-2</v>
      </c>
      <c r="N141" s="132">
        <f t="shared" si="76"/>
        <v>0.44434137790091477</v>
      </c>
      <c r="O141" s="133">
        <f>VLOOKUP(K141,Inflation!$B$8:$C$266,2)</f>
        <v>1.3494832253756968</v>
      </c>
      <c r="P141" s="132"/>
      <c r="Q141" s="134">
        <f>VLOOKUP(K141,'Fuel Curve'!$B$11:$F$268,5)</f>
        <v>4.5939655172413802</v>
      </c>
      <c r="R141" s="238">
        <f>VLOOKUP(K141,'Fuel Curve Simulation'!$B$12:$J$258,9)</f>
        <v>4.5939655172413802</v>
      </c>
      <c r="S141" s="134">
        <f t="shared" si="83"/>
        <v>44.005595689655181</v>
      </c>
      <c r="T141" s="136"/>
      <c r="V141" s="135">
        <f>VLOOKUP(K141,PJM_01212000!$A$7:$C$259,3)</f>
        <v>29.800000762939455</v>
      </c>
      <c r="W141" s="486"/>
      <c r="X141" s="118">
        <f>'PJM Curve Simulation'!J141</f>
        <v>29.800000762939455</v>
      </c>
      <c r="Y141" s="512"/>
      <c r="Z141" s="137"/>
      <c r="AA141" s="78">
        <f t="shared" si="81"/>
        <v>315</v>
      </c>
      <c r="AB141" s="85">
        <f t="shared" si="84"/>
        <v>105840</v>
      </c>
      <c r="AC141" s="85">
        <f>VLOOKUP(K141,'Company Volumes'!$B$20:$C$259,2)</f>
        <v>670.64373574177762</v>
      </c>
      <c r="AD141" s="153">
        <f t="shared" ref="AD141:AD204" si="88">IF(V141&gt;S141+($AM$5*1000*O141),AA141*F141*16,0)</f>
        <v>0</v>
      </c>
      <c r="AE141" s="150"/>
      <c r="AF141" s="150">
        <v>0</v>
      </c>
      <c r="AG141" s="150">
        <v>0</v>
      </c>
      <c r="AH141" s="150">
        <f t="shared" ref="AH141:AH204" si="89">X141*AD141</f>
        <v>0</v>
      </c>
      <c r="AI141" s="150">
        <f t="shared" ref="AI141:AI204" si="90">SUM(AF141:AH141)</f>
        <v>0</v>
      </c>
      <c r="AJ141" s="150">
        <f t="shared" ref="AJ141:AJ204" si="91">(AD141*1000*$S$2)/1000000*R141</f>
        <v>0</v>
      </c>
      <c r="AK141" s="85">
        <f t="shared" ref="AK141:AK204" si="92">($AK$5*O141)/12</f>
        <v>67474.161268784839</v>
      </c>
      <c r="AL141" s="85">
        <f t="shared" ref="AL141:AL204" si="93">($AL$5*O141)/12</f>
        <v>172059.11123540133</v>
      </c>
      <c r="AM141" s="85">
        <f t="shared" si="85"/>
        <v>0</v>
      </c>
      <c r="AN141" s="85">
        <f t="shared" si="86"/>
        <v>154290.91543462133</v>
      </c>
      <c r="AO141" s="85">
        <f t="shared" ref="AO141:AO204" si="94">($AO$5*O141)/12</f>
        <v>33737.08063439242</v>
      </c>
      <c r="AP141" s="85">
        <f t="shared" si="68"/>
        <v>46500.558215233643</v>
      </c>
      <c r="AQ141" s="84">
        <f t="shared" ref="AQ141:AQ204" si="95">SUM(AK141:AP141)</f>
        <v>474061.82678843359</v>
      </c>
      <c r="AR141" s="85">
        <f t="shared" ref="AR141:AR204" si="96">($AR$5*O141)/12</f>
        <v>16868.54031719621</v>
      </c>
      <c r="AS141" s="84">
        <f t="shared" si="72"/>
        <v>30387.755000000001</v>
      </c>
      <c r="AT141" s="85">
        <f t="shared" ref="AT141:AT204" si="97">(AI141/100)*$AT$6*O141</f>
        <v>0</v>
      </c>
      <c r="AU141" s="84">
        <f t="shared" ref="AU141:AU204" si="98">SUM(AJ141:AT141)-AQ141</f>
        <v>521318.12210562977</v>
      </c>
      <c r="AV141" s="84">
        <f t="shared" si="87"/>
        <v>-521318.12210562977</v>
      </c>
      <c r="AW141" s="453"/>
      <c r="AX141" s="93">
        <f t="shared" si="80"/>
        <v>40603</v>
      </c>
      <c r="BA141" s="315"/>
      <c r="BB141" s="134">
        <f t="shared" ref="BB141:BB204" si="99">X141</f>
        <v>29.800000762939455</v>
      </c>
      <c r="BC141" s="134">
        <f>'Curve Analysis - Base Case'!D133</f>
        <v>46.704562140406573</v>
      </c>
      <c r="BD141" s="131">
        <f t="shared" ref="BD141:BD204" si="100">L141</f>
        <v>7.4359591344155013E-2</v>
      </c>
      <c r="BE141" s="131">
        <f t="shared" ref="BE141:BE204" si="101">L141</f>
        <v>7.4359591344155013E-2</v>
      </c>
      <c r="BF141" s="365">
        <f>PJM_01212000!X141</f>
        <v>0.11188752370039255</v>
      </c>
      <c r="BG141" s="85">
        <f t="shared" ref="BG141:BG204" si="102">(AX141+15)-$K$1</f>
        <v>4029</v>
      </c>
      <c r="BH141" s="84">
        <f t="shared" ref="BH141:BH204" si="103">AD141</f>
        <v>0</v>
      </c>
      <c r="BJ141" s="537">
        <f>_xll.EURO(BB141,BC141,BD141,BE141,BF141,BG141,1,0)*BH141</f>
        <v>0</v>
      </c>
      <c r="BK141" s="84">
        <f t="shared" ref="BK141:BK204" si="104">(AI141-AJ141)*N141</f>
        <v>0</v>
      </c>
      <c r="BM141" s="84">
        <f t="shared" ref="BM141:BM204" si="105">BJ141-BK141</f>
        <v>0</v>
      </c>
    </row>
    <row r="142" spans="1:65">
      <c r="A142" s="78">
        <f t="shared" si="77"/>
        <v>136</v>
      </c>
      <c r="C142" s="78">
        <v>30</v>
      </c>
      <c r="D142" s="78" t="s">
        <v>65</v>
      </c>
      <c r="E142" s="113">
        <f t="shared" si="78"/>
        <v>40634</v>
      </c>
      <c r="F142" s="85">
        <f t="shared" si="75"/>
        <v>22</v>
      </c>
      <c r="G142" s="84">
        <f t="shared" si="82"/>
        <v>8</v>
      </c>
      <c r="H142" s="84"/>
      <c r="I142" s="84"/>
      <c r="J142" s="78">
        <f t="shared" si="79"/>
        <v>30</v>
      </c>
      <c r="K142" s="149">
        <v>40634</v>
      </c>
      <c r="L142" s="508">
        <v>7.4354417895356004E-2</v>
      </c>
      <c r="M142" s="509">
        <v>6.3754428742371014E-2</v>
      </c>
      <c r="N142" s="132">
        <f t="shared" si="76"/>
        <v>0.44162112096298678</v>
      </c>
      <c r="O142" s="133">
        <f>VLOOKUP(K142,Inflation!$B$8:$C$266,2)</f>
        <v>1.3524826236256939</v>
      </c>
      <c r="P142" s="132"/>
      <c r="Q142" s="134">
        <f>VLOOKUP(K142,'Fuel Curve'!$B$11:$F$268,5)</f>
        <v>4.4939655172413797</v>
      </c>
      <c r="R142" s="238">
        <f>VLOOKUP(K142,'Fuel Curve Simulation'!$B$12:$J$258,9)</f>
        <v>4.4939655172413797</v>
      </c>
      <c r="S142" s="134">
        <f t="shared" si="83"/>
        <v>43.047695689655178</v>
      </c>
      <c r="T142" s="136"/>
      <c r="V142" s="135">
        <f>VLOOKUP(K142,PJM_01212000!$A$7:$C$259,3)</f>
        <v>29.575000762939453</v>
      </c>
      <c r="W142" s="486"/>
      <c r="X142" s="118">
        <f>'PJM Curve Simulation'!J142</f>
        <v>29.575000762939453</v>
      </c>
      <c r="Y142" s="512"/>
      <c r="Z142" s="137"/>
      <c r="AA142" s="78">
        <f t="shared" si="81"/>
        <v>315</v>
      </c>
      <c r="AB142" s="85">
        <f t="shared" si="84"/>
        <v>110880</v>
      </c>
      <c r="AC142" s="85">
        <f>VLOOKUP(K142,'Company Volumes'!$B$20:$C$259,2)</f>
        <v>8508.9366325319988</v>
      </c>
      <c r="AD142" s="153">
        <f t="shared" si="88"/>
        <v>0</v>
      </c>
      <c r="AE142" s="150"/>
      <c r="AF142" s="150">
        <v>0</v>
      </c>
      <c r="AG142" s="150">
        <v>0</v>
      </c>
      <c r="AH142" s="150">
        <f t="shared" si="89"/>
        <v>0</v>
      </c>
      <c r="AI142" s="150">
        <f t="shared" si="90"/>
        <v>0</v>
      </c>
      <c r="AJ142" s="150">
        <f t="shared" si="91"/>
        <v>0</v>
      </c>
      <c r="AK142" s="85">
        <f t="shared" si="92"/>
        <v>67624.131181284698</v>
      </c>
      <c r="AL142" s="85">
        <f t="shared" si="93"/>
        <v>172441.53451227598</v>
      </c>
      <c r="AM142" s="85">
        <f t="shared" si="85"/>
        <v>0</v>
      </c>
      <c r="AN142" s="85">
        <f t="shared" si="86"/>
        <v>154633.84663453768</v>
      </c>
      <c r="AO142" s="85">
        <f t="shared" si="94"/>
        <v>33812.065590642349</v>
      </c>
      <c r="AP142" s="85">
        <f t="shared" ref="AP142:AP205" si="106">AP141</f>
        <v>46500.558215233643</v>
      </c>
      <c r="AQ142" s="84">
        <f t="shared" si="95"/>
        <v>475012.1361339743</v>
      </c>
      <c r="AR142" s="85">
        <f t="shared" si="96"/>
        <v>16906.032795321174</v>
      </c>
      <c r="AS142" s="84">
        <f t="shared" si="72"/>
        <v>30387.755000000001</v>
      </c>
      <c r="AT142" s="85">
        <f t="shared" si="97"/>
        <v>0</v>
      </c>
      <c r="AU142" s="84">
        <f t="shared" si="98"/>
        <v>522305.9239292955</v>
      </c>
      <c r="AV142" s="84">
        <f t="shared" si="87"/>
        <v>-522305.9239292955</v>
      </c>
      <c r="AW142" s="453"/>
      <c r="AX142" s="93">
        <f t="shared" si="80"/>
        <v>40634</v>
      </c>
      <c r="BA142" s="315"/>
      <c r="BB142" s="134">
        <f t="shared" si="99"/>
        <v>29.575000762939453</v>
      </c>
      <c r="BC142" s="134">
        <f>'Curve Analysis - Base Case'!D134</f>
        <v>45.752660936906565</v>
      </c>
      <c r="BD142" s="131">
        <f t="shared" si="100"/>
        <v>7.4354417895356004E-2</v>
      </c>
      <c r="BE142" s="131">
        <f t="shared" si="101"/>
        <v>7.4354417895356004E-2</v>
      </c>
      <c r="BF142" s="365">
        <f>PJM_01212000!X142</f>
        <v>0.10629314751537294</v>
      </c>
      <c r="BG142" s="85">
        <f t="shared" si="102"/>
        <v>4060</v>
      </c>
      <c r="BH142" s="84">
        <f t="shared" si="103"/>
        <v>0</v>
      </c>
      <c r="BJ142" s="537">
        <f>_xll.EURO(BB142,BC142,BD142,BE142,BF142,BG142,1,0)*BH142</f>
        <v>0</v>
      </c>
      <c r="BK142" s="84">
        <f t="shared" si="104"/>
        <v>0</v>
      </c>
      <c r="BM142" s="84">
        <f t="shared" si="105"/>
        <v>0</v>
      </c>
    </row>
    <row r="143" spans="1:65">
      <c r="A143" s="78">
        <f t="shared" si="77"/>
        <v>137</v>
      </c>
      <c r="C143" s="78">
        <v>31</v>
      </c>
      <c r="D143" s="78" t="s">
        <v>38</v>
      </c>
      <c r="E143" s="113">
        <f t="shared" si="78"/>
        <v>40664</v>
      </c>
      <c r="F143" s="85">
        <f t="shared" si="75"/>
        <v>22</v>
      </c>
      <c r="G143" s="84">
        <f t="shared" si="82"/>
        <v>9</v>
      </c>
      <c r="H143" s="84"/>
      <c r="I143" s="84"/>
      <c r="J143" s="78">
        <f t="shared" si="79"/>
        <v>31</v>
      </c>
      <c r="K143" s="149">
        <v>40664</v>
      </c>
      <c r="L143" s="508">
        <v>7.4349411332009008E-2</v>
      </c>
      <c r="M143" s="509">
        <v>6.3765666333730014E-2</v>
      </c>
      <c r="N143" s="132">
        <f t="shared" si="76"/>
        <v>0.43900482552622222</v>
      </c>
      <c r="O143" s="133">
        <f>VLOOKUP(K143,Inflation!$B$8:$C$266,2)</f>
        <v>1.3554886884201081</v>
      </c>
      <c r="P143" s="132"/>
      <c r="Q143" s="134">
        <f>VLOOKUP(K143,'Fuel Curve'!$B$11:$F$268,5)</f>
        <v>4.4267241379310347</v>
      </c>
      <c r="R143" s="238">
        <f>VLOOKUP(K143,'Fuel Curve Simulation'!$B$12:$J$258,9)</f>
        <v>4.4267241379310347</v>
      </c>
      <c r="S143" s="134">
        <f t="shared" si="83"/>
        <v>42.403590517241383</v>
      </c>
      <c r="T143" s="136"/>
      <c r="V143" s="135">
        <f>VLOOKUP(K143,PJM_01212000!$A$7:$C$259,3)</f>
        <v>37.575000000000003</v>
      </c>
      <c r="W143" s="486"/>
      <c r="X143" s="118">
        <f>'PJM Curve Simulation'!J143</f>
        <v>37.575000000000003</v>
      </c>
      <c r="Y143" s="512"/>
      <c r="Z143" s="137"/>
      <c r="AA143" s="78">
        <f t="shared" si="81"/>
        <v>315</v>
      </c>
      <c r="AB143" s="85">
        <f t="shared" si="84"/>
        <v>110880</v>
      </c>
      <c r="AC143" s="85">
        <f>VLOOKUP(K143,'Company Volumes'!$B$20:$C$259,2)</f>
        <v>16689.445243883998</v>
      </c>
      <c r="AD143" s="153">
        <f t="shared" si="88"/>
        <v>0</v>
      </c>
      <c r="AE143" s="150"/>
      <c r="AF143" s="150">
        <v>0</v>
      </c>
      <c r="AG143" s="150">
        <v>0</v>
      </c>
      <c r="AH143" s="150">
        <f t="shared" si="89"/>
        <v>0</v>
      </c>
      <c r="AI143" s="150">
        <f t="shared" si="90"/>
        <v>0</v>
      </c>
      <c r="AJ143" s="150">
        <f t="shared" si="91"/>
        <v>0</v>
      </c>
      <c r="AK143" s="85">
        <f t="shared" si="92"/>
        <v>67774.434421005411</v>
      </c>
      <c r="AL143" s="85">
        <f t="shared" si="93"/>
        <v>172824.80777356378</v>
      </c>
      <c r="AM143" s="85">
        <f t="shared" si="85"/>
        <v>0</v>
      </c>
      <c r="AN143" s="85">
        <f t="shared" si="86"/>
        <v>154977.54004269902</v>
      </c>
      <c r="AO143" s="85">
        <f t="shared" si="94"/>
        <v>33887.217210502706</v>
      </c>
      <c r="AP143" s="85">
        <f t="shared" si="106"/>
        <v>46500.558215233643</v>
      </c>
      <c r="AQ143" s="84">
        <f t="shared" si="95"/>
        <v>475964.55766300461</v>
      </c>
      <c r="AR143" s="85">
        <f t="shared" si="96"/>
        <v>16943.608605251353</v>
      </c>
      <c r="AS143" s="84">
        <f t="shared" si="72"/>
        <v>30387.755000000001</v>
      </c>
      <c r="AT143" s="85">
        <f t="shared" si="97"/>
        <v>0</v>
      </c>
      <c r="AU143" s="84">
        <f t="shared" si="98"/>
        <v>523295.92126825592</v>
      </c>
      <c r="AV143" s="84">
        <f t="shared" si="87"/>
        <v>-523295.92126825592</v>
      </c>
      <c r="AW143" s="453"/>
      <c r="AX143" s="93">
        <f t="shared" si="80"/>
        <v>40664</v>
      </c>
      <c r="BA143" s="315"/>
      <c r="BB143" s="134">
        <f t="shared" si="99"/>
        <v>37.575000000000003</v>
      </c>
      <c r="BC143" s="134">
        <f>'Curve Analysis - Base Case'!D135</f>
        <v>45.114567894081603</v>
      </c>
      <c r="BD143" s="131">
        <f t="shared" si="100"/>
        <v>7.4349411332009008E-2</v>
      </c>
      <c r="BE143" s="131">
        <f t="shared" si="101"/>
        <v>7.4349411332009008E-2</v>
      </c>
      <c r="BF143" s="365">
        <f>PJM_01212000!X143</f>
        <v>0.11748189988541217</v>
      </c>
      <c r="BG143" s="85">
        <f t="shared" si="102"/>
        <v>4090</v>
      </c>
      <c r="BH143" s="84">
        <f t="shared" si="103"/>
        <v>0</v>
      </c>
      <c r="BJ143" s="537">
        <f>_xll.EURO(BB143,BC143,BD143,BE143,BF143,BG143,1,0)*BH143</f>
        <v>0</v>
      </c>
      <c r="BK143" s="84">
        <f t="shared" si="104"/>
        <v>0</v>
      </c>
      <c r="BM143" s="84">
        <f t="shared" si="105"/>
        <v>0</v>
      </c>
    </row>
    <row r="144" spans="1:65">
      <c r="A144" s="78">
        <f t="shared" si="77"/>
        <v>138</v>
      </c>
      <c r="C144" s="78">
        <v>30</v>
      </c>
      <c r="D144" s="78" t="s">
        <v>66</v>
      </c>
      <c r="E144" s="113">
        <f t="shared" si="78"/>
        <v>40695</v>
      </c>
      <c r="F144" s="85">
        <f t="shared" si="75"/>
        <v>21</v>
      </c>
      <c r="G144" s="84">
        <f t="shared" si="82"/>
        <v>9</v>
      </c>
      <c r="H144" s="84"/>
      <c r="I144" s="84"/>
      <c r="J144" s="78">
        <f t="shared" si="79"/>
        <v>30</v>
      </c>
      <c r="K144" s="149">
        <v>40695</v>
      </c>
      <c r="L144" s="508">
        <v>7.4344237883228012E-2</v>
      </c>
      <c r="M144" s="509">
        <v>6.3777278512391011E-2</v>
      </c>
      <c r="N144" s="132">
        <f t="shared" si="76"/>
        <v>0.43631796601260575</v>
      </c>
      <c r="O144" s="133">
        <f>VLOOKUP(K144,Inflation!$B$8:$C$266,2)</f>
        <v>1.358501434576183</v>
      </c>
      <c r="P144" s="132"/>
      <c r="Q144" s="134">
        <f>VLOOKUP(K144,'Fuel Curve'!$B$11:$F$268,5)</f>
        <v>4.4201724137931047</v>
      </c>
      <c r="R144" s="238">
        <f>VLOOKUP(K144,'Fuel Curve Simulation'!$B$12:$J$258,9)</f>
        <v>4.4201724137931047</v>
      </c>
      <c r="S144" s="134">
        <f t="shared" si="83"/>
        <v>42.34083155172415</v>
      </c>
      <c r="T144" s="136"/>
      <c r="V144" s="135">
        <f>VLOOKUP(K144,PJM_01212000!$A$7:$C$259,3)</f>
        <v>63.099998474121094</v>
      </c>
      <c r="W144" s="486"/>
      <c r="X144" s="118">
        <f>'PJM Curve Simulation'!J144</f>
        <v>63.099998474121094</v>
      </c>
      <c r="Y144" s="512"/>
      <c r="Z144" s="137"/>
      <c r="AA144" s="78">
        <f t="shared" si="81"/>
        <v>315</v>
      </c>
      <c r="AB144" s="85">
        <f t="shared" si="84"/>
        <v>105840</v>
      </c>
      <c r="AC144" s="85">
        <f>VLOOKUP(K144,'Company Volumes'!$B$20:$C$259,2)</f>
        <v>31891.233976370222</v>
      </c>
      <c r="AD144" s="153">
        <f t="shared" si="88"/>
        <v>105840</v>
      </c>
      <c r="AE144" s="150"/>
      <c r="AF144" s="150">
        <v>0</v>
      </c>
      <c r="AG144" s="150">
        <v>0</v>
      </c>
      <c r="AH144" s="150">
        <f t="shared" si="89"/>
        <v>6678503.8385009766</v>
      </c>
      <c r="AI144" s="150">
        <f t="shared" si="90"/>
        <v>6678503.8385009766</v>
      </c>
      <c r="AJ144" s="150">
        <f t="shared" si="91"/>
        <v>4481353.6114344839</v>
      </c>
      <c r="AK144" s="85">
        <f t="shared" si="92"/>
        <v>67925.071728809155</v>
      </c>
      <c r="AL144" s="85">
        <f t="shared" si="93"/>
        <v>173208.93290846332</v>
      </c>
      <c r="AM144" s="85">
        <f t="shared" si="85"/>
        <v>287567.58367108641</v>
      </c>
      <c r="AN144" s="85">
        <f t="shared" si="86"/>
        <v>155321.99735321026</v>
      </c>
      <c r="AO144" s="85">
        <f t="shared" si="94"/>
        <v>33962.535864404577</v>
      </c>
      <c r="AP144" s="85">
        <f t="shared" si="106"/>
        <v>46500.558215233643</v>
      </c>
      <c r="AQ144" s="84">
        <f t="shared" si="95"/>
        <v>764486.67974120739</v>
      </c>
      <c r="AR144" s="85">
        <f t="shared" si="96"/>
        <v>16981.267932202289</v>
      </c>
      <c r="AS144" s="84">
        <f t="shared" si="72"/>
        <v>30387.755000000001</v>
      </c>
      <c r="AT144" s="85">
        <f t="shared" si="97"/>
        <v>54436.542272556733</v>
      </c>
      <c r="AU144" s="84">
        <f t="shared" si="98"/>
        <v>5347645.8563804496</v>
      </c>
      <c r="AV144" s="84">
        <f t="shared" si="87"/>
        <v>1330857.982120527</v>
      </c>
      <c r="AW144" s="453"/>
      <c r="AX144" s="93">
        <f t="shared" si="80"/>
        <v>40695</v>
      </c>
      <c r="BA144" s="315"/>
      <c r="BB144" s="134">
        <f t="shared" si="99"/>
        <v>63.099998474121094</v>
      </c>
      <c r="BC144" s="134">
        <f>'Curve Analysis - Base Case'!D136</f>
        <v>45.057834420876517</v>
      </c>
      <c r="BD144" s="131">
        <f t="shared" si="100"/>
        <v>7.4344237883228012E-2</v>
      </c>
      <c r="BE144" s="131">
        <f t="shared" si="101"/>
        <v>7.4344237883228012E-2</v>
      </c>
      <c r="BF144" s="365">
        <f>PJM_01212000!X144</f>
        <v>0.15104815699552995</v>
      </c>
      <c r="BG144" s="85">
        <f t="shared" si="102"/>
        <v>4121</v>
      </c>
      <c r="BH144" s="84">
        <f t="shared" si="103"/>
        <v>105840</v>
      </c>
      <c r="BJ144" s="537">
        <f>_xll.EURO(BB144,BC144,BD144,BE144,BF144,BG144,1,0)*BH144</f>
        <v>1009984.8176394465</v>
      </c>
      <c r="BK144" s="84">
        <f t="shared" si="104"/>
        <v>958656.11809778691</v>
      </c>
      <c r="BM144" s="84">
        <f t="shared" si="105"/>
        <v>51328.69954165956</v>
      </c>
    </row>
    <row r="145" spans="1:65">
      <c r="A145" s="78">
        <f t="shared" si="77"/>
        <v>139</v>
      </c>
      <c r="C145" s="78">
        <v>31</v>
      </c>
      <c r="D145" s="78" t="s">
        <v>67</v>
      </c>
      <c r="E145" s="113">
        <f t="shared" si="78"/>
        <v>40725</v>
      </c>
      <c r="F145" s="85">
        <f t="shared" si="75"/>
        <v>23</v>
      </c>
      <c r="G145" s="84">
        <f t="shared" si="82"/>
        <v>8</v>
      </c>
      <c r="H145" s="84"/>
      <c r="I145" s="84"/>
      <c r="J145" s="78">
        <f t="shared" si="79"/>
        <v>31</v>
      </c>
      <c r="K145" s="149">
        <v>40725</v>
      </c>
      <c r="L145" s="508">
        <v>7.4339231319899002E-2</v>
      </c>
      <c r="M145" s="509">
        <v>6.3788516105538998E-2</v>
      </c>
      <c r="N145" s="132">
        <f t="shared" si="76"/>
        <v>0.4337337874939835</v>
      </c>
      <c r="O145" s="133">
        <f>VLOOKUP(K145,Inflation!$B$8:$C$266,2)</f>
        <v>1.3615208769440954</v>
      </c>
      <c r="P145" s="132"/>
      <c r="Q145" s="134">
        <f>VLOOKUP(K145,'Fuel Curve'!$B$11:$F$268,5)</f>
        <v>4.477413793103449</v>
      </c>
      <c r="R145" s="238">
        <f>VLOOKUP(K145,'Fuel Curve Simulation'!$B$12:$J$258,9)</f>
        <v>4.477413793103449</v>
      </c>
      <c r="S145" s="134">
        <f t="shared" si="83"/>
        <v>42.889146724137937</v>
      </c>
      <c r="T145" s="136"/>
      <c r="V145" s="135">
        <f>VLOOKUP(K145,PJM_01212000!$A$7:$C$259,3)</f>
        <v>109.19999694824219</v>
      </c>
      <c r="W145" s="486"/>
      <c r="X145" s="118">
        <f>'PJM Curve Simulation'!J145</f>
        <v>109.19999694824219</v>
      </c>
      <c r="Y145" s="512"/>
      <c r="Z145" s="137"/>
      <c r="AA145" s="78">
        <f t="shared" si="81"/>
        <v>315</v>
      </c>
      <c r="AB145" s="85">
        <f t="shared" si="84"/>
        <v>115920</v>
      </c>
      <c r="AC145" s="85">
        <f>VLOOKUP(K145,'Company Volumes'!$B$20:$C$259,2)</f>
        <v>50841.031400671549</v>
      </c>
      <c r="AD145" s="153">
        <f t="shared" si="88"/>
        <v>115920</v>
      </c>
      <c r="AE145" s="150"/>
      <c r="AF145" s="150">
        <v>0</v>
      </c>
      <c r="AG145" s="150">
        <v>0</v>
      </c>
      <c r="AH145" s="150">
        <f t="shared" si="89"/>
        <v>12658463.646240234</v>
      </c>
      <c r="AI145" s="150">
        <f t="shared" si="90"/>
        <v>12658463.646240234</v>
      </c>
      <c r="AJ145" s="150">
        <f t="shared" si="91"/>
        <v>4971709.8882620698</v>
      </c>
      <c r="AK145" s="85">
        <f t="shared" si="92"/>
        <v>68076.043847204768</v>
      </c>
      <c r="AL145" s="85">
        <f t="shared" si="93"/>
        <v>173593.91181037217</v>
      </c>
      <c r="AM145" s="85">
        <f t="shared" si="85"/>
        <v>315655.00011071906</v>
      </c>
      <c r="AN145" s="85">
        <f t="shared" si="86"/>
        <v>155667.22026394156</v>
      </c>
      <c r="AO145" s="85">
        <f t="shared" si="94"/>
        <v>34038.021923602384</v>
      </c>
      <c r="AP145" s="85">
        <f t="shared" si="106"/>
        <v>46500.558215233643</v>
      </c>
      <c r="AQ145" s="84">
        <f t="shared" si="95"/>
        <v>793530.75617107365</v>
      </c>
      <c r="AR145" s="85">
        <f t="shared" si="96"/>
        <v>17019.010961801192</v>
      </c>
      <c r="AS145" s="84">
        <f t="shared" si="72"/>
        <v>30387.755000000001</v>
      </c>
      <c r="AT145" s="85">
        <f t="shared" si="97"/>
        <v>103408.57514636373</v>
      </c>
      <c r="AU145" s="84">
        <f t="shared" si="98"/>
        <v>5916055.9855413083</v>
      </c>
      <c r="AV145" s="84">
        <f t="shared" si="87"/>
        <v>6742407.6606989261</v>
      </c>
      <c r="AW145" s="453"/>
      <c r="AX145" s="93">
        <f t="shared" si="80"/>
        <v>40725</v>
      </c>
      <c r="BA145" s="315"/>
      <c r="BB145" s="134">
        <f t="shared" si="99"/>
        <v>109.19999694824219</v>
      </c>
      <c r="BC145" s="134">
        <f>'Curve Analysis - Base Case'!D137</f>
        <v>45.612188478026127</v>
      </c>
      <c r="BD145" s="131">
        <f t="shared" si="100"/>
        <v>7.4339231319899002E-2</v>
      </c>
      <c r="BE145" s="131">
        <f t="shared" si="101"/>
        <v>7.4339231319899002E-2</v>
      </c>
      <c r="BF145" s="365">
        <f>PJM_01212000!X145</f>
        <v>0.18461441410564769</v>
      </c>
      <c r="BG145" s="85">
        <f t="shared" si="102"/>
        <v>4151</v>
      </c>
      <c r="BH145" s="84">
        <f t="shared" si="103"/>
        <v>115920</v>
      </c>
      <c r="BJ145" s="537">
        <f>_xll.EURO(BB145,BC145,BD145,BE145,BF145,BG145,1,0)*BH145</f>
        <v>3243826.4374713977</v>
      </c>
      <c r="BK145" s="84">
        <f t="shared" si="104"/>
        <v>3334004.8209814802</v>
      </c>
      <c r="BM145" s="84">
        <f t="shared" si="105"/>
        <v>-90178.383510082494</v>
      </c>
    </row>
    <row r="146" spans="1:65">
      <c r="A146" s="78">
        <f t="shared" si="77"/>
        <v>140</v>
      </c>
      <c r="C146" s="78">
        <v>31</v>
      </c>
      <c r="D146" s="78" t="s">
        <v>68</v>
      </c>
      <c r="E146" s="113">
        <f t="shared" si="78"/>
        <v>40756</v>
      </c>
      <c r="F146" s="85">
        <f t="shared" si="75"/>
        <v>21</v>
      </c>
      <c r="G146" s="84">
        <f t="shared" si="82"/>
        <v>10</v>
      </c>
      <c r="H146" s="84"/>
      <c r="I146" s="84"/>
      <c r="J146" s="78">
        <f t="shared" si="79"/>
        <v>31</v>
      </c>
      <c r="K146" s="149">
        <v>40756</v>
      </c>
      <c r="L146" s="508">
        <v>7.4334057871135006E-2</v>
      </c>
      <c r="M146" s="509">
        <v>6.3800128286049015E-2</v>
      </c>
      <c r="N146" s="132">
        <f t="shared" si="76"/>
        <v>0.43107990687313497</v>
      </c>
      <c r="O146" s="133">
        <f>VLOOKUP(K146,Inflation!$B$8:$C$266,2)</f>
        <v>1.3645470304070284</v>
      </c>
      <c r="P146" s="132"/>
      <c r="Q146" s="134">
        <f>VLOOKUP(K146,'Fuel Curve'!$B$11:$F$268,5)</f>
        <v>4.5679310344827595</v>
      </c>
      <c r="R146" s="238">
        <f>VLOOKUP(K146,'Fuel Curve Simulation'!$B$12:$J$258,9)</f>
        <v>4.5679310344827595</v>
      </c>
      <c r="S146" s="134">
        <f t="shared" si="83"/>
        <v>43.756211379310358</v>
      </c>
      <c r="T146" s="136"/>
      <c r="V146" s="135">
        <f>VLOOKUP(K146,PJM_01212000!$A$7:$C$259,3)</f>
        <v>96.199996948242188</v>
      </c>
      <c r="W146" s="486"/>
      <c r="X146" s="118">
        <f>'PJM Curve Simulation'!J146</f>
        <v>96.199996948242188</v>
      </c>
      <c r="Y146" s="512"/>
      <c r="Z146" s="137"/>
      <c r="AA146" s="78">
        <f t="shared" si="81"/>
        <v>315</v>
      </c>
      <c r="AB146" s="85">
        <f t="shared" si="84"/>
        <v>105840</v>
      </c>
      <c r="AC146" s="85">
        <f>VLOOKUP(K146,'Company Volumes'!$B$20:$C$259,2)</f>
        <v>33894.020934109772</v>
      </c>
      <c r="AD146" s="153">
        <f t="shared" si="88"/>
        <v>105840</v>
      </c>
      <c r="AE146" s="150"/>
      <c r="AF146" s="150">
        <v>0</v>
      </c>
      <c r="AG146" s="150">
        <v>0</v>
      </c>
      <c r="AH146" s="150">
        <f t="shared" si="89"/>
        <v>10181807.677001953</v>
      </c>
      <c r="AI146" s="150">
        <f t="shared" si="90"/>
        <v>10181807.677001953</v>
      </c>
      <c r="AJ146" s="150">
        <f t="shared" si="91"/>
        <v>4631157.4123862078</v>
      </c>
      <c r="AK146" s="85">
        <f t="shared" si="92"/>
        <v>68227.351520351411</v>
      </c>
      <c r="AL146" s="85">
        <f t="shared" si="93"/>
        <v>173979.74637689613</v>
      </c>
      <c r="AM146" s="85">
        <f t="shared" si="85"/>
        <v>288847.31539655977</v>
      </c>
      <c r="AN146" s="85">
        <f t="shared" si="86"/>
        <v>156013.21047653691</v>
      </c>
      <c r="AO146" s="85">
        <f t="shared" si="94"/>
        <v>34113.675760175705</v>
      </c>
      <c r="AP146" s="85">
        <f t="shared" si="106"/>
        <v>46500.558215233643</v>
      </c>
      <c r="AQ146" s="84">
        <f t="shared" si="95"/>
        <v>767681.85774575348</v>
      </c>
      <c r="AR146" s="85">
        <f t="shared" si="96"/>
        <v>17056.837880087853</v>
      </c>
      <c r="AS146" s="84">
        <f t="shared" si="72"/>
        <v>30387.755000000001</v>
      </c>
      <c r="AT146" s="85">
        <f t="shared" si="97"/>
        <v>83361.332578970992</v>
      </c>
      <c r="AU146" s="84">
        <f t="shared" si="98"/>
        <v>5529645.1955910204</v>
      </c>
      <c r="AV146" s="84">
        <f t="shared" si="87"/>
        <v>4652162.4814109327</v>
      </c>
      <c r="AW146" s="453"/>
      <c r="AX146" s="93">
        <f t="shared" si="80"/>
        <v>40756</v>
      </c>
      <c r="BA146" s="315"/>
      <c r="BB146" s="134">
        <f t="shared" si="99"/>
        <v>96.199996948242188</v>
      </c>
      <c r="BC146" s="134">
        <f>'Curve Analysis - Base Case'!D138</f>
        <v>46.485305440124414</v>
      </c>
      <c r="BD146" s="131">
        <f t="shared" si="100"/>
        <v>7.4334057871135006E-2</v>
      </c>
      <c r="BE146" s="131">
        <f t="shared" si="101"/>
        <v>7.4334057871135006E-2</v>
      </c>
      <c r="BF146" s="365">
        <f>PJM_01212000!X146</f>
        <v>0.18461441410564769</v>
      </c>
      <c r="BG146" s="85">
        <f t="shared" si="102"/>
        <v>4182</v>
      </c>
      <c r="BH146" s="84">
        <f t="shared" si="103"/>
        <v>105840</v>
      </c>
      <c r="BJ146" s="537">
        <f>_xll.EURO(BB146,BC146,BD146,BE146,BF146,BG146,1,0)*BH146</f>
        <v>2356760.561440357</v>
      </c>
      <c r="BK146" s="84">
        <f t="shared" si="104"/>
        <v>2392773.7991558975</v>
      </c>
      <c r="BM146" s="84">
        <f t="shared" si="105"/>
        <v>-36013.237715540454</v>
      </c>
    </row>
    <row r="147" spans="1:65">
      <c r="A147" s="78">
        <f t="shared" si="77"/>
        <v>141</v>
      </c>
      <c r="C147" s="78">
        <v>30</v>
      </c>
      <c r="D147" s="78" t="s">
        <v>69</v>
      </c>
      <c r="E147" s="113">
        <f t="shared" si="78"/>
        <v>40787</v>
      </c>
      <c r="F147" s="85">
        <f t="shared" si="75"/>
        <v>22</v>
      </c>
      <c r="G147" s="84">
        <f t="shared" si="82"/>
        <v>8</v>
      </c>
      <c r="H147" s="84"/>
      <c r="I147" s="84"/>
      <c r="J147" s="78">
        <f t="shared" si="79"/>
        <v>30</v>
      </c>
      <c r="K147" s="149">
        <v>40787</v>
      </c>
      <c r="L147" s="508">
        <v>7.4328884422379032E-2</v>
      </c>
      <c r="M147" s="509">
        <v>6.3811740467497005E-2</v>
      </c>
      <c r="N147" s="132">
        <f t="shared" si="76"/>
        <v>0.42844262733949767</v>
      </c>
      <c r="O147" s="133">
        <f>VLOOKUP(K147,Inflation!$B$8:$C$266,2)</f>
        <v>1.3675799098812451</v>
      </c>
      <c r="P147" s="132"/>
      <c r="Q147" s="134">
        <f>VLOOKUP(K147,'Fuel Curve'!$B$11:$F$268,5)</f>
        <v>4.6627586206896563</v>
      </c>
      <c r="R147" s="238">
        <f>VLOOKUP(K147,'Fuel Curve Simulation'!$B$12:$J$258,9)</f>
        <v>4.6627586206896563</v>
      </c>
      <c r="S147" s="134">
        <f t="shared" si="83"/>
        <v>44.664564827586219</v>
      </c>
      <c r="T147" s="136"/>
      <c r="V147" s="135">
        <f>VLOOKUP(K147,PJM_01212000!$A$7:$C$259,3)</f>
        <v>36.924998474121097</v>
      </c>
      <c r="W147" s="486"/>
      <c r="X147" s="118">
        <f>'PJM Curve Simulation'!J147</f>
        <v>36.924998474121097</v>
      </c>
      <c r="Y147" s="512"/>
      <c r="Z147" s="137"/>
      <c r="AA147" s="78">
        <f t="shared" si="81"/>
        <v>315</v>
      </c>
      <c r="AB147" s="85">
        <f t="shared" si="84"/>
        <v>110880</v>
      </c>
      <c r="AC147" s="85">
        <f>VLOOKUP(K147,'Company Volumes'!$B$20:$C$259,2)</f>
        <v>20398.210853635999</v>
      </c>
      <c r="AD147" s="153">
        <f t="shared" si="88"/>
        <v>0</v>
      </c>
      <c r="AE147" s="150"/>
      <c r="AF147" s="150">
        <v>0</v>
      </c>
      <c r="AG147" s="150">
        <v>0</v>
      </c>
      <c r="AH147" s="150">
        <f t="shared" si="89"/>
        <v>0</v>
      </c>
      <c r="AI147" s="150">
        <f t="shared" si="90"/>
        <v>0</v>
      </c>
      <c r="AJ147" s="150">
        <f t="shared" si="91"/>
        <v>0</v>
      </c>
      <c r="AK147" s="85">
        <f t="shared" si="92"/>
        <v>68378.995494062256</v>
      </c>
      <c r="AL147" s="85">
        <f t="shared" si="93"/>
        <v>174366.43850985877</v>
      </c>
      <c r="AM147" s="85">
        <f t="shared" si="85"/>
        <v>0</v>
      </c>
      <c r="AN147" s="85">
        <f t="shared" si="86"/>
        <v>156359.96969642237</v>
      </c>
      <c r="AO147" s="85">
        <f t="shared" si="94"/>
        <v>34189.497747031128</v>
      </c>
      <c r="AP147" s="85">
        <f t="shared" si="106"/>
        <v>46500.558215233643</v>
      </c>
      <c r="AQ147" s="84">
        <f t="shared" si="95"/>
        <v>479795.4596626081</v>
      </c>
      <c r="AR147" s="85">
        <f t="shared" si="96"/>
        <v>17094.748873515564</v>
      </c>
      <c r="AS147" s="84">
        <f t="shared" si="72"/>
        <v>30387.755000000001</v>
      </c>
      <c r="AT147" s="85">
        <f t="shared" si="97"/>
        <v>0</v>
      </c>
      <c r="AU147" s="84">
        <f t="shared" si="98"/>
        <v>527277.96353612363</v>
      </c>
      <c r="AV147" s="84">
        <f t="shared" si="87"/>
        <v>-527277.96353612363</v>
      </c>
      <c r="AW147" s="453"/>
      <c r="AX147" s="93">
        <f t="shared" si="80"/>
        <v>40787</v>
      </c>
      <c r="BA147" s="315"/>
      <c r="BB147" s="134">
        <f t="shared" si="99"/>
        <v>36.924998474121097</v>
      </c>
      <c r="BC147" s="134">
        <f>'Curve Analysis - Base Case'!D139</f>
        <v>47.399724647348705</v>
      </c>
      <c r="BD147" s="131">
        <f t="shared" si="100"/>
        <v>7.4328884422379032E-2</v>
      </c>
      <c r="BE147" s="131">
        <f t="shared" si="101"/>
        <v>7.4328884422379032E-2</v>
      </c>
      <c r="BF147" s="365">
        <f>PJM_01212000!X147</f>
        <v>0.11866858574284059</v>
      </c>
      <c r="BG147" s="85">
        <f t="shared" si="102"/>
        <v>4213</v>
      </c>
      <c r="BH147" s="84">
        <f t="shared" si="103"/>
        <v>0</v>
      </c>
      <c r="BJ147" s="537">
        <f>_xll.EURO(BB147,BC147,BD147,BE147,BF147,BG147,1,0)*BH147</f>
        <v>0</v>
      </c>
      <c r="BK147" s="84">
        <f t="shared" si="104"/>
        <v>0</v>
      </c>
      <c r="BM147" s="84">
        <f t="shared" si="105"/>
        <v>0</v>
      </c>
    </row>
    <row r="148" spans="1:65">
      <c r="A148" s="78">
        <f t="shared" si="77"/>
        <v>142</v>
      </c>
      <c r="C148" s="78">
        <v>31</v>
      </c>
      <c r="D148" s="78" t="s">
        <v>70</v>
      </c>
      <c r="E148" s="113">
        <f t="shared" si="78"/>
        <v>40817</v>
      </c>
      <c r="F148" s="85">
        <f t="shared" si="75"/>
        <v>23</v>
      </c>
      <c r="G148" s="84">
        <f t="shared" si="82"/>
        <v>8</v>
      </c>
      <c r="H148" s="84"/>
      <c r="I148" s="84"/>
      <c r="J148" s="78">
        <f t="shared" si="79"/>
        <v>31</v>
      </c>
      <c r="K148" s="149">
        <v>40817</v>
      </c>
      <c r="L148" s="508">
        <v>7.4323877859076001E-2</v>
      </c>
      <c r="M148" s="509">
        <v>6.3822978063342001E-2</v>
      </c>
      <c r="N148" s="132">
        <f t="shared" si="76"/>
        <v>0.42590612792549426</v>
      </c>
      <c r="O148" s="133">
        <f>VLOOKUP(K148,Inflation!$B$8:$C$266,2)</f>
        <v>1.3706195303161615</v>
      </c>
      <c r="P148" s="132"/>
      <c r="Q148" s="134">
        <f>VLOOKUP(K148,'Fuel Curve'!$B$11:$F$268,5)</f>
        <v>4.7553448275862067</v>
      </c>
      <c r="R148" s="238">
        <f>VLOOKUP(K148,'Fuel Curve Simulation'!$B$12:$J$258,9)</f>
        <v>4.7553448275862067</v>
      </c>
      <c r="S148" s="134">
        <f t="shared" si="83"/>
        <v>45.551448103448273</v>
      </c>
      <c r="T148" s="136"/>
      <c r="V148" s="135">
        <f>VLOOKUP(K148,PJM_01212000!$A$7:$C$259,3)</f>
        <v>30.325000381469728</v>
      </c>
      <c r="W148" s="486"/>
      <c r="X148" s="118">
        <f>'PJM Curve Simulation'!J148</f>
        <v>30.325000381469728</v>
      </c>
      <c r="Y148" s="512"/>
      <c r="Z148" s="137"/>
      <c r="AA148" s="78">
        <f t="shared" si="81"/>
        <v>315</v>
      </c>
      <c r="AB148" s="85">
        <f t="shared" si="84"/>
        <v>115920</v>
      </c>
      <c r="AC148" s="85">
        <f>VLOOKUP(K148,'Company Volumes'!$B$20:$C$259,2)</f>
        <v>3391.096890362222</v>
      </c>
      <c r="AD148" s="153">
        <f t="shared" si="88"/>
        <v>0</v>
      </c>
      <c r="AE148" s="150"/>
      <c r="AF148" s="150">
        <v>0</v>
      </c>
      <c r="AG148" s="150">
        <v>0</v>
      </c>
      <c r="AH148" s="150">
        <f t="shared" si="89"/>
        <v>0</v>
      </c>
      <c r="AI148" s="150">
        <f t="shared" si="90"/>
        <v>0</v>
      </c>
      <c r="AJ148" s="150">
        <f t="shared" si="91"/>
        <v>0</v>
      </c>
      <c r="AK148" s="85">
        <f t="shared" si="92"/>
        <v>68530.97651580807</v>
      </c>
      <c r="AL148" s="85">
        <f t="shared" si="93"/>
        <v>174753.99011531059</v>
      </c>
      <c r="AM148" s="85">
        <f t="shared" si="85"/>
        <v>0</v>
      </c>
      <c r="AN148" s="85">
        <f t="shared" si="86"/>
        <v>156707.49963281446</v>
      </c>
      <c r="AO148" s="85">
        <f t="shared" si="94"/>
        <v>34265.488257904035</v>
      </c>
      <c r="AP148" s="85">
        <f t="shared" si="106"/>
        <v>46500.558215233643</v>
      </c>
      <c r="AQ148" s="84">
        <f t="shared" si="95"/>
        <v>480758.51273707079</v>
      </c>
      <c r="AR148" s="85">
        <f t="shared" si="96"/>
        <v>17132.744128952017</v>
      </c>
      <c r="AS148" s="84">
        <f t="shared" si="72"/>
        <v>30387.755000000001</v>
      </c>
      <c r="AT148" s="85">
        <f t="shared" si="97"/>
        <v>0</v>
      </c>
      <c r="AU148" s="84">
        <f t="shared" si="98"/>
        <v>528279.01186602283</v>
      </c>
      <c r="AV148" s="84">
        <f t="shared" si="87"/>
        <v>-528279.01186602283</v>
      </c>
      <c r="AW148" s="453"/>
      <c r="AX148" s="93">
        <f t="shared" si="80"/>
        <v>40817</v>
      </c>
      <c r="BA148" s="315"/>
      <c r="BB148" s="134">
        <f t="shared" si="99"/>
        <v>30.325000381469728</v>
      </c>
      <c r="BC148" s="134">
        <f>'Curve Analysis - Base Case'!D140</f>
        <v>48.292687164080597</v>
      </c>
      <c r="BD148" s="131">
        <f t="shared" si="100"/>
        <v>7.4323877859076001E-2</v>
      </c>
      <c r="BE148" s="131">
        <f t="shared" si="101"/>
        <v>7.4323877859076001E-2</v>
      </c>
      <c r="BF148" s="365">
        <f>PJM_01212000!X148</f>
        <v>8.3915642775294411E-2</v>
      </c>
      <c r="BG148" s="85">
        <f t="shared" si="102"/>
        <v>4243</v>
      </c>
      <c r="BH148" s="84">
        <f t="shared" si="103"/>
        <v>0</v>
      </c>
      <c r="BJ148" s="537">
        <f>_xll.EURO(BB148,BC148,BD148,BE148,BF148,BG148,1,0)*BH148</f>
        <v>0</v>
      </c>
      <c r="BK148" s="84">
        <f t="shared" si="104"/>
        <v>0</v>
      </c>
      <c r="BM148" s="84">
        <f t="shared" si="105"/>
        <v>0</v>
      </c>
    </row>
    <row r="149" spans="1:65">
      <c r="A149" s="78">
        <f t="shared" si="77"/>
        <v>143</v>
      </c>
      <c r="C149" s="78">
        <v>30</v>
      </c>
      <c r="D149" s="78" t="s">
        <v>71</v>
      </c>
      <c r="E149" s="113">
        <f t="shared" si="78"/>
        <v>40848</v>
      </c>
      <c r="F149" s="85">
        <f t="shared" si="75"/>
        <v>20</v>
      </c>
      <c r="G149" s="84">
        <f t="shared" si="82"/>
        <v>10</v>
      </c>
      <c r="H149" s="84"/>
      <c r="I149" s="84"/>
      <c r="J149" s="78">
        <f t="shared" si="79"/>
        <v>30</v>
      </c>
      <c r="K149" s="149">
        <v>40848</v>
      </c>
      <c r="L149" s="508">
        <v>7.4318704410337014E-2</v>
      </c>
      <c r="M149" s="509">
        <v>6.3834590246639011E-2</v>
      </c>
      <c r="N149" s="132">
        <f t="shared" si="76"/>
        <v>0.42330120614812733</v>
      </c>
      <c r="O149" s="133">
        <f>VLOOKUP(K149,Inflation!$B$8:$C$266,2)</f>
        <v>1.3736659066944212</v>
      </c>
      <c r="P149" s="132"/>
      <c r="Q149" s="134">
        <f>VLOOKUP(K149,'Fuel Curve'!$B$11:$F$268,5)</f>
        <v>4.8046551724137938</v>
      </c>
      <c r="R149" s="238">
        <f>VLOOKUP(K149,'Fuel Curve Simulation'!$B$12:$J$258,9)</f>
        <v>4.8046551724137938</v>
      </c>
      <c r="S149" s="134">
        <f t="shared" si="83"/>
        <v>46.023791896551728</v>
      </c>
      <c r="T149" s="136"/>
      <c r="V149" s="135">
        <f>VLOOKUP(K149,PJM_01212000!$A$7:$C$259,3)</f>
        <v>29.997499084472658</v>
      </c>
      <c r="W149" s="486"/>
      <c r="X149" s="118">
        <f>'PJM Curve Simulation'!J149</f>
        <v>29.997499084472658</v>
      </c>
      <c r="Y149" s="512"/>
      <c r="Z149" s="137"/>
      <c r="AA149" s="78">
        <f t="shared" si="81"/>
        <v>315</v>
      </c>
      <c r="AB149" s="85">
        <f t="shared" si="84"/>
        <v>100800</v>
      </c>
      <c r="AC149" s="85">
        <f>VLOOKUP(K149,'Company Volumes'!$B$20:$C$259,2)</f>
        <v>8202.2082764564439</v>
      </c>
      <c r="AD149" s="153">
        <f t="shared" si="88"/>
        <v>0</v>
      </c>
      <c r="AE149" s="150"/>
      <c r="AF149" s="150">
        <v>0</v>
      </c>
      <c r="AG149" s="150">
        <v>0</v>
      </c>
      <c r="AH149" s="150">
        <f t="shared" si="89"/>
        <v>0</v>
      </c>
      <c r="AI149" s="150">
        <f t="shared" si="90"/>
        <v>0</v>
      </c>
      <c r="AJ149" s="150">
        <f t="shared" si="91"/>
        <v>0</v>
      </c>
      <c r="AK149" s="85">
        <f t="shared" si="92"/>
        <v>68683.295334721057</v>
      </c>
      <c r="AL149" s="85">
        <f t="shared" si="93"/>
        <v>175142.4031035387</v>
      </c>
      <c r="AM149" s="85">
        <f t="shared" si="85"/>
        <v>0</v>
      </c>
      <c r="AN149" s="85">
        <f t="shared" si="86"/>
        <v>157055.80199872883</v>
      </c>
      <c r="AO149" s="85">
        <f t="shared" si="94"/>
        <v>34341.647667360528</v>
      </c>
      <c r="AP149" s="85">
        <f t="shared" si="106"/>
        <v>46500.558215233643</v>
      </c>
      <c r="AQ149" s="84">
        <f t="shared" si="95"/>
        <v>481723.70631958276</v>
      </c>
      <c r="AR149" s="85">
        <f t="shared" si="96"/>
        <v>17170.823833680264</v>
      </c>
      <c r="AS149" s="84">
        <f t="shared" si="72"/>
        <v>30387.755000000001</v>
      </c>
      <c r="AT149" s="85">
        <f t="shared" si="97"/>
        <v>0</v>
      </c>
      <c r="AU149" s="84">
        <f t="shared" si="98"/>
        <v>529282.28515326302</v>
      </c>
      <c r="AV149" s="84">
        <f t="shared" si="87"/>
        <v>-529282.28515326302</v>
      </c>
      <c r="AW149" s="453"/>
      <c r="AX149" s="93">
        <f t="shared" si="80"/>
        <v>40848</v>
      </c>
      <c r="BA149" s="315"/>
      <c r="BB149" s="134">
        <f t="shared" si="99"/>
        <v>29.997499084472658</v>
      </c>
      <c r="BC149" s="134">
        <f>'Curve Analysis - Base Case'!D141</f>
        <v>48.771123709940568</v>
      </c>
      <c r="BD149" s="131">
        <f t="shared" si="100"/>
        <v>7.4318704410337014E-2</v>
      </c>
      <c r="BE149" s="131">
        <f t="shared" si="101"/>
        <v>7.4318704410337014E-2</v>
      </c>
      <c r="BF149" s="365">
        <f>PJM_01212000!X149</f>
        <v>8.3915642775294411E-2</v>
      </c>
      <c r="BG149" s="85">
        <f t="shared" si="102"/>
        <v>4274</v>
      </c>
      <c r="BH149" s="84">
        <f t="shared" si="103"/>
        <v>0</v>
      </c>
      <c r="BJ149" s="537">
        <f>_xll.EURO(BB149,BC149,BD149,BE149,BF149,BG149,1,0)*BH149</f>
        <v>0</v>
      </c>
      <c r="BK149" s="84">
        <f t="shared" si="104"/>
        <v>0</v>
      </c>
      <c r="BM149" s="84">
        <f t="shared" si="105"/>
        <v>0</v>
      </c>
    </row>
    <row r="150" spans="1:65">
      <c r="A150" s="78">
        <f t="shared" si="77"/>
        <v>144</v>
      </c>
      <c r="C150" s="78">
        <v>31</v>
      </c>
      <c r="D150" s="78" t="s">
        <v>72</v>
      </c>
      <c r="E150" s="113">
        <f t="shared" si="78"/>
        <v>40878</v>
      </c>
      <c r="F150" s="85">
        <f t="shared" si="75"/>
        <v>23</v>
      </c>
      <c r="G150" s="84">
        <f t="shared" si="82"/>
        <v>8</v>
      </c>
      <c r="H150" s="84">
        <f>SUM(F139:G150)</f>
        <v>365</v>
      </c>
      <c r="I150" s="84"/>
      <c r="J150" s="78">
        <f t="shared" si="79"/>
        <v>31</v>
      </c>
      <c r="K150" s="149">
        <v>40878</v>
      </c>
      <c r="L150" s="508">
        <v>7.4313697847050011E-2</v>
      </c>
      <c r="M150" s="509">
        <v>6.3845827844272007E-2</v>
      </c>
      <c r="N150" s="132">
        <f t="shared" si="76"/>
        <v>0.42079582396906579</v>
      </c>
      <c r="O150" s="133">
        <f>VLOOKUP(K150,Inflation!$B$8:$C$266,2)</f>
        <v>1.376719054031968</v>
      </c>
      <c r="P150" s="132"/>
      <c r="Q150" s="134">
        <f>VLOOKUP(K150,'Fuel Curve'!$B$11:$F$268,5)</f>
        <v>4.8474137931034491</v>
      </c>
      <c r="R150" s="238">
        <f>VLOOKUP(K150,'Fuel Curve Simulation'!$B$12:$J$258,9)</f>
        <v>4.8474137931034491</v>
      </c>
      <c r="S150" s="134">
        <f t="shared" si="83"/>
        <v>46.433376724137936</v>
      </c>
      <c r="T150" s="136"/>
      <c r="V150" s="135">
        <f>VLOOKUP(K150,PJM_01212000!$A$7:$C$259,3)</f>
        <v>31.749999618530275</v>
      </c>
      <c r="W150" s="486"/>
      <c r="X150" s="118">
        <f>'PJM Curve Simulation'!J150</f>
        <v>31.749999618530275</v>
      </c>
      <c r="Y150" s="512"/>
      <c r="Z150" s="137"/>
      <c r="AA150" s="78">
        <f t="shared" si="81"/>
        <v>315</v>
      </c>
      <c r="AB150" s="85">
        <f t="shared" si="84"/>
        <v>115920</v>
      </c>
      <c r="AC150" s="85">
        <f>VLOOKUP(K150,'Company Volumes'!$B$20:$C$259,2)</f>
        <v>8202.2082764564439</v>
      </c>
      <c r="AD150" s="153">
        <f t="shared" si="88"/>
        <v>0</v>
      </c>
      <c r="AE150" s="150"/>
      <c r="AF150" s="150">
        <v>0</v>
      </c>
      <c r="AG150" s="150">
        <v>0</v>
      </c>
      <c r="AH150" s="150">
        <f t="shared" si="89"/>
        <v>0</v>
      </c>
      <c r="AI150" s="150">
        <f t="shared" si="90"/>
        <v>0</v>
      </c>
      <c r="AJ150" s="150">
        <f t="shared" si="91"/>
        <v>0</v>
      </c>
      <c r="AK150" s="85">
        <f t="shared" si="92"/>
        <v>68835.952701598406</v>
      </c>
      <c r="AL150" s="85">
        <f t="shared" si="93"/>
        <v>175531.67938907593</v>
      </c>
      <c r="AM150" s="85">
        <f t="shared" si="85"/>
        <v>0</v>
      </c>
      <c r="AN150" s="85">
        <f t="shared" si="86"/>
        <v>157404.87851098835</v>
      </c>
      <c r="AO150" s="85">
        <f t="shared" si="94"/>
        <v>34417.976350799203</v>
      </c>
      <c r="AP150" s="85">
        <f t="shared" si="106"/>
        <v>46500.558215233643</v>
      </c>
      <c r="AQ150" s="84">
        <f t="shared" si="95"/>
        <v>482691.0451676955</v>
      </c>
      <c r="AR150" s="85">
        <f t="shared" si="96"/>
        <v>17208.988175399601</v>
      </c>
      <c r="AS150" s="84">
        <f t="shared" si="72"/>
        <v>30387.755000000001</v>
      </c>
      <c r="AT150" s="85">
        <f t="shared" si="97"/>
        <v>0</v>
      </c>
      <c r="AU150" s="84">
        <f t="shared" si="98"/>
        <v>530287.7883430951</v>
      </c>
      <c r="AV150" s="84">
        <f t="shared" si="87"/>
        <v>-530287.7883430951</v>
      </c>
      <c r="AW150" s="453"/>
      <c r="AX150" s="93">
        <f t="shared" si="80"/>
        <v>40878</v>
      </c>
      <c r="AY150" s="85">
        <f ca="1">'Debt Amortization'!S8</f>
        <v>5493838.5181148862</v>
      </c>
      <c r="AZ150" s="85">
        <f ca="1">AY150*N150</f>
        <v>2311784.3059831448</v>
      </c>
      <c r="BA150" s="315"/>
      <c r="BB150" s="134">
        <f t="shared" si="99"/>
        <v>31.749999618530275</v>
      </c>
      <c r="BC150" s="134">
        <f>'Curve Analysis - Base Case'!D142</f>
        <v>49.186814832201875</v>
      </c>
      <c r="BD150" s="131">
        <f t="shared" si="100"/>
        <v>7.4313697847050011E-2</v>
      </c>
      <c r="BE150" s="131">
        <f t="shared" si="101"/>
        <v>7.4313697847050011E-2</v>
      </c>
      <c r="BF150" s="365">
        <f>PJM_01212000!X150</f>
        <v>8.3915642775294411E-2</v>
      </c>
      <c r="BG150" s="85">
        <f t="shared" si="102"/>
        <v>4304</v>
      </c>
      <c r="BH150" s="84">
        <f t="shared" si="103"/>
        <v>0</v>
      </c>
      <c r="BJ150" s="537">
        <f>_xll.EURO(BB150,BC150,BD150,BE150,BF150,BG150,1,0)*BH150</f>
        <v>0</v>
      </c>
      <c r="BK150" s="84">
        <f t="shared" si="104"/>
        <v>0</v>
      </c>
      <c r="BM150" s="84">
        <f t="shared" si="105"/>
        <v>0</v>
      </c>
    </row>
    <row r="151" spans="1:65">
      <c r="A151" s="78">
        <f t="shared" si="77"/>
        <v>145</v>
      </c>
      <c r="C151" s="78">
        <v>31</v>
      </c>
      <c r="D151" s="78" t="s">
        <v>62</v>
      </c>
      <c r="E151" s="113">
        <f t="shared" si="78"/>
        <v>40909</v>
      </c>
      <c r="F151" s="85">
        <f t="shared" si="75"/>
        <v>22</v>
      </c>
      <c r="G151" s="84">
        <f>C151-F151</f>
        <v>9</v>
      </c>
      <c r="H151" s="84"/>
      <c r="I151" s="84"/>
      <c r="J151" s="78">
        <f t="shared" si="79"/>
        <v>31</v>
      </c>
      <c r="K151" s="149">
        <v>40909</v>
      </c>
      <c r="L151" s="508">
        <v>7.4308524398330023E-2</v>
      </c>
      <c r="M151" s="509">
        <v>6.3857440029416013E-2</v>
      </c>
      <c r="N151" s="132">
        <f t="shared" si="76"/>
        <v>0.41822285469682063</v>
      </c>
      <c r="O151" s="133">
        <f>VLOOKUP(K151,Inflation!$B$8:$C$266,2)</f>
        <v>1.379778987378121</v>
      </c>
      <c r="P151" s="132"/>
      <c r="Q151" s="134">
        <f>VLOOKUP(K151,'Fuel Curve'!$B$11:$F$268,5)</f>
        <v>4.7901724137931048</v>
      </c>
      <c r="R151" s="238">
        <f>VLOOKUP(K151,'Fuel Curve Simulation'!$B$12:$J$258,9)</f>
        <v>4.7901724137931048</v>
      </c>
      <c r="S151" s="134">
        <f t="shared" si="83"/>
        <v>45.885061551724156</v>
      </c>
      <c r="T151" s="136"/>
      <c r="V151" s="135">
        <f>VLOOKUP(K151,PJM_01212000!$A$7:$C$259,3)</f>
        <v>40.324998474121088</v>
      </c>
      <c r="W151" s="486"/>
      <c r="X151" s="118">
        <f>'PJM Curve Simulation'!J151</f>
        <v>40.324998474121088</v>
      </c>
      <c r="Y151" s="512"/>
      <c r="Z151" s="137"/>
      <c r="AA151" s="78">
        <f t="shared" si="81"/>
        <v>315</v>
      </c>
      <c r="AB151" s="85">
        <f t="shared" si="84"/>
        <v>110880</v>
      </c>
      <c r="AC151" s="85">
        <f>VLOOKUP(K151,'Company Volumes'!$B$20:$C$259,2)</f>
        <v>16838.565578504444</v>
      </c>
      <c r="AD151" s="153">
        <f t="shared" si="88"/>
        <v>0</v>
      </c>
      <c r="AE151" s="150"/>
      <c r="AF151" s="150">
        <v>0</v>
      </c>
      <c r="AG151" s="150">
        <v>0</v>
      </c>
      <c r="AH151" s="150">
        <f t="shared" si="89"/>
        <v>0</v>
      </c>
      <c r="AI151" s="150">
        <f t="shared" si="90"/>
        <v>0</v>
      </c>
      <c r="AJ151" s="150">
        <f t="shared" si="91"/>
        <v>0</v>
      </c>
      <c r="AK151" s="85">
        <f t="shared" si="92"/>
        <v>68988.949368906047</v>
      </c>
      <c r="AL151" s="85">
        <f t="shared" si="93"/>
        <v>175921.82089071043</v>
      </c>
      <c r="AM151" s="85">
        <f t="shared" si="85"/>
        <v>0</v>
      </c>
      <c r="AN151" s="85">
        <f t="shared" si="86"/>
        <v>157754.73089023182</v>
      </c>
      <c r="AO151" s="85">
        <f t="shared" si="94"/>
        <v>34494.474684453024</v>
      </c>
      <c r="AP151" s="85">
        <f t="shared" si="106"/>
        <v>46500.558215233643</v>
      </c>
      <c r="AQ151" s="84">
        <f t="shared" si="95"/>
        <v>483660.53404953505</v>
      </c>
      <c r="AR151" s="85">
        <f t="shared" si="96"/>
        <v>17247.237342226512</v>
      </c>
      <c r="AS151" s="84">
        <f t="shared" si="72"/>
        <v>30387.755000000001</v>
      </c>
      <c r="AT151" s="85">
        <f t="shared" si="97"/>
        <v>0</v>
      </c>
      <c r="AU151" s="84">
        <f t="shared" si="98"/>
        <v>531295.52639176161</v>
      </c>
      <c r="AV151" s="84">
        <f t="shared" si="87"/>
        <v>-531295.52639176161</v>
      </c>
      <c r="AW151" s="453"/>
      <c r="AX151" s="93">
        <f t="shared" si="80"/>
        <v>40909</v>
      </c>
      <c r="BA151" s="315"/>
      <c r="BB151" s="134">
        <f t="shared" si="99"/>
        <v>40.324998474121088</v>
      </c>
      <c r="BC151" s="134">
        <f>'Curve Analysis - Base Case'!D143</f>
        <v>48.644619526480398</v>
      </c>
      <c r="BD151" s="131">
        <f t="shared" si="100"/>
        <v>7.4308524398330023E-2</v>
      </c>
      <c r="BE151" s="131">
        <f t="shared" si="101"/>
        <v>7.4308524398330023E-2</v>
      </c>
      <c r="BF151" s="365">
        <f>PJM_01212000!X151</f>
        <v>0.12889442730285225</v>
      </c>
      <c r="BG151" s="85">
        <f t="shared" si="102"/>
        <v>4335</v>
      </c>
      <c r="BH151" s="84">
        <f t="shared" si="103"/>
        <v>0</v>
      </c>
      <c r="BJ151" s="537">
        <f>_xll.EURO(BB151,BC151,BD151,BE151,BF151,BG151,1,0)*BH151</f>
        <v>0</v>
      </c>
      <c r="BK151" s="84">
        <f t="shared" si="104"/>
        <v>0</v>
      </c>
      <c r="BM151" s="84">
        <f t="shared" si="105"/>
        <v>0</v>
      </c>
    </row>
    <row r="152" spans="1:65">
      <c r="A152" s="78">
        <f t="shared" si="77"/>
        <v>146</v>
      </c>
      <c r="C152" s="140">
        <v>29</v>
      </c>
      <c r="D152" s="141" t="s">
        <v>63</v>
      </c>
      <c r="E152" s="113">
        <f t="shared" si="78"/>
        <v>40940</v>
      </c>
      <c r="F152" s="85">
        <f t="shared" si="75"/>
        <v>20</v>
      </c>
      <c r="G152" s="84">
        <f t="shared" ref="G152:G162" si="107">C152-F152</f>
        <v>9</v>
      </c>
      <c r="H152" s="84"/>
      <c r="I152" s="84"/>
      <c r="J152" s="78">
        <f t="shared" si="79"/>
        <v>29</v>
      </c>
      <c r="K152" s="149">
        <v>40940</v>
      </c>
      <c r="L152" s="508">
        <v>7.4303350949618013E-2</v>
      </c>
      <c r="M152" s="509">
        <v>6.3869052215500016E-2</v>
      </c>
      <c r="N152" s="132">
        <f t="shared" si="76"/>
        <v>0.4156659699389651</v>
      </c>
      <c r="O152" s="133">
        <f>VLOOKUP(K152,Inflation!$B$8:$C$266,2)</f>
        <v>1.382845721815648</v>
      </c>
      <c r="P152" s="132"/>
      <c r="Q152" s="134">
        <f>VLOOKUP(K152,'Fuel Curve'!$B$11:$F$268,5)</f>
        <v>4.6910344827586217</v>
      </c>
      <c r="R152" s="238">
        <f>VLOOKUP(K152,'Fuel Curve Simulation'!$B$12:$J$258,9)</f>
        <v>4.6910344827586217</v>
      </c>
      <c r="S152" s="134">
        <f t="shared" si="83"/>
        <v>44.935419310344834</v>
      </c>
      <c r="T152" s="136"/>
      <c r="V152" s="135">
        <f>VLOOKUP(K152,PJM_01212000!$A$7:$C$259,3)</f>
        <v>40.324998474121088</v>
      </c>
      <c r="W152" s="486"/>
      <c r="X152" s="118">
        <f>'PJM Curve Simulation'!J152</f>
        <v>40.324998474121088</v>
      </c>
      <c r="Y152" s="512"/>
      <c r="Z152" s="137"/>
      <c r="AA152" s="78">
        <f t="shared" si="81"/>
        <v>315</v>
      </c>
      <c r="AB152" s="85">
        <f t="shared" si="84"/>
        <v>100800</v>
      </c>
      <c r="AC152" s="85">
        <f>VLOOKUP(K152,'Company Volumes'!$B$20:$C$259,2)</f>
        <v>670.64373574177762</v>
      </c>
      <c r="AD152" s="153">
        <f t="shared" si="88"/>
        <v>0</v>
      </c>
      <c r="AE152" s="150"/>
      <c r="AF152" s="150">
        <v>0</v>
      </c>
      <c r="AG152" s="150">
        <v>0</v>
      </c>
      <c r="AH152" s="150">
        <f t="shared" si="89"/>
        <v>0</v>
      </c>
      <c r="AI152" s="150">
        <f t="shared" si="90"/>
        <v>0</v>
      </c>
      <c r="AJ152" s="150">
        <f t="shared" si="91"/>
        <v>0</v>
      </c>
      <c r="AK152" s="85">
        <f t="shared" si="92"/>
        <v>69142.286090782392</v>
      </c>
      <c r="AL152" s="85">
        <f t="shared" si="93"/>
        <v>176312.82953149511</v>
      </c>
      <c r="AM152" s="85">
        <f t="shared" si="85"/>
        <v>0</v>
      </c>
      <c r="AN152" s="85">
        <f t="shared" si="86"/>
        <v>158105.36086092243</v>
      </c>
      <c r="AO152" s="85">
        <f t="shared" si="94"/>
        <v>34571.143045391196</v>
      </c>
      <c r="AP152" s="85">
        <f t="shared" si="106"/>
        <v>46500.558215233643</v>
      </c>
      <c r="AQ152" s="84">
        <f t="shared" si="95"/>
        <v>484632.17774382478</v>
      </c>
      <c r="AR152" s="85">
        <f t="shared" si="96"/>
        <v>17285.571522695598</v>
      </c>
      <c r="AS152" s="84">
        <f t="shared" si="72"/>
        <v>30387.755000000001</v>
      </c>
      <c r="AT152" s="85">
        <f t="shared" si="97"/>
        <v>0</v>
      </c>
      <c r="AU152" s="84">
        <f t="shared" si="98"/>
        <v>532305.50426652038</v>
      </c>
      <c r="AV152" s="84">
        <f t="shared" si="87"/>
        <v>-532305.50426652038</v>
      </c>
      <c r="AW152" s="453"/>
      <c r="AX152" s="93">
        <f t="shared" si="80"/>
        <v>40940</v>
      </c>
      <c r="BA152" s="315"/>
      <c r="BB152" s="134">
        <f t="shared" si="99"/>
        <v>40.324998474121088</v>
      </c>
      <c r="BC152" s="134">
        <f>'Curve Analysis - Base Case'!D144</f>
        <v>47.701110753976131</v>
      </c>
      <c r="BD152" s="131">
        <f t="shared" si="100"/>
        <v>7.4303350949618013E-2</v>
      </c>
      <c r="BE152" s="131">
        <f t="shared" si="101"/>
        <v>7.4303350949618013E-2</v>
      </c>
      <c r="BF152" s="365">
        <f>PJM_01212000!X152</f>
        <v>0.12889442730285225</v>
      </c>
      <c r="BG152" s="85">
        <f t="shared" si="102"/>
        <v>4366</v>
      </c>
      <c r="BH152" s="84">
        <f t="shared" si="103"/>
        <v>0</v>
      </c>
      <c r="BJ152" s="537">
        <f>_xll.EURO(BB152,BC152,BD152,BE152,BF152,BG152,1,0)*BH152</f>
        <v>0</v>
      </c>
      <c r="BK152" s="84">
        <f t="shared" si="104"/>
        <v>0</v>
      </c>
      <c r="BM152" s="84">
        <f t="shared" si="105"/>
        <v>0</v>
      </c>
    </row>
    <row r="153" spans="1:65">
      <c r="A153" s="78">
        <f t="shared" si="77"/>
        <v>147</v>
      </c>
      <c r="C153" s="78">
        <v>31</v>
      </c>
      <c r="D153" s="78" t="s">
        <v>64</v>
      </c>
      <c r="E153" s="113">
        <f t="shared" si="78"/>
        <v>40969</v>
      </c>
      <c r="F153" s="85">
        <f t="shared" si="75"/>
        <v>23</v>
      </c>
      <c r="G153" s="84">
        <f t="shared" si="107"/>
        <v>8</v>
      </c>
      <c r="H153" s="84"/>
      <c r="I153" s="84"/>
      <c r="J153" s="78">
        <f t="shared" si="79"/>
        <v>31</v>
      </c>
      <c r="K153" s="149">
        <v>40969</v>
      </c>
      <c r="L153" s="508">
        <v>7.4298511271798012E-2</v>
      </c>
      <c r="M153" s="509">
        <v>6.387991522913801E-2</v>
      </c>
      <c r="N153" s="132">
        <f t="shared" si="76"/>
        <v>0.41328851596860589</v>
      </c>
      <c r="O153" s="133">
        <f>VLOOKUP(K153,Inflation!$B$8:$C$266,2)</f>
        <v>1.3859192724608405</v>
      </c>
      <c r="P153" s="132"/>
      <c r="Q153" s="134">
        <f>VLOOKUP(K153,'Fuel Curve'!$B$11:$F$268,5)</f>
        <v>4.5939655172413802</v>
      </c>
      <c r="R153" s="238">
        <f>VLOOKUP(K153,'Fuel Curve Simulation'!$B$12:$J$258,9)</f>
        <v>4.5939655172413802</v>
      </c>
      <c r="S153" s="134">
        <f t="shared" si="83"/>
        <v>44.005595689655181</v>
      </c>
      <c r="T153" s="136"/>
      <c r="V153" s="135">
        <f>VLOOKUP(K153,PJM_01212000!$A$7:$C$259,3)</f>
        <v>30.050000762939455</v>
      </c>
      <c r="W153" s="486"/>
      <c r="X153" s="118">
        <f>'PJM Curve Simulation'!J153</f>
        <v>30.050000762939455</v>
      </c>
      <c r="Y153" s="512"/>
      <c r="Z153" s="137"/>
      <c r="AA153" s="78">
        <f t="shared" si="81"/>
        <v>315</v>
      </c>
      <c r="AB153" s="85">
        <f t="shared" si="84"/>
        <v>115920</v>
      </c>
      <c r="AC153" s="85">
        <f>VLOOKUP(K153,'Company Volumes'!$B$20:$C$259,2)</f>
        <v>670.64373574177762</v>
      </c>
      <c r="AD153" s="153">
        <f t="shared" si="88"/>
        <v>0</v>
      </c>
      <c r="AE153" s="150"/>
      <c r="AF153" s="150">
        <v>0</v>
      </c>
      <c r="AG153" s="150">
        <v>0</v>
      </c>
      <c r="AH153" s="150">
        <f t="shared" si="89"/>
        <v>0</v>
      </c>
      <c r="AI153" s="150">
        <f t="shared" si="90"/>
        <v>0</v>
      </c>
      <c r="AJ153" s="150">
        <f t="shared" si="91"/>
        <v>0</v>
      </c>
      <c r="AK153" s="85">
        <f t="shared" si="92"/>
        <v>69295.963623042029</v>
      </c>
      <c r="AL153" s="85">
        <f t="shared" si="93"/>
        <v>176704.70723875717</v>
      </c>
      <c r="AM153" s="85">
        <f t="shared" si="85"/>
        <v>0</v>
      </c>
      <c r="AN153" s="85">
        <f t="shared" si="86"/>
        <v>158456.77015135609</v>
      </c>
      <c r="AO153" s="85">
        <f t="shared" si="94"/>
        <v>34647.981811521015</v>
      </c>
      <c r="AP153" s="85">
        <f t="shared" si="106"/>
        <v>46500.558215233643</v>
      </c>
      <c r="AQ153" s="84">
        <f t="shared" si="95"/>
        <v>485605.98103990988</v>
      </c>
      <c r="AR153" s="85">
        <f t="shared" si="96"/>
        <v>17323.990905760507</v>
      </c>
      <c r="AS153" s="84">
        <f t="shared" si="72"/>
        <v>30387.755000000001</v>
      </c>
      <c r="AT153" s="85">
        <f t="shared" si="97"/>
        <v>0</v>
      </c>
      <c r="AU153" s="84">
        <f t="shared" si="98"/>
        <v>533317.72694567044</v>
      </c>
      <c r="AV153" s="84">
        <f t="shared" si="87"/>
        <v>-533317.72694567044</v>
      </c>
      <c r="AW153" s="453"/>
      <c r="AX153" s="93">
        <f t="shared" si="80"/>
        <v>40969</v>
      </c>
      <c r="BA153" s="315"/>
      <c r="BB153" s="134">
        <f t="shared" si="99"/>
        <v>30.050000762939455</v>
      </c>
      <c r="BC153" s="134">
        <f>'Curve Analysis - Base Case'!D145</f>
        <v>46.777434234576859</v>
      </c>
      <c r="BD153" s="131">
        <f t="shared" si="100"/>
        <v>7.4298511271798012E-2</v>
      </c>
      <c r="BE153" s="131">
        <f t="shared" si="101"/>
        <v>7.4298511271798012E-2</v>
      </c>
      <c r="BF153" s="365">
        <f>PJM_01212000!X153</f>
        <v>0.10741202275237685</v>
      </c>
      <c r="BG153" s="85">
        <f t="shared" si="102"/>
        <v>4395</v>
      </c>
      <c r="BH153" s="84">
        <f t="shared" si="103"/>
        <v>0</v>
      </c>
      <c r="BJ153" s="537">
        <f>_xll.EURO(BB153,BC153,BD153,BE153,BF153,BG153,1,0)*BH153</f>
        <v>0</v>
      </c>
      <c r="BK153" s="84">
        <f t="shared" si="104"/>
        <v>0</v>
      </c>
      <c r="BM153" s="84">
        <f t="shared" si="105"/>
        <v>0</v>
      </c>
    </row>
    <row r="154" spans="1:65">
      <c r="A154" s="78">
        <f t="shared" si="77"/>
        <v>148</v>
      </c>
      <c r="C154" s="78">
        <v>30</v>
      </c>
      <c r="D154" s="78" t="s">
        <v>65</v>
      </c>
      <c r="E154" s="113">
        <f t="shared" si="78"/>
        <v>41000</v>
      </c>
      <c r="F154" s="85">
        <f t="shared" si="75"/>
        <v>22</v>
      </c>
      <c r="G154" s="84">
        <f t="shared" si="107"/>
        <v>8</v>
      </c>
      <c r="H154" s="84"/>
      <c r="I154" s="84"/>
      <c r="J154" s="78">
        <f t="shared" si="79"/>
        <v>30</v>
      </c>
      <c r="K154" s="149">
        <v>41000</v>
      </c>
      <c r="L154" s="508">
        <v>7.4293337823104003E-2</v>
      </c>
      <c r="M154" s="509">
        <v>6.3891527417039004E-2</v>
      </c>
      <c r="N154" s="132">
        <f t="shared" si="76"/>
        <v>0.41076247150824302</v>
      </c>
      <c r="O154" s="133">
        <f>VLOOKUP(K154,Inflation!$B$8:$C$266,2)</f>
        <v>1.3889996544635876</v>
      </c>
      <c r="P154" s="132"/>
      <c r="Q154" s="134">
        <f>VLOOKUP(K154,'Fuel Curve'!$B$11:$F$268,5)</f>
        <v>4.4939655172413797</v>
      </c>
      <c r="R154" s="238">
        <f>VLOOKUP(K154,'Fuel Curve Simulation'!$B$12:$J$258,9)</f>
        <v>4.4939655172413797</v>
      </c>
      <c r="S154" s="134">
        <f t="shared" si="83"/>
        <v>43.047695689655178</v>
      </c>
      <c r="T154" s="136"/>
      <c r="V154" s="135">
        <f>VLOOKUP(K154,PJM_01212000!$A$7:$C$259,3)</f>
        <v>29.825000762939453</v>
      </c>
      <c r="W154" s="486"/>
      <c r="X154" s="118">
        <f>'PJM Curve Simulation'!J154</f>
        <v>29.825000762939453</v>
      </c>
      <c r="Y154" s="512"/>
      <c r="Z154" s="137"/>
      <c r="AA154" s="78">
        <f t="shared" si="81"/>
        <v>315</v>
      </c>
      <c r="AB154" s="85">
        <f t="shared" si="84"/>
        <v>110880</v>
      </c>
      <c r="AC154" s="85">
        <f>VLOOKUP(K154,'Company Volumes'!$B$20:$C$259,2)</f>
        <v>8401.9893426435556</v>
      </c>
      <c r="AD154" s="153">
        <f t="shared" si="88"/>
        <v>0</v>
      </c>
      <c r="AE154" s="150"/>
      <c r="AF154" s="150">
        <v>0</v>
      </c>
      <c r="AG154" s="150">
        <v>0</v>
      </c>
      <c r="AH154" s="150">
        <f t="shared" si="89"/>
        <v>0</v>
      </c>
      <c r="AI154" s="150">
        <f t="shared" si="90"/>
        <v>0</v>
      </c>
      <c r="AJ154" s="150">
        <f t="shared" si="91"/>
        <v>0</v>
      </c>
      <c r="AK154" s="85">
        <f t="shared" si="92"/>
        <v>69449.982723179375</v>
      </c>
      <c r="AL154" s="85">
        <f t="shared" si="93"/>
        <v>177097.45594410741</v>
      </c>
      <c r="AM154" s="85">
        <f t="shared" si="85"/>
        <v>0</v>
      </c>
      <c r="AN154" s="85">
        <f t="shared" si="86"/>
        <v>158808.96049367019</v>
      </c>
      <c r="AO154" s="85">
        <f t="shared" si="94"/>
        <v>34724.991361589688</v>
      </c>
      <c r="AP154" s="85">
        <f t="shared" si="106"/>
        <v>46500.558215233643</v>
      </c>
      <c r="AQ154" s="84">
        <f t="shared" si="95"/>
        <v>486581.94873778033</v>
      </c>
      <c r="AR154" s="85">
        <f t="shared" si="96"/>
        <v>17362.495680794844</v>
      </c>
      <c r="AS154" s="84">
        <f t="shared" si="72"/>
        <v>30387.755000000001</v>
      </c>
      <c r="AT154" s="85">
        <f t="shared" si="97"/>
        <v>0</v>
      </c>
      <c r="AU154" s="84">
        <f t="shared" si="98"/>
        <v>534332.19941857515</v>
      </c>
      <c r="AV154" s="84">
        <f t="shared" si="87"/>
        <v>-534332.19941857515</v>
      </c>
      <c r="AW154" s="453"/>
      <c r="AX154" s="93">
        <f t="shared" si="80"/>
        <v>41000</v>
      </c>
      <c r="BA154" s="315"/>
      <c r="BB154" s="134">
        <f t="shared" si="99"/>
        <v>29.825000762939453</v>
      </c>
      <c r="BC154" s="134">
        <f>'Curve Analysis - Base Case'!D146</f>
        <v>45.825694998582357</v>
      </c>
      <c r="BD154" s="131">
        <f t="shared" si="100"/>
        <v>7.4293337823104003E-2</v>
      </c>
      <c r="BE154" s="131">
        <f t="shared" si="101"/>
        <v>7.4293337823104003E-2</v>
      </c>
      <c r="BF154" s="365">
        <f>PJM_01212000!X154</f>
        <v>0.10204142161475802</v>
      </c>
      <c r="BG154" s="85">
        <f t="shared" si="102"/>
        <v>4426</v>
      </c>
      <c r="BH154" s="84">
        <f t="shared" si="103"/>
        <v>0</v>
      </c>
      <c r="BJ154" s="537">
        <f>_xll.EURO(BB154,BC154,BD154,BE154,BF154,BG154,1,0)*BH154</f>
        <v>0</v>
      </c>
      <c r="BK154" s="84">
        <f t="shared" si="104"/>
        <v>0</v>
      </c>
      <c r="BM154" s="84">
        <f t="shared" si="105"/>
        <v>0</v>
      </c>
    </row>
    <row r="155" spans="1:65">
      <c r="A155" s="78">
        <f t="shared" si="77"/>
        <v>149</v>
      </c>
      <c r="C155" s="78">
        <v>31</v>
      </c>
      <c r="D155" s="78" t="s">
        <v>38</v>
      </c>
      <c r="E155" s="113">
        <f t="shared" si="78"/>
        <v>41030</v>
      </c>
      <c r="F155" s="85">
        <f t="shared" si="75"/>
        <v>21</v>
      </c>
      <c r="G155" s="84">
        <f t="shared" si="107"/>
        <v>10</v>
      </c>
      <c r="H155" s="84"/>
      <c r="I155" s="84"/>
      <c r="J155" s="78">
        <f t="shared" si="79"/>
        <v>31</v>
      </c>
      <c r="K155" s="149">
        <v>41030</v>
      </c>
      <c r="L155" s="508">
        <v>7.4288331259859022E-2</v>
      </c>
      <c r="M155" s="509">
        <v>6.3902765019129004E-2</v>
      </c>
      <c r="N155" s="132">
        <f t="shared" si="76"/>
        <v>0.40833294287988564</v>
      </c>
      <c r="O155" s="133">
        <f>VLOOKUP(K155,Inflation!$B$8:$C$266,2)</f>
        <v>1.3920868830074509</v>
      </c>
      <c r="P155" s="132"/>
      <c r="Q155" s="134">
        <f>VLOOKUP(K155,'Fuel Curve'!$B$11:$F$268,5)</f>
        <v>4.4267241379310347</v>
      </c>
      <c r="R155" s="238">
        <f>VLOOKUP(K155,'Fuel Curve Simulation'!$B$12:$J$258,9)</f>
        <v>4.4267241379310347</v>
      </c>
      <c r="S155" s="134">
        <f t="shared" si="83"/>
        <v>42.403590517241383</v>
      </c>
      <c r="T155" s="136"/>
      <c r="V155" s="135">
        <f>VLOOKUP(K155,PJM_01212000!$A$7:$C$259,3)</f>
        <v>37.825000000000003</v>
      </c>
      <c r="W155" s="486"/>
      <c r="X155" s="118">
        <f>'PJM Curve Simulation'!J155</f>
        <v>37.825000000000003</v>
      </c>
      <c r="Y155" s="512"/>
      <c r="Z155" s="137"/>
      <c r="AA155" s="78">
        <f t="shared" si="81"/>
        <v>315</v>
      </c>
      <c r="AB155" s="85">
        <f t="shared" si="84"/>
        <v>105840</v>
      </c>
      <c r="AC155" s="85">
        <f>VLOOKUP(K155,'Company Volumes'!$B$20:$C$259,2)</f>
        <v>17184.95945211111</v>
      </c>
      <c r="AD155" s="153">
        <f t="shared" si="88"/>
        <v>0</v>
      </c>
      <c r="AE155" s="150"/>
      <c r="AF155" s="150">
        <v>0</v>
      </c>
      <c r="AG155" s="150">
        <v>0</v>
      </c>
      <c r="AH155" s="150">
        <f t="shared" si="89"/>
        <v>0</v>
      </c>
      <c r="AI155" s="150">
        <f t="shared" si="90"/>
        <v>0</v>
      </c>
      <c r="AJ155" s="150">
        <f t="shared" si="91"/>
        <v>0</v>
      </c>
      <c r="AK155" s="85">
        <f t="shared" si="92"/>
        <v>69604.344150372548</v>
      </c>
      <c r="AL155" s="85">
        <f t="shared" si="93"/>
        <v>177491.07758344998</v>
      </c>
      <c r="AM155" s="85">
        <f t="shared" si="85"/>
        <v>0</v>
      </c>
      <c r="AN155" s="85">
        <f t="shared" si="86"/>
        <v>159161.93362385186</v>
      </c>
      <c r="AO155" s="85">
        <f t="shared" si="94"/>
        <v>34802.172075186274</v>
      </c>
      <c r="AP155" s="85">
        <f t="shared" si="106"/>
        <v>46500.558215233643</v>
      </c>
      <c r="AQ155" s="84">
        <f t="shared" si="95"/>
        <v>487560.0856480943</v>
      </c>
      <c r="AR155" s="85">
        <f t="shared" si="96"/>
        <v>17401.086037593137</v>
      </c>
      <c r="AS155" s="84">
        <f t="shared" si="72"/>
        <v>30387.755000000001</v>
      </c>
      <c r="AT155" s="85">
        <f t="shared" si="97"/>
        <v>0</v>
      </c>
      <c r="AU155" s="84">
        <f t="shared" si="98"/>
        <v>535348.9266856875</v>
      </c>
      <c r="AV155" s="84">
        <f t="shared" si="87"/>
        <v>-535348.9266856875</v>
      </c>
      <c r="AW155" s="453"/>
      <c r="AX155" s="93">
        <f t="shared" si="80"/>
        <v>41030</v>
      </c>
      <c r="BA155" s="315"/>
      <c r="BB155" s="134">
        <f t="shared" si="99"/>
        <v>37.825000000000003</v>
      </c>
      <c r="BC155" s="134">
        <f>'Curve Analysis - Base Case'!D147</f>
        <v>45.187764283256286</v>
      </c>
      <c r="BD155" s="131">
        <f t="shared" si="100"/>
        <v>7.4288331259859022E-2</v>
      </c>
      <c r="BE155" s="131">
        <f t="shared" si="101"/>
        <v>7.4288331259859022E-2</v>
      </c>
      <c r="BF155" s="365">
        <f>PJM_01212000!X155</f>
        <v>0.11278262388999569</v>
      </c>
      <c r="BG155" s="85">
        <f t="shared" si="102"/>
        <v>4456</v>
      </c>
      <c r="BH155" s="84">
        <f t="shared" si="103"/>
        <v>0</v>
      </c>
      <c r="BJ155" s="537">
        <f>_xll.EURO(BB155,BC155,BD155,BE155,BF155,BG155,1,0)*BH155</f>
        <v>0</v>
      </c>
      <c r="BK155" s="84">
        <f t="shared" si="104"/>
        <v>0</v>
      </c>
      <c r="BM155" s="84">
        <f t="shared" si="105"/>
        <v>0</v>
      </c>
    </row>
    <row r="156" spans="1:65">
      <c r="A156" s="78">
        <f t="shared" si="77"/>
        <v>150</v>
      </c>
      <c r="C156" s="78">
        <v>30</v>
      </c>
      <c r="D156" s="78" t="s">
        <v>66</v>
      </c>
      <c r="E156" s="113">
        <f t="shared" si="78"/>
        <v>41061</v>
      </c>
      <c r="F156" s="85">
        <f t="shared" si="75"/>
        <v>22</v>
      </c>
      <c r="G156" s="84">
        <f t="shared" si="107"/>
        <v>8</v>
      </c>
      <c r="H156" s="84"/>
      <c r="I156" s="84"/>
      <c r="J156" s="78">
        <f t="shared" si="79"/>
        <v>30</v>
      </c>
      <c r="K156" s="149">
        <v>41061</v>
      </c>
      <c r="L156" s="508">
        <v>7.4283157811181028E-2</v>
      </c>
      <c r="M156" s="509">
        <v>6.3914377208878007E-2</v>
      </c>
      <c r="N156" s="132">
        <f t="shared" si="76"/>
        <v>0.40583786348409506</v>
      </c>
      <c r="O156" s="133">
        <f>VLOOKUP(K156,Inflation!$B$8:$C$266,2)</f>
        <v>1.39518097330974</v>
      </c>
      <c r="P156" s="132"/>
      <c r="Q156" s="134">
        <f>VLOOKUP(K156,'Fuel Curve'!$B$11:$F$268,5)</f>
        <v>4.4201724137931047</v>
      </c>
      <c r="R156" s="238">
        <f>VLOOKUP(K156,'Fuel Curve Simulation'!$B$12:$J$258,9)</f>
        <v>4.4201724137931047</v>
      </c>
      <c r="S156" s="134">
        <f t="shared" si="83"/>
        <v>42.34083155172415</v>
      </c>
      <c r="T156" s="136"/>
      <c r="V156" s="135">
        <f>VLOOKUP(K156,PJM_01212000!$A$7:$C$259,3)</f>
        <v>63.849998474121094</v>
      </c>
      <c r="W156" s="486"/>
      <c r="X156" s="118">
        <f>'PJM Curve Simulation'!J156</f>
        <v>63.849998474121094</v>
      </c>
      <c r="Y156" s="512"/>
      <c r="Z156" s="137"/>
      <c r="AA156" s="78">
        <f t="shared" si="81"/>
        <v>315</v>
      </c>
      <c r="AB156" s="85">
        <f t="shared" si="84"/>
        <v>110880</v>
      </c>
      <c r="AC156" s="85">
        <f>VLOOKUP(K156,'Company Volumes'!$B$20:$C$259,2)</f>
        <v>31246.805776853333</v>
      </c>
      <c r="AD156" s="153">
        <f t="shared" si="88"/>
        <v>110880</v>
      </c>
      <c r="AE156" s="150"/>
      <c r="AF156" s="150">
        <v>0</v>
      </c>
      <c r="AG156" s="150">
        <v>0</v>
      </c>
      <c r="AH156" s="150">
        <f t="shared" si="89"/>
        <v>7079687.8308105469</v>
      </c>
      <c r="AI156" s="150">
        <f t="shared" si="90"/>
        <v>7079687.8308105469</v>
      </c>
      <c r="AJ156" s="150">
        <f t="shared" si="91"/>
        <v>4694751.4024551734</v>
      </c>
      <c r="AK156" s="85">
        <f t="shared" si="92"/>
        <v>69759.048665487004</v>
      </c>
      <c r="AL156" s="85">
        <f t="shared" si="93"/>
        <v>177885.57409699183</v>
      </c>
      <c r="AM156" s="85">
        <f t="shared" si="85"/>
        <v>309395.33264116792</v>
      </c>
      <c r="AN156" s="85">
        <f t="shared" si="86"/>
        <v>159515.69128174693</v>
      </c>
      <c r="AO156" s="85">
        <f t="shared" si="94"/>
        <v>34879.524332743502</v>
      </c>
      <c r="AP156" s="85">
        <f t="shared" si="106"/>
        <v>46500.558215233643</v>
      </c>
      <c r="AQ156" s="84">
        <f t="shared" si="95"/>
        <v>797935.72923337074</v>
      </c>
      <c r="AR156" s="85">
        <f t="shared" si="96"/>
        <v>17439.762166371751</v>
      </c>
      <c r="AS156" s="84">
        <f t="shared" si="72"/>
        <v>30387.755000000001</v>
      </c>
      <c r="AT156" s="85">
        <f t="shared" si="97"/>
        <v>59264.674551116281</v>
      </c>
      <c r="AU156" s="84">
        <f t="shared" si="98"/>
        <v>5599779.3234060314</v>
      </c>
      <c r="AV156" s="84">
        <f t="shared" si="87"/>
        <v>1479908.5074045155</v>
      </c>
      <c r="AW156" s="453"/>
      <c r="AX156" s="93">
        <f t="shared" si="80"/>
        <v>41061</v>
      </c>
      <c r="BA156" s="315"/>
      <c r="BB156" s="134">
        <f t="shared" si="99"/>
        <v>63.849998474121094</v>
      </c>
      <c r="BC156" s="134">
        <f>'Curve Analysis - Base Case'!D148</f>
        <v>45.131193498343627</v>
      </c>
      <c r="BD156" s="131">
        <f t="shared" si="100"/>
        <v>7.4283157811181028E-2</v>
      </c>
      <c r="BE156" s="131">
        <f t="shared" si="101"/>
        <v>7.4283157811181028E-2</v>
      </c>
      <c r="BF156" s="365">
        <f>PJM_01212000!X156</f>
        <v>0.14500623071570876</v>
      </c>
      <c r="BG156" s="85">
        <f t="shared" si="102"/>
        <v>4487</v>
      </c>
      <c r="BH156" s="84">
        <f t="shared" si="103"/>
        <v>110880</v>
      </c>
      <c r="BJ156" s="537">
        <f>_xll.EURO(BB156,BC156,BD156,BE156,BF156,BG156,1,0)*BH156</f>
        <v>1008816.4796711613</v>
      </c>
      <c r="BK156" s="84">
        <f t="shared" si="104"/>
        <v>967897.50462913327</v>
      </c>
      <c r="BM156" s="84">
        <f t="shared" si="105"/>
        <v>40918.975042028003</v>
      </c>
    </row>
    <row r="157" spans="1:65">
      <c r="A157" s="78">
        <f t="shared" si="77"/>
        <v>151</v>
      </c>
      <c r="C157" s="78">
        <v>31</v>
      </c>
      <c r="D157" s="78" t="s">
        <v>67</v>
      </c>
      <c r="E157" s="113">
        <f t="shared" si="78"/>
        <v>41091</v>
      </c>
      <c r="F157" s="85">
        <f t="shared" si="75"/>
        <v>22</v>
      </c>
      <c r="G157" s="84">
        <f t="shared" si="107"/>
        <v>9</v>
      </c>
      <c r="H157" s="84"/>
      <c r="I157" s="84"/>
      <c r="J157" s="78">
        <f t="shared" si="79"/>
        <v>31</v>
      </c>
      <c r="K157" s="149">
        <v>41091</v>
      </c>
      <c r="L157" s="508">
        <v>7.4278151247953006E-2</v>
      </c>
      <c r="M157" s="509">
        <v>6.3925614812756021E-2</v>
      </c>
      <c r="N157" s="132">
        <f t="shared" si="76"/>
        <v>0.40343811295464965</v>
      </c>
      <c r="O157" s="133">
        <f>VLOOKUP(K157,Inflation!$B$8:$C$266,2)</f>
        <v>1.3982819406215858</v>
      </c>
      <c r="P157" s="132"/>
      <c r="Q157" s="134">
        <f>VLOOKUP(K157,'Fuel Curve'!$B$11:$F$268,5)</f>
        <v>4.477413793103449</v>
      </c>
      <c r="R157" s="238">
        <f>VLOOKUP(K157,'Fuel Curve Simulation'!$B$12:$J$258,9)</f>
        <v>4.477413793103449</v>
      </c>
      <c r="S157" s="134">
        <f t="shared" si="83"/>
        <v>42.889146724137937</v>
      </c>
      <c r="T157" s="136"/>
      <c r="V157" s="135">
        <f>VLOOKUP(K157,PJM_01212000!$A$7:$C$259,3)</f>
        <v>111.44999694824219</v>
      </c>
      <c r="W157" s="486"/>
      <c r="X157" s="118">
        <f>'PJM Curve Simulation'!J157</f>
        <v>111.44999694824219</v>
      </c>
      <c r="Y157" s="512"/>
      <c r="Z157" s="137"/>
      <c r="AA157" s="78">
        <f t="shared" si="81"/>
        <v>315</v>
      </c>
      <c r="AB157" s="85">
        <f t="shared" si="84"/>
        <v>110880</v>
      </c>
      <c r="AC157" s="85">
        <f>VLOOKUP(K157,'Company Volumes'!$B$20:$C$259,2)</f>
        <v>53690.513874557771</v>
      </c>
      <c r="AD157" s="153">
        <f t="shared" si="88"/>
        <v>110880</v>
      </c>
      <c r="AE157" s="150"/>
      <c r="AF157" s="150">
        <v>0</v>
      </c>
      <c r="AG157" s="150">
        <v>0</v>
      </c>
      <c r="AH157" s="150">
        <f t="shared" si="89"/>
        <v>12357575.661621094</v>
      </c>
      <c r="AI157" s="150">
        <f t="shared" si="90"/>
        <v>12357575.661621094</v>
      </c>
      <c r="AJ157" s="150">
        <f t="shared" si="91"/>
        <v>4755548.5887724143</v>
      </c>
      <c r="AK157" s="85">
        <f t="shared" si="92"/>
        <v>69914.097031079291</v>
      </c>
      <c r="AL157" s="85">
        <f t="shared" si="93"/>
        <v>178280.94742925221</v>
      </c>
      <c r="AM157" s="85">
        <f t="shared" si="85"/>
        <v>310083.00315224286</v>
      </c>
      <c r="AN157" s="85">
        <f t="shared" si="86"/>
        <v>159870.23521106798</v>
      </c>
      <c r="AO157" s="85">
        <f t="shared" si="94"/>
        <v>34957.048515539645</v>
      </c>
      <c r="AP157" s="85">
        <f t="shared" si="106"/>
        <v>46500.558215233643</v>
      </c>
      <c r="AQ157" s="84">
        <f t="shared" si="95"/>
        <v>799605.8895544156</v>
      </c>
      <c r="AR157" s="85">
        <f t="shared" si="96"/>
        <v>17478.524257769823</v>
      </c>
      <c r="AS157" s="84">
        <f t="shared" si="72"/>
        <v>30387.755000000001</v>
      </c>
      <c r="AT157" s="85">
        <f t="shared" si="97"/>
        <v>103676.24926505772</v>
      </c>
      <c r="AU157" s="84">
        <f t="shared" si="98"/>
        <v>5706697.0068496568</v>
      </c>
      <c r="AV157" s="84">
        <f t="shared" si="87"/>
        <v>6650878.6547714369</v>
      </c>
      <c r="AW157" s="453"/>
      <c r="AX157" s="93">
        <f t="shared" si="80"/>
        <v>41091</v>
      </c>
      <c r="BA157" s="315"/>
      <c r="BB157" s="134">
        <f t="shared" si="99"/>
        <v>111.44999694824219</v>
      </c>
      <c r="BC157" s="134">
        <f>'Curve Analysis - Base Case'!D149</f>
        <v>45.685710605381111</v>
      </c>
      <c r="BD157" s="131">
        <f t="shared" si="100"/>
        <v>7.4278151247953006E-2</v>
      </c>
      <c r="BE157" s="131">
        <f t="shared" si="101"/>
        <v>7.4278151247953006E-2</v>
      </c>
      <c r="BF157" s="365">
        <f>PJM_01212000!X157</f>
        <v>0.17722983754142177</v>
      </c>
      <c r="BG157" s="85">
        <f t="shared" si="102"/>
        <v>4517</v>
      </c>
      <c r="BH157" s="84">
        <f t="shared" si="103"/>
        <v>110880</v>
      </c>
      <c r="BJ157" s="537">
        <f>_xll.EURO(BB157,BC157,BD157,BE157,BF157,BG157,1,0)*BH157</f>
        <v>2975189.8300934653</v>
      </c>
      <c r="BK157" s="84">
        <f t="shared" si="104"/>
        <v>3066947.4569002301</v>
      </c>
      <c r="BM157" s="84">
        <f t="shared" si="105"/>
        <v>-91757.626806764863</v>
      </c>
    </row>
    <row r="158" spans="1:65">
      <c r="A158" s="78">
        <f t="shared" si="77"/>
        <v>152</v>
      </c>
      <c r="C158" s="78">
        <v>31</v>
      </c>
      <c r="D158" s="78" t="s">
        <v>68</v>
      </c>
      <c r="E158" s="113">
        <f t="shared" si="78"/>
        <v>41122</v>
      </c>
      <c r="F158" s="85">
        <f t="shared" si="75"/>
        <v>22</v>
      </c>
      <c r="G158" s="84">
        <f t="shared" si="107"/>
        <v>9</v>
      </c>
      <c r="H158" s="84"/>
      <c r="I158" s="84"/>
      <c r="J158" s="78">
        <f t="shared" si="79"/>
        <v>31</v>
      </c>
      <c r="K158" s="149">
        <v>41122</v>
      </c>
      <c r="L158" s="508">
        <v>7.4272977799293011E-2</v>
      </c>
      <c r="M158" s="509">
        <v>6.3937227004352004E-2</v>
      </c>
      <c r="N158" s="132">
        <f t="shared" si="76"/>
        <v>0.40097361114942387</v>
      </c>
      <c r="O158" s="133">
        <f>VLOOKUP(K158,Inflation!$B$8:$C$266,2)</f>
        <v>1.4013898002280181</v>
      </c>
      <c r="P158" s="132"/>
      <c r="Q158" s="134">
        <f>VLOOKUP(K158,'Fuel Curve'!$B$11:$F$268,5)</f>
        <v>4.5679310344827595</v>
      </c>
      <c r="R158" s="238">
        <f>VLOOKUP(K158,'Fuel Curve Simulation'!$B$12:$J$258,9)</f>
        <v>4.5679310344827595</v>
      </c>
      <c r="S158" s="134">
        <f t="shared" si="83"/>
        <v>43.756211379310358</v>
      </c>
      <c r="T158" s="136"/>
      <c r="V158" s="135">
        <f>VLOOKUP(K158,PJM_01212000!$A$7:$C$259,3)</f>
        <v>98.449996948242188</v>
      </c>
      <c r="W158" s="486"/>
      <c r="X158" s="118">
        <f>'PJM Curve Simulation'!J158</f>
        <v>98.449996948242188</v>
      </c>
      <c r="Y158" s="512"/>
      <c r="Z158" s="137"/>
      <c r="AA158" s="78">
        <f t="shared" si="81"/>
        <v>315</v>
      </c>
      <c r="AB158" s="85">
        <f t="shared" si="84"/>
        <v>110880</v>
      </c>
      <c r="AC158" s="85">
        <f>VLOOKUP(K158,'Company Volumes'!$B$20:$C$259,2)</f>
        <v>35793.67591702933</v>
      </c>
      <c r="AD158" s="153">
        <f t="shared" si="88"/>
        <v>110880</v>
      </c>
      <c r="AE158" s="150"/>
      <c r="AF158" s="150">
        <v>0</v>
      </c>
      <c r="AG158" s="150">
        <v>0</v>
      </c>
      <c r="AH158" s="150">
        <f t="shared" si="89"/>
        <v>10916135.661621094</v>
      </c>
      <c r="AI158" s="150">
        <f t="shared" si="90"/>
        <v>10916135.661621094</v>
      </c>
      <c r="AJ158" s="150">
        <f t="shared" si="91"/>
        <v>4851688.7177379318</v>
      </c>
      <c r="AK158" s="85">
        <f t="shared" si="92"/>
        <v>70069.490011400907</v>
      </c>
      <c r="AL158" s="85">
        <f t="shared" si="93"/>
        <v>178677.1995290723</v>
      </c>
      <c r="AM158" s="85">
        <f t="shared" si="85"/>
        <v>310772.20209856529</v>
      </c>
      <c r="AN158" s="85">
        <f t="shared" si="86"/>
        <v>160225.56715940341</v>
      </c>
      <c r="AO158" s="85">
        <f t="shared" si="94"/>
        <v>35034.745005700453</v>
      </c>
      <c r="AP158" s="85">
        <f t="shared" si="106"/>
        <v>46500.558215233643</v>
      </c>
      <c r="AQ158" s="84">
        <f t="shared" si="95"/>
        <v>801279.76201937592</v>
      </c>
      <c r="AR158" s="85">
        <f t="shared" si="96"/>
        <v>17517.372502850227</v>
      </c>
      <c r="AS158" s="84">
        <f t="shared" si="72"/>
        <v>30387.755000000001</v>
      </c>
      <c r="AT158" s="85">
        <f t="shared" si="97"/>
        <v>91786.567044606767</v>
      </c>
      <c r="AU158" s="84">
        <f t="shared" si="98"/>
        <v>5792660.1743047638</v>
      </c>
      <c r="AV158" s="84">
        <f t="shared" si="87"/>
        <v>5123475.48731633</v>
      </c>
      <c r="AW158" s="453"/>
      <c r="AX158" s="93">
        <f t="shared" si="80"/>
        <v>41122</v>
      </c>
      <c r="BA158" s="315"/>
      <c r="BB158" s="134">
        <f t="shared" si="99"/>
        <v>98.449996948242188</v>
      </c>
      <c r="BC158" s="134">
        <f>'Curve Analysis - Base Case'!D150</f>
        <v>46.558990979766392</v>
      </c>
      <c r="BD158" s="131">
        <f t="shared" si="100"/>
        <v>7.4272977799293011E-2</v>
      </c>
      <c r="BE158" s="131">
        <f t="shared" si="101"/>
        <v>7.4272977799293011E-2</v>
      </c>
      <c r="BF158" s="365">
        <f>PJM_01212000!X158</f>
        <v>0.17722983754142177</v>
      </c>
      <c r="BG158" s="85">
        <f t="shared" si="102"/>
        <v>4548</v>
      </c>
      <c r="BH158" s="84">
        <f t="shared" si="103"/>
        <v>110880</v>
      </c>
      <c r="BJ158" s="537">
        <f>_xll.EURO(BB158,BC158,BD158,BE158,BF158,BG158,1,0)*BH158</f>
        <v>2383532.5012489813</v>
      </c>
      <c r="BK158" s="84">
        <f t="shared" si="104"/>
        <v>2431683.190712919</v>
      </c>
      <c r="BM158" s="84">
        <f t="shared" si="105"/>
        <v>-48150.689463937655</v>
      </c>
    </row>
    <row r="159" spans="1:65">
      <c r="A159" s="78">
        <f t="shared" si="77"/>
        <v>153</v>
      </c>
      <c r="C159" s="78">
        <v>30</v>
      </c>
      <c r="D159" s="78" t="s">
        <v>69</v>
      </c>
      <c r="E159" s="113">
        <f t="shared" si="78"/>
        <v>41153</v>
      </c>
      <c r="F159" s="85">
        <f t="shared" si="75"/>
        <v>22</v>
      </c>
      <c r="G159" s="84">
        <f t="shared" si="107"/>
        <v>8</v>
      </c>
      <c r="H159" s="84"/>
      <c r="I159" s="84"/>
      <c r="J159" s="78">
        <f t="shared" si="79"/>
        <v>30</v>
      </c>
      <c r="K159" s="149">
        <v>41153</v>
      </c>
      <c r="L159" s="508">
        <v>7.4267804350642008E-2</v>
      </c>
      <c r="M159" s="509">
        <v>6.3948839196889012E-2</v>
      </c>
      <c r="N159" s="132">
        <f t="shared" si="76"/>
        <v>0.39852450187009214</v>
      </c>
      <c r="O159" s="133">
        <f>VLOOKUP(K159,Inflation!$B$8:$C$266,2)</f>
        <v>1.4045045674480385</v>
      </c>
      <c r="P159" s="132"/>
      <c r="Q159" s="134">
        <f>VLOOKUP(K159,'Fuel Curve'!$B$11:$F$268,5)</f>
        <v>4.6627586206896563</v>
      </c>
      <c r="R159" s="238">
        <f>VLOOKUP(K159,'Fuel Curve Simulation'!$B$12:$J$258,9)</f>
        <v>4.6627586206896563</v>
      </c>
      <c r="S159" s="134">
        <f t="shared" si="83"/>
        <v>44.664564827586219</v>
      </c>
      <c r="T159" s="136"/>
      <c r="V159" s="135">
        <f>VLOOKUP(K159,PJM_01212000!$A$7:$C$259,3)</f>
        <v>37.424998474121097</v>
      </c>
      <c r="W159" s="486"/>
      <c r="X159" s="118">
        <f>'PJM Curve Simulation'!J159</f>
        <v>37.424998474121097</v>
      </c>
      <c r="Y159" s="512"/>
      <c r="Z159" s="137"/>
      <c r="AA159" s="78">
        <f t="shared" si="81"/>
        <v>315</v>
      </c>
      <c r="AB159" s="85">
        <f t="shared" si="84"/>
        <v>110880</v>
      </c>
      <c r="AC159" s="85">
        <f>VLOOKUP(K159,'Company Volumes'!$B$20:$C$259,2)</f>
        <v>21003.83933024844</v>
      </c>
      <c r="AD159" s="153">
        <f t="shared" si="88"/>
        <v>0</v>
      </c>
      <c r="AE159" s="150"/>
      <c r="AF159" s="150">
        <v>0</v>
      </c>
      <c r="AG159" s="150">
        <v>0</v>
      </c>
      <c r="AH159" s="150">
        <f t="shared" si="89"/>
        <v>0</v>
      </c>
      <c r="AI159" s="150">
        <f t="shared" si="90"/>
        <v>0</v>
      </c>
      <c r="AJ159" s="150">
        <f t="shared" si="91"/>
        <v>0</v>
      </c>
      <c r="AK159" s="85">
        <f t="shared" si="92"/>
        <v>70225.228372401922</v>
      </c>
      <c r="AL159" s="85">
        <f t="shared" si="93"/>
        <v>179074.33234962492</v>
      </c>
      <c r="AM159" s="85">
        <f t="shared" si="85"/>
        <v>0</v>
      </c>
      <c r="AN159" s="85">
        <f t="shared" si="86"/>
        <v>160581.68887822574</v>
      </c>
      <c r="AO159" s="85">
        <f t="shared" si="94"/>
        <v>35112.614186200961</v>
      </c>
      <c r="AP159" s="85">
        <f t="shared" si="106"/>
        <v>46500.558215233643</v>
      </c>
      <c r="AQ159" s="84">
        <f t="shared" si="95"/>
        <v>491494.42200168723</v>
      </c>
      <c r="AR159" s="85">
        <f t="shared" si="96"/>
        <v>17556.30709310048</v>
      </c>
      <c r="AS159" s="84">
        <f t="shared" si="72"/>
        <v>30387.755000000001</v>
      </c>
      <c r="AT159" s="85">
        <f t="shared" si="97"/>
        <v>0</v>
      </c>
      <c r="AU159" s="84">
        <f t="shared" si="98"/>
        <v>539438.48409478774</v>
      </c>
      <c r="AV159" s="84">
        <f t="shared" si="87"/>
        <v>-539438.48409478774</v>
      </c>
      <c r="AW159" s="453"/>
      <c r="AX159" s="93">
        <f t="shared" si="80"/>
        <v>41153</v>
      </c>
      <c r="BA159" s="315"/>
      <c r="BB159" s="134">
        <f t="shared" si="99"/>
        <v>37.424998474121097</v>
      </c>
      <c r="BC159" s="134">
        <f>'Curve Analysis - Base Case'!D151</f>
        <v>47.473573962482298</v>
      </c>
      <c r="BD159" s="131">
        <f t="shared" si="100"/>
        <v>7.4267804350642008E-2</v>
      </c>
      <c r="BE159" s="131">
        <f t="shared" si="101"/>
        <v>7.4267804350642008E-2</v>
      </c>
      <c r="BF159" s="365">
        <f>PJM_01212000!X159</f>
        <v>0.11392184231312696</v>
      </c>
      <c r="BG159" s="85">
        <f t="shared" si="102"/>
        <v>4579</v>
      </c>
      <c r="BH159" s="84">
        <f t="shared" si="103"/>
        <v>0</v>
      </c>
      <c r="BJ159" s="537">
        <f>_xll.EURO(BB159,BC159,BD159,BE159,BF159,BG159,1,0)*BH159</f>
        <v>0</v>
      </c>
      <c r="BK159" s="84">
        <f t="shared" si="104"/>
        <v>0</v>
      </c>
      <c r="BM159" s="84">
        <f t="shared" si="105"/>
        <v>0</v>
      </c>
    </row>
    <row r="160" spans="1:65">
      <c r="A160" s="78">
        <f t="shared" si="77"/>
        <v>154</v>
      </c>
      <c r="C160" s="78">
        <v>31</v>
      </c>
      <c r="D160" s="78" t="s">
        <v>70</v>
      </c>
      <c r="E160" s="113">
        <f t="shared" si="78"/>
        <v>41183</v>
      </c>
      <c r="F160" s="85">
        <f t="shared" si="75"/>
        <v>21</v>
      </c>
      <c r="G160" s="84">
        <f t="shared" si="107"/>
        <v>10</v>
      </c>
      <c r="H160" s="84"/>
      <c r="I160" s="84"/>
      <c r="J160" s="78">
        <f t="shared" si="79"/>
        <v>31</v>
      </c>
      <c r="K160" s="149">
        <v>41183</v>
      </c>
      <c r="L160" s="508">
        <v>7.4262797787439022E-2</v>
      </c>
      <c r="M160" s="509">
        <v>6.3960076803463009E-2</v>
      </c>
      <c r="N160" s="132">
        <f t="shared" si="76"/>
        <v>0.39616895939848518</v>
      </c>
      <c r="O160" s="133">
        <f>VLOOKUP(K160,Inflation!$B$8:$C$266,2)</f>
        <v>1.4076262576346978</v>
      </c>
      <c r="P160" s="132"/>
      <c r="Q160" s="134">
        <f>VLOOKUP(K160,'Fuel Curve'!$B$11:$F$268,5)</f>
        <v>4.7553448275862067</v>
      </c>
      <c r="R160" s="238">
        <f>VLOOKUP(K160,'Fuel Curve Simulation'!$B$12:$J$258,9)</f>
        <v>4.7553448275862067</v>
      </c>
      <c r="S160" s="134">
        <f t="shared" si="83"/>
        <v>45.551448103448273</v>
      </c>
      <c r="T160" s="136"/>
      <c r="V160" s="135">
        <f>VLOOKUP(K160,PJM_01212000!$A$7:$C$259,3)</f>
        <v>30.575000381469728</v>
      </c>
      <c r="W160" s="486"/>
      <c r="X160" s="118">
        <f>'PJM Curve Simulation'!J160</f>
        <v>30.575000381469728</v>
      </c>
      <c r="Y160" s="512"/>
      <c r="Z160" s="137"/>
      <c r="AA160" s="78">
        <f t="shared" si="81"/>
        <v>315</v>
      </c>
      <c r="AB160" s="85">
        <f t="shared" si="84"/>
        <v>105840</v>
      </c>
      <c r="AC160" s="85">
        <f>VLOOKUP(K160,'Company Volumes'!$B$20:$C$259,2)</f>
        <v>3704.2983593871108</v>
      </c>
      <c r="AD160" s="153">
        <f t="shared" si="88"/>
        <v>0</v>
      </c>
      <c r="AE160" s="150"/>
      <c r="AF160" s="150">
        <v>0</v>
      </c>
      <c r="AG160" s="150">
        <v>0</v>
      </c>
      <c r="AH160" s="150">
        <f t="shared" si="89"/>
        <v>0</v>
      </c>
      <c r="AI160" s="150">
        <f t="shared" si="90"/>
        <v>0</v>
      </c>
      <c r="AJ160" s="150">
        <f t="shared" si="91"/>
        <v>0</v>
      </c>
      <c r="AK160" s="85">
        <f t="shared" si="92"/>
        <v>70381.312881734892</v>
      </c>
      <c r="AL160" s="85">
        <f t="shared" si="93"/>
        <v>179472.34784842399</v>
      </c>
      <c r="AM160" s="85">
        <f t="shared" si="85"/>
        <v>0</v>
      </c>
      <c r="AN160" s="85">
        <f t="shared" si="86"/>
        <v>160938.60212290045</v>
      </c>
      <c r="AO160" s="85">
        <f t="shared" si="94"/>
        <v>35190.656440867446</v>
      </c>
      <c r="AP160" s="85">
        <f t="shared" si="106"/>
        <v>46500.558215233643</v>
      </c>
      <c r="AQ160" s="84">
        <f t="shared" si="95"/>
        <v>492483.47750916041</v>
      </c>
      <c r="AR160" s="85">
        <f t="shared" si="96"/>
        <v>17595.328220433723</v>
      </c>
      <c r="AS160" s="84">
        <f t="shared" si="72"/>
        <v>30387.755000000001</v>
      </c>
      <c r="AT160" s="85">
        <f t="shared" si="97"/>
        <v>0</v>
      </c>
      <c r="AU160" s="84">
        <f t="shared" si="98"/>
        <v>540466.56072959409</v>
      </c>
      <c r="AV160" s="84">
        <f t="shared" si="87"/>
        <v>-540466.56072959409</v>
      </c>
      <c r="AW160" s="453"/>
      <c r="AX160" s="93">
        <f t="shared" si="80"/>
        <v>41183</v>
      </c>
      <c r="BA160" s="315"/>
      <c r="BB160" s="134">
        <f t="shared" si="99"/>
        <v>30.575000381469728</v>
      </c>
      <c r="BC160" s="134">
        <f>'Curve Analysis - Base Case'!D152</f>
        <v>48.366700618717665</v>
      </c>
      <c r="BD160" s="131">
        <f t="shared" si="100"/>
        <v>7.4262797787439022E-2</v>
      </c>
      <c r="BE160" s="131">
        <f t="shared" si="101"/>
        <v>7.4262797787439022E-2</v>
      </c>
      <c r="BF160" s="365">
        <f>PJM_01212000!X160</f>
        <v>8.0559017064282631E-2</v>
      </c>
      <c r="BG160" s="85">
        <f t="shared" si="102"/>
        <v>4609</v>
      </c>
      <c r="BH160" s="84">
        <f t="shared" si="103"/>
        <v>0</v>
      </c>
      <c r="BJ160" s="537">
        <f>_xll.EURO(BB160,BC160,BD160,BE160,BF160,BG160,1,0)*BH160</f>
        <v>0</v>
      </c>
      <c r="BK160" s="84">
        <f t="shared" si="104"/>
        <v>0</v>
      </c>
      <c r="BM160" s="84">
        <f t="shared" si="105"/>
        <v>0</v>
      </c>
    </row>
    <row r="161" spans="1:65">
      <c r="A161" s="78">
        <f t="shared" si="77"/>
        <v>155</v>
      </c>
      <c r="C161" s="78">
        <v>30</v>
      </c>
      <c r="D161" s="78" t="s">
        <v>71</v>
      </c>
      <c r="E161" s="113">
        <f t="shared" si="78"/>
        <v>41214</v>
      </c>
      <c r="F161" s="85">
        <f t="shared" si="75"/>
        <v>22</v>
      </c>
      <c r="G161" s="84">
        <f t="shared" si="107"/>
        <v>8</v>
      </c>
      <c r="H161" s="84"/>
      <c r="I161" s="84"/>
      <c r="J161" s="78">
        <f t="shared" si="79"/>
        <v>30</v>
      </c>
      <c r="K161" s="149">
        <v>41214</v>
      </c>
      <c r="L161" s="508">
        <v>7.4257624338805006E-2</v>
      </c>
      <c r="M161" s="509">
        <v>6.3971688997847012E-2</v>
      </c>
      <c r="N161" s="132">
        <f t="shared" si="76"/>
        <v>0.39374985265197981</v>
      </c>
      <c r="O161" s="133">
        <f>VLOOKUP(K161,Inflation!$B$8:$C$266,2)</f>
        <v>1.4107548861751704</v>
      </c>
      <c r="P161" s="132"/>
      <c r="Q161" s="134">
        <f>VLOOKUP(K161,'Fuel Curve'!$B$11:$F$268,5)</f>
        <v>4.8046551724137938</v>
      </c>
      <c r="R161" s="238">
        <f>VLOOKUP(K161,'Fuel Curve Simulation'!$B$12:$J$258,9)</f>
        <v>4.8046551724137938</v>
      </c>
      <c r="S161" s="134">
        <f t="shared" si="83"/>
        <v>46.023791896551728</v>
      </c>
      <c r="T161" s="136"/>
      <c r="V161" s="135">
        <f>VLOOKUP(K161,PJM_01212000!$A$7:$C$259,3)</f>
        <v>30.247499084472658</v>
      </c>
      <c r="W161" s="486"/>
      <c r="X161" s="118">
        <f>'PJM Curve Simulation'!J161</f>
        <v>30.247499084472658</v>
      </c>
      <c r="Y161" s="512"/>
      <c r="Z161" s="137"/>
      <c r="AA161" s="78">
        <f t="shared" si="81"/>
        <v>315</v>
      </c>
      <c r="AB161" s="85">
        <f t="shared" si="84"/>
        <v>110880</v>
      </c>
      <c r="AC161" s="85">
        <f>VLOOKUP(K161,'Company Volumes'!$B$20:$C$259,2)</f>
        <v>8015.7944514759993</v>
      </c>
      <c r="AD161" s="153">
        <f t="shared" si="88"/>
        <v>0</v>
      </c>
      <c r="AE161" s="150"/>
      <c r="AF161" s="150">
        <v>0</v>
      </c>
      <c r="AG161" s="150">
        <v>0</v>
      </c>
      <c r="AH161" s="150">
        <f t="shared" si="89"/>
        <v>0</v>
      </c>
      <c r="AI161" s="150">
        <f t="shared" si="90"/>
        <v>0</v>
      </c>
      <c r="AJ161" s="150">
        <f t="shared" si="91"/>
        <v>0</v>
      </c>
      <c r="AK161" s="85">
        <f t="shared" si="92"/>
        <v>70537.744308758512</v>
      </c>
      <c r="AL161" s="85">
        <f t="shared" si="93"/>
        <v>179871.24798733424</v>
      </c>
      <c r="AM161" s="85">
        <f t="shared" si="85"/>
        <v>0</v>
      </c>
      <c r="AN161" s="85">
        <f t="shared" si="86"/>
        <v>161296.30865269448</v>
      </c>
      <c r="AO161" s="85">
        <f t="shared" si="94"/>
        <v>35268.872154379256</v>
      </c>
      <c r="AP161" s="85">
        <f t="shared" si="106"/>
        <v>46500.558215233643</v>
      </c>
      <c r="AQ161" s="84">
        <f t="shared" si="95"/>
        <v>493474.73131840013</v>
      </c>
      <c r="AR161" s="85">
        <f t="shared" si="96"/>
        <v>17634.436077189628</v>
      </c>
      <c r="AS161" s="84">
        <f t="shared" si="72"/>
        <v>30387.755000000001</v>
      </c>
      <c r="AT161" s="85">
        <f t="shared" si="97"/>
        <v>0</v>
      </c>
      <c r="AU161" s="84">
        <f t="shared" si="98"/>
        <v>541496.92239558976</v>
      </c>
      <c r="AV161" s="84">
        <f t="shared" si="87"/>
        <v>-541496.92239558976</v>
      </c>
      <c r="AW161" s="453"/>
      <c r="AX161" s="93">
        <f t="shared" si="80"/>
        <v>41214</v>
      </c>
      <c r="BA161" s="315"/>
      <c r="BB161" s="134">
        <f t="shared" si="99"/>
        <v>30.247499084472658</v>
      </c>
      <c r="BC161" s="134">
        <f>'Curve Analysis - Base Case'!D153</f>
        <v>48.845301668902067</v>
      </c>
      <c r="BD161" s="131">
        <f t="shared" si="100"/>
        <v>7.4257624338805006E-2</v>
      </c>
      <c r="BE161" s="131">
        <f t="shared" si="101"/>
        <v>7.4257624338805006E-2</v>
      </c>
      <c r="BF161" s="365">
        <f>PJM_01212000!X161</f>
        <v>8.0559017064282631E-2</v>
      </c>
      <c r="BG161" s="85">
        <f t="shared" si="102"/>
        <v>4640</v>
      </c>
      <c r="BH161" s="84">
        <f t="shared" si="103"/>
        <v>0</v>
      </c>
      <c r="BJ161" s="537">
        <f>_xll.EURO(BB161,BC161,BD161,BE161,BF161,BG161,1,0)*BH161</f>
        <v>0</v>
      </c>
      <c r="BK161" s="84">
        <f t="shared" si="104"/>
        <v>0</v>
      </c>
      <c r="BM161" s="84">
        <f t="shared" si="105"/>
        <v>0</v>
      </c>
    </row>
    <row r="162" spans="1:65">
      <c r="A162" s="78">
        <f t="shared" si="77"/>
        <v>156</v>
      </c>
      <c r="C162" s="78">
        <v>31</v>
      </c>
      <c r="D162" s="78" t="s">
        <v>72</v>
      </c>
      <c r="E162" s="113">
        <f t="shared" si="78"/>
        <v>41244</v>
      </c>
      <c r="F162" s="85">
        <f t="shared" si="75"/>
        <v>23</v>
      </c>
      <c r="G162" s="84">
        <f t="shared" si="107"/>
        <v>8</v>
      </c>
      <c r="H162" s="84">
        <f>SUM(F151:G162)</f>
        <v>366</v>
      </c>
      <c r="I162" s="84"/>
      <c r="J162" s="78">
        <f t="shared" si="79"/>
        <v>31</v>
      </c>
      <c r="K162" s="149">
        <v>41244</v>
      </c>
      <c r="L162" s="508">
        <v>7.4252617775620006E-2</v>
      </c>
      <c r="M162" s="509">
        <v>6.3982926606210008E-2</v>
      </c>
      <c r="N162" s="132">
        <f t="shared" si="76"/>
        <v>0.39142316275722272</v>
      </c>
      <c r="O162" s="133">
        <f>VLOOKUP(K162,Inflation!$B$8:$C$266,2)</f>
        <v>1.4138904684908309</v>
      </c>
      <c r="P162" s="132"/>
      <c r="Q162" s="134">
        <f>VLOOKUP(K162,'Fuel Curve'!$B$11:$F$268,5)</f>
        <v>4.8474137931034491</v>
      </c>
      <c r="R162" s="238">
        <f>VLOOKUP(K162,'Fuel Curve Simulation'!$B$12:$J$258,9)</f>
        <v>4.8474137931034491</v>
      </c>
      <c r="S162" s="134">
        <f t="shared" si="83"/>
        <v>46.433376724137936</v>
      </c>
      <c r="T162" s="136"/>
      <c r="V162" s="135">
        <f>VLOOKUP(K162,PJM_01212000!$A$7:$C$259,3)</f>
        <v>31.999999618530275</v>
      </c>
      <c r="W162" s="486"/>
      <c r="X162" s="118">
        <f>'PJM Curve Simulation'!J162</f>
        <v>31.999999618530275</v>
      </c>
      <c r="Y162" s="512"/>
      <c r="Z162" s="137"/>
      <c r="AA162" s="78">
        <f t="shared" si="81"/>
        <v>315</v>
      </c>
      <c r="AB162" s="85">
        <f t="shared" si="84"/>
        <v>115920</v>
      </c>
      <c r="AC162" s="85">
        <f>VLOOKUP(K162,'Company Volumes'!$B$20:$C$259,2)</f>
        <v>8015.7944514759993</v>
      </c>
      <c r="AD162" s="153">
        <f t="shared" si="88"/>
        <v>0</v>
      </c>
      <c r="AE162" s="150"/>
      <c r="AF162" s="150">
        <v>0</v>
      </c>
      <c r="AG162" s="150">
        <v>0</v>
      </c>
      <c r="AH162" s="150">
        <f t="shared" si="89"/>
        <v>0</v>
      </c>
      <c r="AI162" s="150">
        <f t="shared" si="90"/>
        <v>0</v>
      </c>
      <c r="AJ162" s="150">
        <f t="shared" si="91"/>
        <v>0</v>
      </c>
      <c r="AK162" s="85">
        <f t="shared" si="92"/>
        <v>70694.523424541549</v>
      </c>
      <c r="AL162" s="85">
        <f t="shared" si="93"/>
        <v>180271.03473258091</v>
      </c>
      <c r="AM162" s="85">
        <f t="shared" si="85"/>
        <v>0</v>
      </c>
      <c r="AN162" s="85">
        <f t="shared" si="86"/>
        <v>161654.81023078499</v>
      </c>
      <c r="AO162" s="85">
        <f t="shared" si="94"/>
        <v>35347.261712270774</v>
      </c>
      <c r="AP162" s="85">
        <f t="shared" si="106"/>
        <v>46500.558215233643</v>
      </c>
      <c r="AQ162" s="84">
        <f t="shared" si="95"/>
        <v>494468.18831541191</v>
      </c>
      <c r="AR162" s="85">
        <f t="shared" si="96"/>
        <v>17673.630856135387</v>
      </c>
      <c r="AS162" s="84">
        <f t="shared" si="72"/>
        <v>30387.755000000001</v>
      </c>
      <c r="AT162" s="85">
        <f t="shared" si="97"/>
        <v>0</v>
      </c>
      <c r="AU162" s="84">
        <f t="shared" si="98"/>
        <v>542529.57417154731</v>
      </c>
      <c r="AV162" s="84">
        <f t="shared" si="87"/>
        <v>-542529.57417154731</v>
      </c>
      <c r="AW162" s="453"/>
      <c r="AX162" s="93">
        <f t="shared" si="80"/>
        <v>41244</v>
      </c>
      <c r="AY162" s="85">
        <f ca="1">'Debt Amortization'!T8</f>
        <v>5974502.6777163949</v>
      </c>
      <c r="AZ162" s="85">
        <f ca="1">AY162*N162</f>
        <v>2338558.7340132473</v>
      </c>
      <c r="BA162" s="315"/>
      <c r="BB162" s="134">
        <f t="shared" si="99"/>
        <v>31.999999618530275</v>
      </c>
      <c r="BC162" s="134">
        <f>'Curve Analysis - Base Case'!D154</f>
        <v>49.261157661119597</v>
      </c>
      <c r="BD162" s="131">
        <f t="shared" si="100"/>
        <v>7.4252617775620006E-2</v>
      </c>
      <c r="BE162" s="131">
        <f t="shared" si="101"/>
        <v>7.4252617775620006E-2</v>
      </c>
      <c r="BF162" s="365">
        <f>PJM_01212000!X162</f>
        <v>8.0559017064282631E-2</v>
      </c>
      <c r="BG162" s="85">
        <f t="shared" si="102"/>
        <v>4670</v>
      </c>
      <c r="BH162" s="84">
        <f t="shared" si="103"/>
        <v>0</v>
      </c>
      <c r="BJ162" s="537">
        <f>_xll.EURO(BB162,BC162,BD162,BE162,BF162,BG162,1,0)*BH162</f>
        <v>0</v>
      </c>
      <c r="BK162" s="84">
        <f t="shared" si="104"/>
        <v>0</v>
      </c>
      <c r="BM162" s="84">
        <f t="shared" si="105"/>
        <v>0</v>
      </c>
    </row>
    <row r="163" spans="1:65">
      <c r="A163" s="78">
        <f t="shared" si="77"/>
        <v>157</v>
      </c>
      <c r="C163" s="78">
        <v>31</v>
      </c>
      <c r="D163" s="78" t="s">
        <v>62</v>
      </c>
      <c r="E163" s="113">
        <f t="shared" si="78"/>
        <v>41275</v>
      </c>
      <c r="F163" s="85">
        <f t="shared" si="75"/>
        <v>23</v>
      </c>
      <c r="G163" s="84">
        <f>C163-F163</f>
        <v>8</v>
      </c>
      <c r="H163" s="84"/>
      <c r="I163" s="84"/>
      <c r="J163" s="78">
        <f t="shared" si="79"/>
        <v>31</v>
      </c>
      <c r="K163" s="149">
        <v>41275</v>
      </c>
      <c r="L163" s="508">
        <v>7.4247444327003018E-2</v>
      </c>
      <c r="M163" s="509">
        <v>6.3994538802442005E-2</v>
      </c>
      <c r="N163" s="132">
        <f t="shared" si="76"/>
        <v>0.38903368334708766</v>
      </c>
      <c r="O163" s="133">
        <f>VLOOKUP(K163,Inflation!$B$8:$C$266,2)</f>
        <v>1.4170330200373302</v>
      </c>
      <c r="P163" s="132"/>
      <c r="Q163" s="134">
        <f>VLOOKUP(K163,'Fuel Curve'!$B$11:$F$268,5)</f>
        <v>4.7901724137931048</v>
      </c>
      <c r="R163" s="238">
        <f>VLOOKUP(K163,'Fuel Curve Simulation'!$B$12:$J$258,9)</f>
        <v>4.7901724137931048</v>
      </c>
      <c r="S163" s="134">
        <f t="shared" si="83"/>
        <v>45.885061551724156</v>
      </c>
      <c r="T163" s="136"/>
      <c r="V163" s="135">
        <f>VLOOKUP(K163,PJM_01212000!$A$7:$C$259,3)</f>
        <v>40.574998474121088</v>
      </c>
      <c r="W163" s="486"/>
      <c r="X163" s="118">
        <f>'PJM Curve Simulation'!J163</f>
        <v>40.574998474121088</v>
      </c>
      <c r="Y163" s="512"/>
      <c r="Z163" s="137"/>
      <c r="AA163" s="78">
        <f t="shared" si="81"/>
        <v>315</v>
      </c>
      <c r="AB163" s="85">
        <f t="shared" si="84"/>
        <v>115920</v>
      </c>
      <c r="AC163" s="85">
        <f>VLOOKUP(K163,'Company Volumes'!$B$20:$C$259,2)</f>
        <v>17438.018109661331</v>
      </c>
      <c r="AD163" s="153">
        <f t="shared" si="88"/>
        <v>0</v>
      </c>
      <c r="AE163" s="150"/>
      <c r="AF163" s="150">
        <v>0</v>
      </c>
      <c r="AG163" s="150">
        <v>0</v>
      </c>
      <c r="AH163" s="150">
        <f t="shared" si="89"/>
        <v>0</v>
      </c>
      <c r="AI163" s="150">
        <f t="shared" si="90"/>
        <v>0</v>
      </c>
      <c r="AJ163" s="150">
        <f t="shared" si="91"/>
        <v>0</v>
      </c>
      <c r="AK163" s="85">
        <f t="shared" si="92"/>
        <v>70851.651001866514</v>
      </c>
      <c r="AL163" s="85">
        <f t="shared" si="93"/>
        <v>180671.71005475961</v>
      </c>
      <c r="AM163" s="85">
        <f t="shared" si="85"/>
        <v>0</v>
      </c>
      <c r="AN163" s="85">
        <f t="shared" si="86"/>
        <v>162014.10862426809</v>
      </c>
      <c r="AO163" s="85">
        <f t="shared" si="94"/>
        <v>35425.825500933257</v>
      </c>
      <c r="AP163" s="85">
        <f t="shared" si="106"/>
        <v>46500.558215233643</v>
      </c>
      <c r="AQ163" s="84">
        <f t="shared" si="95"/>
        <v>495463.85339706112</v>
      </c>
      <c r="AR163" s="85">
        <f t="shared" si="96"/>
        <v>17712.912750466628</v>
      </c>
      <c r="AS163" s="84">
        <f t="shared" si="72"/>
        <v>30387.755000000001</v>
      </c>
      <c r="AT163" s="85">
        <f t="shared" si="97"/>
        <v>0</v>
      </c>
      <c r="AU163" s="84">
        <f t="shared" si="98"/>
        <v>543564.52114752773</v>
      </c>
      <c r="AV163" s="84">
        <f t="shared" si="87"/>
        <v>-543564.52114752773</v>
      </c>
      <c r="AW163" s="453"/>
      <c r="AX163" s="93">
        <f t="shared" si="80"/>
        <v>41275</v>
      </c>
      <c r="BA163" s="315"/>
      <c r="BB163" s="134">
        <f t="shared" si="99"/>
        <v>40.574998474121088</v>
      </c>
      <c r="BC163" s="134">
        <f>'Curve Analysis - Base Case'!D155</f>
        <v>48.719127591798816</v>
      </c>
      <c r="BD163" s="131">
        <f t="shared" si="100"/>
        <v>7.4247444327003018E-2</v>
      </c>
      <c r="BE163" s="131">
        <f t="shared" si="101"/>
        <v>7.4247444327003018E-2</v>
      </c>
      <c r="BF163" s="365">
        <f>PJM_01212000!X163</f>
        <v>0.12373865021073815</v>
      </c>
      <c r="BG163" s="85">
        <f t="shared" si="102"/>
        <v>4701</v>
      </c>
      <c r="BH163" s="84">
        <f t="shared" si="103"/>
        <v>0</v>
      </c>
      <c r="BJ163" s="537">
        <f>_xll.EURO(BB163,BC163,BD163,BE163,BF163,BG163,1,0)*BH163</f>
        <v>0</v>
      </c>
      <c r="BK163" s="84">
        <f t="shared" si="104"/>
        <v>0</v>
      </c>
      <c r="BM163" s="84">
        <f t="shared" si="105"/>
        <v>0</v>
      </c>
    </row>
    <row r="164" spans="1:65">
      <c r="A164" s="78">
        <f t="shared" si="77"/>
        <v>158</v>
      </c>
      <c r="C164" s="78">
        <v>28</v>
      </c>
      <c r="D164" s="78" t="s">
        <v>63</v>
      </c>
      <c r="E164" s="113">
        <f t="shared" si="78"/>
        <v>41306</v>
      </c>
      <c r="F164" s="85">
        <f t="shared" si="75"/>
        <v>20</v>
      </c>
      <c r="G164" s="84">
        <f t="shared" ref="G164:G174" si="108">C164-F164</f>
        <v>8</v>
      </c>
      <c r="H164" s="84"/>
      <c r="I164" s="84"/>
      <c r="J164" s="78">
        <f t="shared" si="79"/>
        <v>28</v>
      </c>
      <c r="K164" s="149">
        <v>41306</v>
      </c>
      <c r="L164" s="508">
        <v>7.4242270878395009E-2</v>
      </c>
      <c r="M164" s="509">
        <v>6.4006150999613015E-2</v>
      </c>
      <c r="N164" s="132">
        <f t="shared" si="76"/>
        <v>0.38665911820070931</v>
      </c>
      <c r="O164" s="133">
        <f>VLOOKUP(K164,Inflation!$B$8:$C$266,2)</f>
        <v>1.4201825563046704</v>
      </c>
      <c r="P164" s="132"/>
      <c r="Q164" s="134">
        <f>VLOOKUP(K164,'Fuel Curve'!$B$11:$F$268,5)</f>
        <v>4.6910344827586217</v>
      </c>
      <c r="R164" s="238">
        <f>VLOOKUP(K164,'Fuel Curve Simulation'!$B$12:$J$258,9)</f>
        <v>4.6910344827586217</v>
      </c>
      <c r="S164" s="134">
        <f t="shared" si="83"/>
        <v>44.935419310344834</v>
      </c>
      <c r="T164" s="136"/>
      <c r="V164" s="135">
        <f>VLOOKUP(K164,PJM_01212000!$A$7:$C$259,3)</f>
        <v>40.574998474121088</v>
      </c>
      <c r="W164" s="486"/>
      <c r="X164" s="118">
        <f>'PJM Curve Simulation'!J164</f>
        <v>40.574998474121088</v>
      </c>
      <c r="Y164" s="512"/>
      <c r="Z164" s="137"/>
      <c r="AA164" s="78">
        <f t="shared" si="81"/>
        <v>315</v>
      </c>
      <c r="AB164" s="85">
        <f t="shared" si="84"/>
        <v>100800</v>
      </c>
      <c r="AC164" s="85">
        <f>VLOOKUP(K164,'Company Volumes'!$B$20:$C$259,2)</f>
        <v>626.40040543111115</v>
      </c>
      <c r="AD164" s="153">
        <f t="shared" si="88"/>
        <v>0</v>
      </c>
      <c r="AE164" s="150"/>
      <c r="AF164" s="150">
        <v>0</v>
      </c>
      <c r="AG164" s="150">
        <v>0</v>
      </c>
      <c r="AH164" s="150">
        <f t="shared" si="89"/>
        <v>0</v>
      </c>
      <c r="AI164" s="150">
        <f t="shared" si="90"/>
        <v>0</v>
      </c>
      <c r="AJ164" s="150">
        <f t="shared" si="91"/>
        <v>0</v>
      </c>
      <c r="AK164" s="85">
        <f t="shared" si="92"/>
        <v>71009.127815233514</v>
      </c>
      <c r="AL164" s="85">
        <f t="shared" si="93"/>
        <v>181073.27592884548</v>
      </c>
      <c r="AM164" s="85">
        <f t="shared" si="85"/>
        <v>0</v>
      </c>
      <c r="AN164" s="85">
        <f t="shared" si="86"/>
        <v>162374.20560416731</v>
      </c>
      <c r="AO164" s="85">
        <f t="shared" si="94"/>
        <v>35504.563907616757</v>
      </c>
      <c r="AP164" s="85">
        <f t="shared" si="106"/>
        <v>46500.558215233643</v>
      </c>
      <c r="AQ164" s="84">
        <f t="shared" si="95"/>
        <v>496461.73147109675</v>
      </c>
      <c r="AR164" s="85">
        <f t="shared" si="96"/>
        <v>17752.281953808379</v>
      </c>
      <c r="AS164" s="84">
        <f t="shared" si="72"/>
        <v>30387.755000000001</v>
      </c>
      <c r="AT164" s="85">
        <f t="shared" si="97"/>
        <v>0</v>
      </c>
      <c r="AU164" s="84">
        <f t="shared" si="98"/>
        <v>544601.76842490514</v>
      </c>
      <c r="AV164" s="84">
        <f t="shared" si="87"/>
        <v>-544601.76842490514</v>
      </c>
      <c r="AW164" s="453"/>
      <c r="AX164" s="93">
        <f t="shared" si="80"/>
        <v>41306</v>
      </c>
      <c r="BA164" s="315"/>
      <c r="BB164" s="134">
        <f t="shared" si="99"/>
        <v>40.574998474121088</v>
      </c>
      <c r="BC164" s="134">
        <f>'Curve Analysis - Base Case'!D156</f>
        <v>47.775784422954175</v>
      </c>
      <c r="BD164" s="131">
        <f t="shared" si="100"/>
        <v>7.4242270878395009E-2</v>
      </c>
      <c r="BE164" s="131">
        <f t="shared" si="101"/>
        <v>7.4242270878395009E-2</v>
      </c>
      <c r="BF164" s="365">
        <f>PJM_01212000!X164</f>
        <v>0.12373865021073815</v>
      </c>
      <c r="BG164" s="85">
        <f t="shared" si="102"/>
        <v>4732</v>
      </c>
      <c r="BH164" s="84">
        <f t="shared" si="103"/>
        <v>0</v>
      </c>
      <c r="BJ164" s="537">
        <f>_xll.EURO(BB164,BC164,BD164,BE164,BF164,BG164,1,0)*BH164</f>
        <v>0</v>
      </c>
      <c r="BK164" s="84">
        <f t="shared" si="104"/>
        <v>0</v>
      </c>
      <c r="BM164" s="84">
        <f t="shared" si="105"/>
        <v>0</v>
      </c>
    </row>
    <row r="165" spans="1:65">
      <c r="A165" s="78">
        <f t="shared" si="77"/>
        <v>159</v>
      </c>
      <c r="C165" s="78">
        <v>31</v>
      </c>
      <c r="D165" s="78" t="s">
        <v>64</v>
      </c>
      <c r="E165" s="113">
        <f t="shared" si="78"/>
        <v>41334</v>
      </c>
      <c r="F165" s="85">
        <f t="shared" si="75"/>
        <v>22</v>
      </c>
      <c r="G165" s="84">
        <f t="shared" si="108"/>
        <v>9</v>
      </c>
      <c r="H165" s="84"/>
      <c r="I165" s="84"/>
      <c r="J165" s="78">
        <f t="shared" si="79"/>
        <v>31</v>
      </c>
      <c r="K165" s="149">
        <v>41334</v>
      </c>
      <c r="L165" s="508">
        <v>7.4237598086112008E-2</v>
      </c>
      <c r="M165" s="509">
        <v>6.4016639436574027E-2</v>
      </c>
      <c r="N165" s="132">
        <f t="shared" si="76"/>
        <v>0.38452708974175076</v>
      </c>
      <c r="O165" s="133">
        <f>VLOOKUP(K165,Inflation!$B$8:$C$266,2)</f>
        <v>1.4233390928172831</v>
      </c>
      <c r="P165" s="132"/>
      <c r="Q165" s="134">
        <f>VLOOKUP(K165,'Fuel Curve'!$B$11:$F$268,5)</f>
        <v>4.5939655172413802</v>
      </c>
      <c r="R165" s="238">
        <f>VLOOKUP(K165,'Fuel Curve Simulation'!$B$12:$J$258,9)</f>
        <v>4.5939655172413802</v>
      </c>
      <c r="S165" s="134">
        <f t="shared" si="83"/>
        <v>44.005595689655181</v>
      </c>
      <c r="T165" s="136"/>
      <c r="V165" s="135">
        <f>VLOOKUP(K165,PJM_01212000!$A$7:$C$259,3)</f>
        <v>30.300000762939455</v>
      </c>
      <c r="W165" s="486"/>
      <c r="X165" s="118">
        <f>'PJM Curve Simulation'!J165</f>
        <v>30.300000762939455</v>
      </c>
      <c r="Y165" s="512"/>
      <c r="Z165" s="137"/>
      <c r="AA165" s="78">
        <f t="shared" si="81"/>
        <v>315</v>
      </c>
      <c r="AB165" s="85">
        <f t="shared" si="84"/>
        <v>110880</v>
      </c>
      <c r="AC165" s="85">
        <f>VLOOKUP(K165,'Company Volumes'!$B$20:$C$259,2)</f>
        <v>626.40040543111115</v>
      </c>
      <c r="AD165" s="153">
        <f t="shared" si="88"/>
        <v>0</v>
      </c>
      <c r="AE165" s="150"/>
      <c r="AF165" s="150">
        <v>0</v>
      </c>
      <c r="AG165" s="150">
        <v>0</v>
      </c>
      <c r="AH165" s="150">
        <f t="shared" si="89"/>
        <v>0</v>
      </c>
      <c r="AI165" s="150">
        <f t="shared" si="90"/>
        <v>0</v>
      </c>
      <c r="AJ165" s="150">
        <f t="shared" si="91"/>
        <v>0</v>
      </c>
      <c r="AK165" s="85">
        <f t="shared" si="92"/>
        <v>71166.954640864147</v>
      </c>
      <c r="AL165" s="85">
        <f t="shared" si="93"/>
        <v>181475.73433420362</v>
      </c>
      <c r="AM165" s="85">
        <f t="shared" si="85"/>
        <v>0</v>
      </c>
      <c r="AN165" s="85">
        <f t="shared" si="86"/>
        <v>162735.10294544269</v>
      </c>
      <c r="AO165" s="85">
        <f t="shared" si="94"/>
        <v>35583.477320432074</v>
      </c>
      <c r="AP165" s="85">
        <f t="shared" si="106"/>
        <v>46500.558215233643</v>
      </c>
      <c r="AQ165" s="84">
        <f t="shared" si="95"/>
        <v>497461.82745617616</v>
      </c>
      <c r="AR165" s="85">
        <f t="shared" si="96"/>
        <v>17791.738660216037</v>
      </c>
      <c r="AS165" s="84">
        <f t="shared" si="72"/>
        <v>30387.755000000001</v>
      </c>
      <c r="AT165" s="85">
        <f t="shared" si="97"/>
        <v>0</v>
      </c>
      <c r="AU165" s="84">
        <f t="shared" si="98"/>
        <v>545641.32111639215</v>
      </c>
      <c r="AV165" s="84">
        <f t="shared" si="87"/>
        <v>-545641.32111639215</v>
      </c>
      <c r="AW165" s="453"/>
      <c r="AX165" s="93">
        <f t="shared" si="80"/>
        <v>41334</v>
      </c>
      <c r="BA165" s="315"/>
      <c r="BB165" s="134">
        <f t="shared" si="99"/>
        <v>30.300000762939455</v>
      </c>
      <c r="BC165" s="134">
        <f>'Curve Analysis - Base Case'!D157</f>
        <v>46.852273875289747</v>
      </c>
      <c r="BD165" s="131">
        <f t="shared" si="100"/>
        <v>7.4237598086112008E-2</v>
      </c>
      <c r="BE165" s="131">
        <f t="shared" si="101"/>
        <v>7.4237598086112008E-2</v>
      </c>
      <c r="BF165" s="365">
        <f>PJM_01212000!X165</f>
        <v>0.10311554184228178</v>
      </c>
      <c r="BG165" s="85">
        <f t="shared" si="102"/>
        <v>4760</v>
      </c>
      <c r="BH165" s="84">
        <f t="shared" si="103"/>
        <v>0</v>
      </c>
      <c r="BJ165" s="537">
        <f>_xll.EURO(BB165,BC165,BD165,BE165,BF165,BG165,1,0)*BH165</f>
        <v>0</v>
      </c>
      <c r="BK165" s="84">
        <f t="shared" si="104"/>
        <v>0</v>
      </c>
      <c r="BM165" s="84">
        <f t="shared" si="105"/>
        <v>0</v>
      </c>
    </row>
    <row r="166" spans="1:65">
      <c r="A166" s="78">
        <f t="shared" si="77"/>
        <v>160</v>
      </c>
      <c r="C166" s="78">
        <v>30</v>
      </c>
      <c r="D166" s="78" t="s">
        <v>65</v>
      </c>
      <c r="E166" s="113">
        <f t="shared" si="78"/>
        <v>41365</v>
      </c>
      <c r="F166" s="85">
        <f t="shared" si="75"/>
        <v>21</v>
      </c>
      <c r="G166" s="84">
        <f t="shared" si="108"/>
        <v>9</v>
      </c>
      <c r="H166" s="84"/>
      <c r="I166" s="84"/>
      <c r="J166" s="78">
        <f t="shared" si="79"/>
        <v>30</v>
      </c>
      <c r="K166" s="149">
        <v>41365</v>
      </c>
      <c r="L166" s="508">
        <v>7.4232424637521027E-2</v>
      </c>
      <c r="M166" s="509">
        <v>6.402825163553201E-2</v>
      </c>
      <c r="N166" s="132">
        <f t="shared" si="76"/>
        <v>0.38218064774511246</v>
      </c>
      <c r="O166" s="133">
        <f>VLOOKUP(K166,Inflation!$B$8:$C$266,2)</f>
        <v>1.4265026451341043</v>
      </c>
      <c r="P166" s="132"/>
      <c r="Q166" s="134">
        <f>VLOOKUP(K166,'Fuel Curve'!$B$11:$F$268,5)</f>
        <v>4.4939655172413797</v>
      </c>
      <c r="R166" s="238">
        <f>VLOOKUP(K166,'Fuel Curve Simulation'!$B$12:$J$258,9)</f>
        <v>4.4939655172413797</v>
      </c>
      <c r="S166" s="134">
        <f t="shared" si="83"/>
        <v>43.047695689655178</v>
      </c>
      <c r="T166" s="136"/>
      <c r="V166" s="135">
        <f>VLOOKUP(K166,PJM_01212000!$A$7:$C$259,3)</f>
        <v>30.075000762939453</v>
      </c>
      <c r="W166" s="486"/>
      <c r="X166" s="118">
        <f>'PJM Curve Simulation'!J166</f>
        <v>30.075000762939453</v>
      </c>
      <c r="Y166" s="512"/>
      <c r="Z166" s="137"/>
      <c r="AA166" s="78">
        <f t="shared" si="81"/>
        <v>315</v>
      </c>
      <c r="AB166" s="85">
        <f t="shared" si="84"/>
        <v>105840</v>
      </c>
      <c r="AC166" s="85">
        <f>VLOOKUP(K166,'Company Volumes'!$B$20:$C$259,2)</f>
        <v>8687.7101091417771</v>
      </c>
      <c r="AD166" s="153">
        <f t="shared" si="88"/>
        <v>0</v>
      </c>
      <c r="AE166" s="150"/>
      <c r="AF166" s="150">
        <v>0</v>
      </c>
      <c r="AG166" s="150">
        <v>0</v>
      </c>
      <c r="AH166" s="150">
        <f t="shared" si="89"/>
        <v>0</v>
      </c>
      <c r="AI166" s="150">
        <f t="shared" si="90"/>
        <v>0</v>
      </c>
      <c r="AJ166" s="150">
        <f t="shared" si="91"/>
        <v>0</v>
      </c>
      <c r="AK166" s="85">
        <f t="shared" si="92"/>
        <v>71325.132256705212</v>
      </c>
      <c r="AL166" s="85">
        <f t="shared" si="93"/>
        <v>181879.0872545983</v>
      </c>
      <c r="AM166" s="85">
        <f t="shared" si="85"/>
        <v>0</v>
      </c>
      <c r="AN166" s="85">
        <f t="shared" si="86"/>
        <v>163096.80242699923</v>
      </c>
      <c r="AO166" s="85">
        <f t="shared" si="94"/>
        <v>35662.566128352606</v>
      </c>
      <c r="AP166" s="85">
        <f t="shared" si="106"/>
        <v>46500.558215233643</v>
      </c>
      <c r="AQ166" s="84">
        <f t="shared" si="95"/>
        <v>498464.14628188906</v>
      </c>
      <c r="AR166" s="85">
        <f t="shared" si="96"/>
        <v>17831.283064176303</v>
      </c>
      <c r="AS166" s="84">
        <f t="shared" si="72"/>
        <v>30387.755000000001</v>
      </c>
      <c r="AT166" s="85">
        <f t="shared" si="97"/>
        <v>0</v>
      </c>
      <c r="AU166" s="84">
        <f t="shared" si="98"/>
        <v>546683.18434606539</v>
      </c>
      <c r="AV166" s="84">
        <f t="shared" si="87"/>
        <v>-546683.18434606539</v>
      </c>
      <c r="AW166" s="453"/>
      <c r="AX166" s="93">
        <f t="shared" si="80"/>
        <v>41365</v>
      </c>
      <c r="BA166" s="315"/>
      <c r="BB166" s="134">
        <f t="shared" si="99"/>
        <v>30.075000762939453</v>
      </c>
      <c r="BC166" s="134">
        <f>'Curve Analysis - Base Case'!D158</f>
        <v>45.900700979923386</v>
      </c>
      <c r="BD166" s="131">
        <f t="shared" si="100"/>
        <v>7.4232424637521027E-2</v>
      </c>
      <c r="BE166" s="131">
        <f t="shared" si="101"/>
        <v>7.4232424637521027E-2</v>
      </c>
      <c r="BF166" s="365">
        <f>PJM_01212000!X166</f>
        <v>9.7959764750167697E-2</v>
      </c>
      <c r="BG166" s="85">
        <f t="shared" si="102"/>
        <v>4791</v>
      </c>
      <c r="BH166" s="84">
        <f t="shared" si="103"/>
        <v>0</v>
      </c>
      <c r="BJ166" s="537">
        <f>_xll.EURO(BB166,BC166,BD166,BE166,BF166,BG166,1,0)*BH166</f>
        <v>0</v>
      </c>
      <c r="BK166" s="84">
        <f t="shared" si="104"/>
        <v>0</v>
      </c>
      <c r="BM166" s="84">
        <f t="shared" si="105"/>
        <v>0</v>
      </c>
    </row>
    <row r="167" spans="1:65">
      <c r="A167" s="78">
        <f t="shared" si="77"/>
        <v>161</v>
      </c>
      <c r="C167" s="78">
        <v>31</v>
      </c>
      <c r="D167" s="78" t="s">
        <v>38</v>
      </c>
      <c r="E167" s="113">
        <f t="shared" si="78"/>
        <v>41395</v>
      </c>
      <c r="F167" s="85">
        <f t="shared" si="75"/>
        <v>23</v>
      </c>
      <c r="G167" s="84">
        <f t="shared" si="108"/>
        <v>8</v>
      </c>
      <c r="H167" s="84"/>
      <c r="I167" s="84"/>
      <c r="J167" s="78">
        <f t="shared" si="79"/>
        <v>31</v>
      </c>
      <c r="K167" s="149">
        <v>41395</v>
      </c>
      <c r="L167" s="508">
        <v>7.4227418074377008E-2</v>
      </c>
      <c r="M167" s="509">
        <v>6.4039489248322021E-2</v>
      </c>
      <c r="N167" s="132">
        <f t="shared" si="76"/>
        <v>0.37992383764982213</v>
      </c>
      <c r="O167" s="133">
        <f>VLOOKUP(K167,Inflation!$B$8:$C$266,2)</f>
        <v>1.429673228848652</v>
      </c>
      <c r="P167" s="132"/>
      <c r="Q167" s="134">
        <f>VLOOKUP(K167,'Fuel Curve'!$B$11:$F$268,5)</f>
        <v>4.4267241379310347</v>
      </c>
      <c r="R167" s="238">
        <f>VLOOKUP(K167,'Fuel Curve Simulation'!$B$12:$J$258,9)</f>
        <v>4.4267241379310347</v>
      </c>
      <c r="S167" s="134">
        <f t="shared" si="83"/>
        <v>42.403590517241383</v>
      </c>
      <c r="T167" s="136"/>
      <c r="V167" s="135">
        <f>VLOOKUP(K167,PJM_01212000!$A$7:$C$259,3)</f>
        <v>38.075000000000003</v>
      </c>
      <c r="W167" s="486"/>
      <c r="X167" s="118">
        <f>'PJM Curve Simulation'!J167</f>
        <v>38.075000000000003</v>
      </c>
      <c r="Y167" s="512"/>
      <c r="Z167" s="137"/>
      <c r="AA167" s="78">
        <f t="shared" si="81"/>
        <v>315</v>
      </c>
      <c r="AB167" s="85">
        <f t="shared" si="84"/>
        <v>115920</v>
      </c>
      <c r="AC167" s="85">
        <f>VLOOKUP(K167,'Company Volumes'!$B$20:$C$259,2)</f>
        <v>16943.176548383559</v>
      </c>
      <c r="AD167" s="153">
        <f t="shared" si="88"/>
        <v>0</v>
      </c>
      <c r="AE167" s="150"/>
      <c r="AF167" s="150">
        <v>0</v>
      </c>
      <c r="AG167" s="150">
        <v>0</v>
      </c>
      <c r="AH167" s="150">
        <f t="shared" si="89"/>
        <v>0</v>
      </c>
      <c r="AI167" s="150">
        <f t="shared" si="90"/>
        <v>0</v>
      </c>
      <c r="AJ167" s="150">
        <f t="shared" si="91"/>
        <v>0</v>
      </c>
      <c r="AK167" s="85">
        <f t="shared" si="92"/>
        <v>71483.661442432596</v>
      </c>
      <c r="AL167" s="85">
        <f t="shared" si="93"/>
        <v>182283.33667820311</v>
      </c>
      <c r="AM167" s="85">
        <f t="shared" si="85"/>
        <v>0</v>
      </c>
      <c r="AN167" s="85">
        <f t="shared" si="86"/>
        <v>163459.30583169588</v>
      </c>
      <c r="AO167" s="85">
        <f t="shared" si="94"/>
        <v>35741.830721216298</v>
      </c>
      <c r="AP167" s="85">
        <f t="shared" si="106"/>
        <v>46500.558215233643</v>
      </c>
      <c r="AQ167" s="84">
        <f t="shared" si="95"/>
        <v>499468.69288878143</v>
      </c>
      <c r="AR167" s="85">
        <f t="shared" si="96"/>
        <v>17870.915360608149</v>
      </c>
      <c r="AS167" s="84">
        <f t="shared" si="72"/>
        <v>30387.755000000001</v>
      </c>
      <c r="AT167" s="85">
        <f t="shared" si="97"/>
        <v>0</v>
      </c>
      <c r="AU167" s="84">
        <f t="shared" si="98"/>
        <v>547727.36324938957</v>
      </c>
      <c r="AV167" s="84">
        <f t="shared" si="87"/>
        <v>-547727.36324938957</v>
      </c>
      <c r="AW167" s="453"/>
      <c r="AX167" s="93">
        <f t="shared" si="80"/>
        <v>41395</v>
      </c>
      <c r="BA167" s="315"/>
      <c r="BB167" s="134">
        <f t="shared" si="99"/>
        <v>38.075000000000003</v>
      </c>
      <c r="BC167" s="134">
        <f>'Curve Analysis - Base Case'!D159</f>
        <v>45.26293697493869</v>
      </c>
      <c r="BD167" s="131">
        <f t="shared" si="100"/>
        <v>7.4227418074377008E-2</v>
      </c>
      <c r="BE167" s="131">
        <f t="shared" si="101"/>
        <v>7.4227418074377008E-2</v>
      </c>
      <c r="BF167" s="365">
        <f>PJM_01212000!X167</f>
        <v>0.10827131893439586</v>
      </c>
      <c r="BG167" s="85">
        <f t="shared" si="102"/>
        <v>4821</v>
      </c>
      <c r="BH167" s="84">
        <f t="shared" si="103"/>
        <v>0</v>
      </c>
      <c r="BJ167" s="537">
        <f>_xll.EURO(BB167,BC167,BD167,BE167,BF167,BG167,1,0)*BH167</f>
        <v>0</v>
      </c>
      <c r="BK167" s="84">
        <f t="shared" si="104"/>
        <v>0</v>
      </c>
      <c r="BM167" s="84">
        <f t="shared" si="105"/>
        <v>0</v>
      </c>
    </row>
    <row r="168" spans="1:65">
      <c r="A168" s="78">
        <f t="shared" si="77"/>
        <v>162</v>
      </c>
      <c r="C168" s="78">
        <v>30</v>
      </c>
      <c r="D168" s="78" t="s">
        <v>66</v>
      </c>
      <c r="E168" s="113">
        <f t="shared" si="78"/>
        <v>41426</v>
      </c>
      <c r="F168" s="85">
        <f t="shared" si="75"/>
        <v>21</v>
      </c>
      <c r="G168" s="84">
        <f t="shared" si="108"/>
        <v>9</v>
      </c>
      <c r="H168" s="84"/>
      <c r="I168" s="84"/>
      <c r="J168" s="78">
        <f t="shared" si="79"/>
        <v>30</v>
      </c>
      <c r="K168" s="149">
        <v>41426</v>
      </c>
      <c r="L168" s="508">
        <v>7.4222244625802999E-2</v>
      </c>
      <c r="M168" s="509">
        <v>6.4051101449127998E-2</v>
      </c>
      <c r="N168" s="132">
        <f t="shared" si="76"/>
        <v>0.37760611467099525</v>
      </c>
      <c r="O168" s="133">
        <f>VLOOKUP(K168,Inflation!$B$8:$C$266,2)</f>
        <v>1.4328508595891027</v>
      </c>
      <c r="P168" s="132"/>
      <c r="Q168" s="134">
        <f>VLOOKUP(K168,'Fuel Curve'!$B$11:$F$268,5)</f>
        <v>4.4201724137931047</v>
      </c>
      <c r="R168" s="238">
        <f>VLOOKUP(K168,'Fuel Curve Simulation'!$B$12:$J$258,9)</f>
        <v>4.4201724137931047</v>
      </c>
      <c r="S168" s="134">
        <f t="shared" si="83"/>
        <v>42.34083155172415</v>
      </c>
      <c r="T168" s="136"/>
      <c r="V168" s="135">
        <f>VLOOKUP(K168,PJM_01212000!$A$7:$C$259,3)</f>
        <v>64.599998474121094</v>
      </c>
      <c r="W168" s="486"/>
      <c r="X168" s="118">
        <f>'PJM Curve Simulation'!J168</f>
        <v>64.599998474121094</v>
      </c>
      <c r="Y168" s="512"/>
      <c r="Z168" s="137"/>
      <c r="AA168" s="78">
        <f t="shared" si="81"/>
        <v>315</v>
      </c>
      <c r="AB168" s="85">
        <f t="shared" si="84"/>
        <v>105840</v>
      </c>
      <c r="AC168" s="85">
        <f>VLOOKUP(K168,'Company Volumes'!$B$20:$C$259,2)</f>
        <v>28830.05282636889</v>
      </c>
      <c r="AD168" s="153">
        <f t="shared" si="88"/>
        <v>105840</v>
      </c>
      <c r="AE168" s="150"/>
      <c r="AF168" s="150">
        <v>0</v>
      </c>
      <c r="AG168" s="150">
        <v>0</v>
      </c>
      <c r="AH168" s="150">
        <f t="shared" si="89"/>
        <v>6837263.8385009766</v>
      </c>
      <c r="AI168" s="150">
        <f t="shared" si="90"/>
        <v>6837263.8385009766</v>
      </c>
      <c r="AJ168" s="150">
        <f t="shared" si="91"/>
        <v>4481353.6114344839</v>
      </c>
      <c r="AK168" s="85">
        <f t="shared" si="92"/>
        <v>71642.542979455131</v>
      </c>
      <c r="AL168" s="85">
        <f t="shared" si="93"/>
        <v>182688.48459761057</v>
      </c>
      <c r="AM168" s="85">
        <f t="shared" si="85"/>
        <v>303305.86995782127</v>
      </c>
      <c r="AN168" s="85">
        <f t="shared" si="86"/>
        <v>163822.61494635406</v>
      </c>
      <c r="AO168" s="85">
        <f t="shared" si="94"/>
        <v>35821.271489727565</v>
      </c>
      <c r="AP168" s="85">
        <f t="shared" si="106"/>
        <v>46500.558215233643</v>
      </c>
      <c r="AQ168" s="84">
        <f t="shared" si="95"/>
        <v>803781.34218620218</v>
      </c>
      <c r="AR168" s="85">
        <f t="shared" si="96"/>
        <v>17910.635744863783</v>
      </c>
      <c r="AS168" s="84">
        <f t="shared" si="72"/>
        <v>30387.755000000001</v>
      </c>
      <c r="AT168" s="85">
        <f t="shared" si="97"/>
        <v>58780.676209401674</v>
      </c>
      <c r="AU168" s="84">
        <f t="shared" si="98"/>
        <v>5392214.0205749515</v>
      </c>
      <c r="AV168" s="84">
        <f t="shared" si="87"/>
        <v>1445049.817926025</v>
      </c>
      <c r="AW168" s="453"/>
      <c r="AX168" s="93">
        <f t="shared" si="80"/>
        <v>41426</v>
      </c>
      <c r="BA168" s="315"/>
      <c r="BB168" s="134">
        <f t="shared" si="99"/>
        <v>64.599998474121094</v>
      </c>
      <c r="BC168" s="134">
        <f>'Curve Analysis - Base Case'!D160</f>
        <v>45.206533270902355</v>
      </c>
      <c r="BD168" s="131">
        <f t="shared" si="100"/>
        <v>7.4222244625802999E-2</v>
      </c>
      <c r="BE168" s="131">
        <f t="shared" si="101"/>
        <v>7.4222244625802999E-2</v>
      </c>
      <c r="BF168" s="365">
        <f>PJM_01212000!X168</f>
        <v>0.13920598148708041</v>
      </c>
      <c r="BG168" s="85">
        <f t="shared" si="102"/>
        <v>4852</v>
      </c>
      <c r="BH168" s="84">
        <f t="shared" si="103"/>
        <v>105840</v>
      </c>
      <c r="BJ168" s="537">
        <f>_xll.EURO(BB168,BC168,BD168,BE168,BF168,BG168,1,0)*BH168</f>
        <v>916761.06725764053</v>
      </c>
      <c r="BK168" s="84">
        <f t="shared" si="104"/>
        <v>889606.10735624051</v>
      </c>
      <c r="BM168" s="84">
        <f t="shared" si="105"/>
        <v>27154.959901400027</v>
      </c>
    </row>
    <row r="169" spans="1:65">
      <c r="A169" s="78">
        <f t="shared" si="77"/>
        <v>163</v>
      </c>
      <c r="C169" s="78">
        <v>31</v>
      </c>
      <c r="D169" s="78" t="s">
        <v>67</v>
      </c>
      <c r="E169" s="113">
        <f t="shared" si="78"/>
        <v>41456</v>
      </c>
      <c r="F169" s="85">
        <f t="shared" si="75"/>
        <v>22</v>
      </c>
      <c r="G169" s="84">
        <f t="shared" si="108"/>
        <v>9</v>
      </c>
      <c r="H169" s="84"/>
      <c r="I169" s="84"/>
      <c r="J169" s="78">
        <f t="shared" si="79"/>
        <v>31</v>
      </c>
      <c r="K169" s="149">
        <v>41456</v>
      </c>
      <c r="L169" s="508">
        <v>7.4217238062676022E-2</v>
      </c>
      <c r="M169" s="509">
        <v>6.4062339063705009E-2</v>
      </c>
      <c r="N169" s="132">
        <f t="shared" si="76"/>
        <v>0.37537692298347058</v>
      </c>
      <c r="O169" s="133">
        <f>VLOOKUP(K169,Inflation!$B$8:$C$266,2)</f>
        <v>1.4360355530183686</v>
      </c>
      <c r="P169" s="132"/>
      <c r="Q169" s="134">
        <f>VLOOKUP(K169,'Fuel Curve'!$B$11:$F$268,5)</f>
        <v>4.477413793103449</v>
      </c>
      <c r="R169" s="238">
        <f>VLOOKUP(K169,'Fuel Curve Simulation'!$B$12:$J$258,9)</f>
        <v>4.477413793103449</v>
      </c>
      <c r="S169" s="134">
        <f t="shared" si="83"/>
        <v>42.889146724137937</v>
      </c>
      <c r="T169" s="136"/>
      <c r="V169" s="135">
        <f>VLOOKUP(K169,PJM_01212000!$A$7:$C$259,3)</f>
        <v>113.69999694824219</v>
      </c>
      <c r="W169" s="486"/>
      <c r="X169" s="118">
        <f>'PJM Curve Simulation'!J169</f>
        <v>113.69999694824219</v>
      </c>
      <c r="Y169" s="512"/>
      <c r="Z169" s="137"/>
      <c r="AA169" s="78">
        <f t="shared" si="81"/>
        <v>315</v>
      </c>
      <c r="AB169" s="85">
        <f t="shared" si="84"/>
        <v>110880</v>
      </c>
      <c r="AC169" s="85">
        <f>VLOOKUP(K169,'Company Volumes'!$B$20:$C$259,2)</f>
        <v>52835.208145299999</v>
      </c>
      <c r="AD169" s="153">
        <f t="shared" si="88"/>
        <v>110880</v>
      </c>
      <c r="AE169" s="150"/>
      <c r="AF169" s="150">
        <v>0</v>
      </c>
      <c r="AG169" s="150">
        <v>0</v>
      </c>
      <c r="AH169" s="150">
        <f t="shared" si="89"/>
        <v>12607055.661621094</v>
      </c>
      <c r="AI169" s="150">
        <f t="shared" si="90"/>
        <v>12607055.661621094</v>
      </c>
      <c r="AJ169" s="150">
        <f t="shared" si="91"/>
        <v>4755548.5887724143</v>
      </c>
      <c r="AK169" s="85">
        <f t="shared" si="92"/>
        <v>71801.777650918433</v>
      </c>
      <c r="AL169" s="85">
        <f t="shared" si="93"/>
        <v>183094.53300984201</v>
      </c>
      <c r="AM169" s="85">
        <f t="shared" si="85"/>
        <v>318455.24423735344</v>
      </c>
      <c r="AN169" s="85">
        <f t="shared" si="86"/>
        <v>164186.73156176679</v>
      </c>
      <c r="AO169" s="85">
        <f t="shared" si="94"/>
        <v>35900.888825459217</v>
      </c>
      <c r="AP169" s="85">
        <f t="shared" si="106"/>
        <v>46500.558215233643</v>
      </c>
      <c r="AQ169" s="84">
        <f t="shared" si="95"/>
        <v>819939.73350057355</v>
      </c>
      <c r="AR169" s="85">
        <f t="shared" si="96"/>
        <v>17950.444412729608</v>
      </c>
      <c r="AS169" s="84">
        <f t="shared" si="72"/>
        <v>30387.755000000001</v>
      </c>
      <c r="AT169" s="85">
        <f t="shared" si="97"/>
        <v>108625.08089381641</v>
      </c>
      <c r="AU169" s="84">
        <f t="shared" si="98"/>
        <v>5732451.6025795341</v>
      </c>
      <c r="AV169" s="84">
        <f t="shared" si="87"/>
        <v>6874604.0590415597</v>
      </c>
      <c r="AW169" s="453"/>
      <c r="AX169" s="93">
        <f t="shared" si="80"/>
        <v>41456</v>
      </c>
      <c r="BA169" s="315"/>
      <c r="BB169" s="134">
        <f t="shared" si="99"/>
        <v>113.69999694824219</v>
      </c>
      <c r="BC169" s="134">
        <f>'Curve Analysis - Base Case'!D161</f>
        <v>45.761217830174672</v>
      </c>
      <c r="BD169" s="131">
        <f t="shared" si="100"/>
        <v>7.4217238062676022E-2</v>
      </c>
      <c r="BE169" s="131">
        <f t="shared" si="101"/>
        <v>7.4217238062676022E-2</v>
      </c>
      <c r="BF169" s="365">
        <f>PJM_01212000!X169</f>
        <v>0.17014064403976489</v>
      </c>
      <c r="BG169" s="85">
        <f t="shared" si="102"/>
        <v>4882</v>
      </c>
      <c r="BH169" s="84">
        <f t="shared" si="103"/>
        <v>110880</v>
      </c>
      <c r="BJ169" s="537">
        <f>_xll.EURO(BB169,BC169,BD169,BE169,BF169,BG169,1,0)*BH169</f>
        <v>2850282.3114631902</v>
      </c>
      <c r="BK169" s="84">
        <f t="shared" si="104"/>
        <v>2947274.5657888935</v>
      </c>
      <c r="BM169" s="84">
        <f t="shared" si="105"/>
        <v>-96992.254325703252</v>
      </c>
    </row>
    <row r="170" spans="1:65">
      <c r="A170" s="78">
        <f t="shared" si="77"/>
        <v>164</v>
      </c>
      <c r="C170" s="78">
        <v>31</v>
      </c>
      <c r="D170" s="78" t="s">
        <v>68</v>
      </c>
      <c r="E170" s="113">
        <f t="shared" si="78"/>
        <v>41487</v>
      </c>
      <c r="F170" s="85">
        <f t="shared" si="75"/>
        <v>23</v>
      </c>
      <c r="G170" s="84">
        <f t="shared" si="108"/>
        <v>8</v>
      </c>
      <c r="H170" s="84"/>
      <c r="I170" s="84"/>
      <c r="J170" s="78">
        <f t="shared" si="79"/>
        <v>31</v>
      </c>
      <c r="K170" s="149">
        <v>41487</v>
      </c>
      <c r="L170" s="508">
        <v>7.4212064614119014E-2</v>
      </c>
      <c r="M170" s="509">
        <v>6.4073951266359008E-2</v>
      </c>
      <c r="N170" s="132">
        <f t="shared" si="76"/>
        <v>0.37308756018617306</v>
      </c>
      <c r="O170" s="133">
        <f>VLOOKUP(K170,Inflation!$B$8:$C$266,2)</f>
        <v>1.4392273248341745</v>
      </c>
      <c r="P170" s="132"/>
      <c r="Q170" s="134">
        <f>VLOOKUP(K170,'Fuel Curve'!$B$11:$F$268,5)</f>
        <v>4.5679310344827595</v>
      </c>
      <c r="R170" s="238">
        <f>VLOOKUP(K170,'Fuel Curve Simulation'!$B$12:$J$258,9)</f>
        <v>4.5679310344827595</v>
      </c>
      <c r="S170" s="134">
        <f t="shared" si="83"/>
        <v>43.756211379310358</v>
      </c>
      <c r="T170" s="136"/>
      <c r="V170" s="135">
        <f>VLOOKUP(K170,PJM_01212000!$A$7:$C$259,3)</f>
        <v>100.69999694824219</v>
      </c>
      <c r="W170" s="486"/>
      <c r="X170" s="118">
        <f>'PJM Curve Simulation'!J170</f>
        <v>100.69999694824219</v>
      </c>
      <c r="Y170" s="512"/>
      <c r="Z170" s="137"/>
      <c r="AA170" s="78">
        <f t="shared" si="81"/>
        <v>315</v>
      </c>
      <c r="AB170" s="85">
        <f t="shared" si="84"/>
        <v>115920</v>
      </c>
      <c r="AC170" s="85">
        <f>VLOOKUP(K170,'Company Volumes'!$B$20:$C$259,2)</f>
        <v>35223.472096866666</v>
      </c>
      <c r="AD170" s="153">
        <f t="shared" si="88"/>
        <v>115920</v>
      </c>
      <c r="AE170" s="150"/>
      <c r="AF170" s="150">
        <v>0</v>
      </c>
      <c r="AG170" s="150">
        <v>0</v>
      </c>
      <c r="AH170" s="150">
        <f t="shared" si="89"/>
        <v>11673143.646240234</v>
      </c>
      <c r="AI170" s="150">
        <f t="shared" si="90"/>
        <v>11673143.646240234</v>
      </c>
      <c r="AJ170" s="150">
        <f t="shared" si="91"/>
        <v>5072220.0230896557</v>
      </c>
      <c r="AK170" s="85">
        <f t="shared" si="92"/>
        <v>71961.366241708733</v>
      </c>
      <c r="AL170" s="85">
        <f t="shared" si="93"/>
        <v>183501.48391635725</v>
      </c>
      <c r="AM170" s="85">
        <f t="shared" si="85"/>
        <v>333670.46298955503</v>
      </c>
      <c r="AN170" s="85">
        <f t="shared" si="86"/>
        <v>164551.65747270727</v>
      </c>
      <c r="AO170" s="85">
        <f t="shared" si="94"/>
        <v>35980.683120854366</v>
      </c>
      <c r="AP170" s="85">
        <f t="shared" si="106"/>
        <v>46500.558215233643</v>
      </c>
      <c r="AQ170" s="84">
        <f t="shared" si="95"/>
        <v>836166.21195641626</v>
      </c>
      <c r="AR170" s="85">
        <f t="shared" si="96"/>
        <v>17990.341560427183</v>
      </c>
      <c r="AS170" s="84">
        <f t="shared" si="72"/>
        <v>30387.755000000001</v>
      </c>
      <c r="AT170" s="85">
        <f t="shared" si="97"/>
        <v>100801.84381430024</v>
      </c>
      <c r="AU170" s="84">
        <f t="shared" si="98"/>
        <v>6057566.1754207984</v>
      </c>
      <c r="AV170" s="84">
        <f t="shared" si="87"/>
        <v>5615577.470819436</v>
      </c>
      <c r="AW170" s="453"/>
      <c r="AX170" s="93">
        <f t="shared" si="80"/>
        <v>41487</v>
      </c>
      <c r="BA170" s="315"/>
      <c r="BB170" s="134">
        <f t="shared" si="99"/>
        <v>100.69999694824219</v>
      </c>
      <c r="BC170" s="134">
        <f>'Curve Analysis - Base Case'!D162</f>
        <v>46.634666028978707</v>
      </c>
      <c r="BD170" s="131">
        <f t="shared" si="100"/>
        <v>7.4212064614119014E-2</v>
      </c>
      <c r="BE170" s="131">
        <f t="shared" si="101"/>
        <v>7.4212064614119014E-2</v>
      </c>
      <c r="BF170" s="365">
        <f>PJM_01212000!X170</f>
        <v>0.17014064403976489</v>
      </c>
      <c r="BG170" s="85">
        <f t="shared" si="102"/>
        <v>4913</v>
      </c>
      <c r="BH170" s="84">
        <f t="shared" si="103"/>
        <v>115920</v>
      </c>
      <c r="BJ170" s="537">
        <f>_xll.EURO(BB170,BC170,BD170,BE170,BF170,BG170,1,0)*BH170</f>
        <v>2402180.1297302796</v>
      </c>
      <c r="BK170" s="84">
        <f t="shared" si="104"/>
        <v>2462722.4895365229</v>
      </c>
      <c r="BM170" s="84">
        <f t="shared" si="105"/>
        <v>-60542.35980624333</v>
      </c>
    </row>
    <row r="171" spans="1:65">
      <c r="A171" s="78">
        <f t="shared" si="77"/>
        <v>165</v>
      </c>
      <c r="C171" s="78">
        <v>30</v>
      </c>
      <c r="D171" s="78" t="s">
        <v>69</v>
      </c>
      <c r="E171" s="113">
        <f t="shared" si="78"/>
        <v>41518</v>
      </c>
      <c r="F171" s="85">
        <f t="shared" si="75"/>
        <v>20</v>
      </c>
      <c r="G171" s="84">
        <f t="shared" si="108"/>
        <v>10</v>
      </c>
      <c r="H171" s="84"/>
      <c r="I171" s="84"/>
      <c r="J171" s="78">
        <f t="shared" si="79"/>
        <v>30</v>
      </c>
      <c r="K171" s="149">
        <v>41518</v>
      </c>
      <c r="L171" s="508">
        <v>7.4206891165572011E-2</v>
      </c>
      <c r="M171" s="509">
        <v>6.4085563469952006E-2</v>
      </c>
      <c r="N171" s="132">
        <f t="shared" si="76"/>
        <v>0.37081247389024752</v>
      </c>
      <c r="O171" s="133">
        <f>VLOOKUP(K171,Inflation!$B$8:$C$266,2)</f>
        <v>1.4424261907691354</v>
      </c>
      <c r="P171" s="132"/>
      <c r="Q171" s="134">
        <f>VLOOKUP(K171,'Fuel Curve'!$B$11:$F$268,5)</f>
        <v>4.6627586206896563</v>
      </c>
      <c r="R171" s="238">
        <f>VLOOKUP(K171,'Fuel Curve Simulation'!$B$12:$J$258,9)</f>
        <v>4.6627586206896563</v>
      </c>
      <c r="S171" s="134">
        <f t="shared" si="83"/>
        <v>44.664564827586219</v>
      </c>
      <c r="T171" s="136"/>
      <c r="V171" s="135">
        <f>VLOOKUP(K171,PJM_01212000!$A$7:$C$259,3)</f>
        <v>37.924998474121097</v>
      </c>
      <c r="W171" s="486"/>
      <c r="X171" s="118">
        <f>'PJM Curve Simulation'!J171</f>
        <v>37.924998474121097</v>
      </c>
      <c r="Y171" s="512"/>
      <c r="Z171" s="137"/>
      <c r="AA171" s="78">
        <f t="shared" si="81"/>
        <v>315</v>
      </c>
      <c r="AB171" s="85">
        <f t="shared" si="84"/>
        <v>100800</v>
      </c>
      <c r="AC171" s="85">
        <f>VLOOKUP(K171,'Company Volumes'!$B$20:$C$259,2)</f>
        <v>20708.326892907109</v>
      </c>
      <c r="AD171" s="153">
        <f t="shared" si="88"/>
        <v>0</v>
      </c>
      <c r="AE171" s="150"/>
      <c r="AF171" s="150">
        <v>0</v>
      </c>
      <c r="AG171" s="150">
        <v>0</v>
      </c>
      <c r="AH171" s="150">
        <f t="shared" si="89"/>
        <v>0</v>
      </c>
      <c r="AI171" s="150">
        <f t="shared" si="90"/>
        <v>0</v>
      </c>
      <c r="AJ171" s="150">
        <f t="shared" si="91"/>
        <v>0</v>
      </c>
      <c r="AK171" s="85">
        <f t="shared" si="92"/>
        <v>72121.309538456771</v>
      </c>
      <c r="AL171" s="85">
        <f t="shared" si="93"/>
        <v>183909.33932306478</v>
      </c>
      <c r="AM171" s="85">
        <f t="shared" si="85"/>
        <v>0</v>
      </c>
      <c r="AN171" s="85">
        <f t="shared" si="86"/>
        <v>164917.39447793781</v>
      </c>
      <c r="AO171" s="85">
        <f t="shared" si="94"/>
        <v>36060.654769228386</v>
      </c>
      <c r="AP171" s="85">
        <f t="shared" si="106"/>
        <v>46500.558215233643</v>
      </c>
      <c r="AQ171" s="84">
        <f t="shared" si="95"/>
        <v>503509.25632392138</v>
      </c>
      <c r="AR171" s="85">
        <f t="shared" si="96"/>
        <v>18030.327384614193</v>
      </c>
      <c r="AS171" s="84">
        <f t="shared" si="72"/>
        <v>30387.755000000001</v>
      </c>
      <c r="AT171" s="85">
        <f t="shared" si="97"/>
        <v>0</v>
      </c>
      <c r="AU171" s="84">
        <f t="shared" si="98"/>
        <v>551927.33870853542</v>
      </c>
      <c r="AV171" s="84">
        <f t="shared" si="87"/>
        <v>-551927.33870853542</v>
      </c>
      <c r="AW171" s="453"/>
      <c r="AX171" s="93">
        <f t="shared" si="80"/>
        <v>41518</v>
      </c>
      <c r="BA171" s="315"/>
      <c r="BB171" s="134">
        <f t="shared" si="99"/>
        <v>37.924998474121097</v>
      </c>
      <c r="BC171" s="134">
        <f>'Curve Analysis - Base Case'!D163</f>
        <v>47.549417209124492</v>
      </c>
      <c r="BD171" s="131">
        <f t="shared" si="100"/>
        <v>7.4206891165572011E-2</v>
      </c>
      <c r="BE171" s="131">
        <f t="shared" si="101"/>
        <v>7.4206891165572011E-2</v>
      </c>
      <c r="BF171" s="365">
        <f>PJM_01212000!X171</f>
        <v>0.10936496862060188</v>
      </c>
      <c r="BG171" s="85">
        <f t="shared" si="102"/>
        <v>4944</v>
      </c>
      <c r="BH171" s="84">
        <f t="shared" si="103"/>
        <v>0</v>
      </c>
      <c r="BJ171" s="537">
        <f>_xll.EURO(BB171,BC171,BD171,BE171,BF171,BG171,1,0)*BH171</f>
        <v>0</v>
      </c>
      <c r="BK171" s="84">
        <f t="shared" si="104"/>
        <v>0</v>
      </c>
      <c r="BM171" s="84">
        <f t="shared" si="105"/>
        <v>0</v>
      </c>
    </row>
    <row r="172" spans="1:65">
      <c r="A172" s="78">
        <f t="shared" si="77"/>
        <v>166</v>
      </c>
      <c r="C172" s="78">
        <v>31</v>
      </c>
      <c r="D172" s="78" t="s">
        <v>70</v>
      </c>
      <c r="E172" s="113">
        <f t="shared" si="78"/>
        <v>41548</v>
      </c>
      <c r="F172" s="85">
        <f t="shared" si="75"/>
        <v>23</v>
      </c>
      <c r="G172" s="84">
        <f t="shared" si="108"/>
        <v>8</v>
      </c>
      <c r="H172" s="84"/>
      <c r="I172" s="84"/>
      <c r="J172" s="78">
        <f t="shared" si="79"/>
        <v>31</v>
      </c>
      <c r="K172" s="149">
        <v>41548</v>
      </c>
      <c r="L172" s="508">
        <v>7.420188460247E-2</v>
      </c>
      <c r="M172" s="509">
        <v>6.4096801087225E-2</v>
      </c>
      <c r="N172" s="132">
        <f t="shared" si="76"/>
        <v>0.36862428498409106</v>
      </c>
      <c r="O172" s="133">
        <f>VLOOKUP(K172,Inflation!$B$8:$C$266,2)</f>
        <v>1.4456321665908345</v>
      </c>
      <c r="P172" s="132"/>
      <c r="Q172" s="134">
        <f>VLOOKUP(K172,'Fuel Curve'!$B$11:$F$268,5)</f>
        <v>4.7553448275862067</v>
      </c>
      <c r="R172" s="238">
        <f>VLOOKUP(K172,'Fuel Curve Simulation'!$B$12:$J$258,9)</f>
        <v>4.7553448275862067</v>
      </c>
      <c r="S172" s="134">
        <f t="shared" si="83"/>
        <v>45.551448103448273</v>
      </c>
      <c r="T172" s="136"/>
      <c r="V172" s="135">
        <f>VLOOKUP(K172,PJM_01212000!$A$7:$C$259,3)</f>
        <v>30.825000381469728</v>
      </c>
      <c r="W172" s="486"/>
      <c r="X172" s="118">
        <f>'PJM Curve Simulation'!J172</f>
        <v>30.825000381469728</v>
      </c>
      <c r="Y172" s="512"/>
      <c r="Z172" s="137"/>
      <c r="AA172" s="78">
        <f t="shared" si="81"/>
        <v>315</v>
      </c>
      <c r="AB172" s="85">
        <f t="shared" si="84"/>
        <v>115920</v>
      </c>
      <c r="AC172" s="85">
        <f>VLOOKUP(K172,'Company Volumes'!$B$20:$C$259,2)</f>
        <v>3679.8951228697779</v>
      </c>
      <c r="AD172" s="153">
        <f t="shared" si="88"/>
        <v>0</v>
      </c>
      <c r="AE172" s="150"/>
      <c r="AF172" s="150">
        <v>0</v>
      </c>
      <c r="AG172" s="150">
        <v>0</v>
      </c>
      <c r="AH172" s="150">
        <f t="shared" si="89"/>
        <v>0</v>
      </c>
      <c r="AI172" s="150">
        <f t="shared" si="90"/>
        <v>0</v>
      </c>
      <c r="AJ172" s="150">
        <f t="shared" si="91"/>
        <v>0</v>
      </c>
      <c r="AK172" s="85">
        <f t="shared" si="92"/>
        <v>72281.608329541734</v>
      </c>
      <c r="AL172" s="85">
        <f t="shared" si="93"/>
        <v>184318.10124033139</v>
      </c>
      <c r="AM172" s="85">
        <f t="shared" si="85"/>
        <v>0</v>
      </c>
      <c r="AN172" s="85">
        <f t="shared" si="86"/>
        <v>165283.94438021875</v>
      </c>
      <c r="AO172" s="85">
        <f t="shared" si="94"/>
        <v>36140.804164770867</v>
      </c>
      <c r="AP172" s="85">
        <f t="shared" si="106"/>
        <v>46500.558215233643</v>
      </c>
      <c r="AQ172" s="84">
        <f t="shared" si="95"/>
        <v>504525.0163300964</v>
      </c>
      <c r="AR172" s="85">
        <f t="shared" si="96"/>
        <v>18070.402082385433</v>
      </c>
      <c r="AS172" s="84">
        <f t="shared" si="72"/>
        <v>30387.755000000001</v>
      </c>
      <c r="AT172" s="85">
        <f t="shared" si="97"/>
        <v>0</v>
      </c>
      <c r="AU172" s="84">
        <f t="shared" si="98"/>
        <v>552983.17341248179</v>
      </c>
      <c r="AV172" s="84">
        <f t="shared" si="87"/>
        <v>-552983.17341248179</v>
      </c>
      <c r="AW172" s="453"/>
      <c r="AX172" s="93">
        <f t="shared" si="80"/>
        <v>41548</v>
      </c>
      <c r="BA172" s="315"/>
      <c r="BB172" s="134">
        <f t="shared" si="99"/>
        <v>30.825000381469728</v>
      </c>
      <c r="BC172" s="134">
        <f>'Curve Analysis - Base Case'!D164</f>
        <v>48.44271243662994</v>
      </c>
      <c r="BD172" s="131">
        <f t="shared" si="100"/>
        <v>7.420188460247E-2</v>
      </c>
      <c r="BE172" s="131">
        <f t="shared" si="101"/>
        <v>7.420188460247E-2</v>
      </c>
      <c r="BF172" s="365">
        <f>PJM_01212000!X172</f>
        <v>7.7336656381711319E-2</v>
      </c>
      <c r="BG172" s="85">
        <f t="shared" si="102"/>
        <v>4974</v>
      </c>
      <c r="BH172" s="84">
        <f t="shared" si="103"/>
        <v>0</v>
      </c>
      <c r="BJ172" s="537">
        <f>_xll.EURO(BB172,BC172,BD172,BE172,BF172,BG172,1,0)*BH172</f>
        <v>0</v>
      </c>
      <c r="BK172" s="84">
        <f t="shared" si="104"/>
        <v>0</v>
      </c>
      <c r="BM172" s="84">
        <f t="shared" si="105"/>
        <v>0</v>
      </c>
    </row>
    <row r="173" spans="1:65">
      <c r="A173" s="78">
        <f t="shared" si="77"/>
        <v>167</v>
      </c>
      <c r="C173" s="78">
        <v>30</v>
      </c>
      <c r="D173" s="78" t="s">
        <v>71</v>
      </c>
      <c r="E173" s="113">
        <f t="shared" si="78"/>
        <v>41579</v>
      </c>
      <c r="F173" s="85">
        <f t="shared" si="75"/>
        <v>22</v>
      </c>
      <c r="G173" s="84">
        <f t="shared" si="108"/>
        <v>8</v>
      </c>
      <c r="H173" s="84"/>
      <c r="I173" s="84"/>
      <c r="J173" s="78">
        <f t="shared" si="79"/>
        <v>30</v>
      </c>
      <c r="K173" s="149">
        <v>41579</v>
      </c>
      <c r="L173" s="508">
        <v>7.4196711153940012E-2</v>
      </c>
      <c r="M173" s="509">
        <v>6.4108413292666006E-2</v>
      </c>
      <c r="N173" s="132">
        <f t="shared" si="76"/>
        <v>0.36637702630144681</v>
      </c>
      <c r="O173" s="133">
        <f>VLOOKUP(K173,Inflation!$B$8:$C$266,2)</f>
        <v>1.4488452681019</v>
      </c>
      <c r="P173" s="132"/>
      <c r="Q173" s="134">
        <f>VLOOKUP(K173,'Fuel Curve'!$B$11:$F$268,5)</f>
        <v>4.8046551724137938</v>
      </c>
      <c r="R173" s="238">
        <f>VLOOKUP(K173,'Fuel Curve Simulation'!$B$12:$J$258,9)</f>
        <v>4.8046551724137938</v>
      </c>
      <c r="S173" s="134">
        <f t="shared" si="83"/>
        <v>46.023791896551728</v>
      </c>
      <c r="T173" s="136"/>
      <c r="V173" s="135">
        <f>VLOOKUP(K173,PJM_01212000!$A$7:$C$259,3)</f>
        <v>30.497499084472658</v>
      </c>
      <c r="W173" s="486"/>
      <c r="X173" s="118">
        <f>'PJM Curve Simulation'!J173</f>
        <v>30.497499084472658</v>
      </c>
      <c r="Y173" s="512"/>
      <c r="Z173" s="137"/>
      <c r="AA173" s="78">
        <f t="shared" si="81"/>
        <v>315</v>
      </c>
      <c r="AB173" s="85">
        <f t="shared" si="84"/>
        <v>110880</v>
      </c>
      <c r="AC173" s="85">
        <f>VLOOKUP(K173,'Company Volumes'!$B$20:$C$259,2)</f>
        <v>7995.2636322937778</v>
      </c>
      <c r="AD173" s="153">
        <f t="shared" si="88"/>
        <v>0</v>
      </c>
      <c r="AE173" s="150"/>
      <c r="AF173" s="150">
        <v>0</v>
      </c>
      <c r="AG173" s="150">
        <v>0</v>
      </c>
      <c r="AH173" s="150">
        <f t="shared" si="89"/>
        <v>0</v>
      </c>
      <c r="AI173" s="150">
        <f t="shared" si="90"/>
        <v>0</v>
      </c>
      <c r="AJ173" s="150">
        <f t="shared" si="91"/>
        <v>0</v>
      </c>
      <c r="AK173" s="85">
        <f t="shared" si="92"/>
        <v>72442.263405095</v>
      </c>
      <c r="AL173" s="85">
        <f t="shared" si="93"/>
        <v>184727.77168299223</v>
      </c>
      <c r="AM173" s="85">
        <f t="shared" si="85"/>
        <v>0</v>
      </c>
      <c r="AN173" s="85">
        <f t="shared" si="86"/>
        <v>165651.30898631722</v>
      </c>
      <c r="AO173" s="85">
        <f t="shared" si="94"/>
        <v>36221.1317025475</v>
      </c>
      <c r="AP173" s="85">
        <f t="shared" si="106"/>
        <v>46500.558215233643</v>
      </c>
      <c r="AQ173" s="84">
        <f t="shared" si="95"/>
        <v>505543.03399218561</v>
      </c>
      <c r="AR173" s="85">
        <f t="shared" si="96"/>
        <v>18110.56585127375</v>
      </c>
      <c r="AS173" s="84">
        <f t="shared" ref="AS173:AS236" si="109">AS172</f>
        <v>30387.755000000001</v>
      </c>
      <c r="AT173" s="85">
        <f t="shared" si="97"/>
        <v>0</v>
      </c>
      <c r="AU173" s="84">
        <f t="shared" si="98"/>
        <v>554041.35484345921</v>
      </c>
      <c r="AV173" s="84">
        <f t="shared" si="87"/>
        <v>-554041.35484345921</v>
      </c>
      <c r="AW173" s="453"/>
      <c r="AX173" s="93">
        <f t="shared" si="80"/>
        <v>41579</v>
      </c>
      <c r="BA173" s="315"/>
      <c r="BB173" s="134">
        <f t="shared" si="99"/>
        <v>30.497499084472658</v>
      </c>
      <c r="BC173" s="134">
        <f>'Curve Analysis - Base Case'!D165</f>
        <v>48.921482432755525</v>
      </c>
      <c r="BD173" s="131">
        <f t="shared" si="100"/>
        <v>7.4196711153940012E-2</v>
      </c>
      <c r="BE173" s="131">
        <f t="shared" si="101"/>
        <v>7.4196711153940012E-2</v>
      </c>
      <c r="BF173" s="365">
        <f>PJM_01212000!X173</f>
        <v>7.7336656381711319E-2</v>
      </c>
      <c r="BG173" s="85">
        <f t="shared" si="102"/>
        <v>5005</v>
      </c>
      <c r="BH173" s="84">
        <f t="shared" si="103"/>
        <v>0</v>
      </c>
      <c r="BJ173" s="537">
        <f>_xll.EURO(BB173,BC173,BD173,BE173,BF173,BG173,1,0)*BH173</f>
        <v>0</v>
      </c>
      <c r="BK173" s="84">
        <f t="shared" si="104"/>
        <v>0</v>
      </c>
      <c r="BM173" s="84">
        <f t="shared" si="105"/>
        <v>0</v>
      </c>
    </row>
    <row r="174" spans="1:65">
      <c r="A174" s="78">
        <f t="shared" si="77"/>
        <v>168</v>
      </c>
      <c r="C174" s="78">
        <v>31</v>
      </c>
      <c r="D174" s="78" t="s">
        <v>72</v>
      </c>
      <c r="E174" s="113">
        <f t="shared" si="78"/>
        <v>41609</v>
      </c>
      <c r="F174" s="85">
        <f t="shared" si="75"/>
        <v>21</v>
      </c>
      <c r="G174" s="84">
        <f t="shared" si="108"/>
        <v>10</v>
      </c>
      <c r="H174" s="84">
        <f>SUM(F163:G174)</f>
        <v>365</v>
      </c>
      <c r="I174" s="84"/>
      <c r="J174" s="78">
        <f t="shared" si="79"/>
        <v>31</v>
      </c>
      <c r="K174" s="149">
        <v>41609</v>
      </c>
      <c r="L174" s="508">
        <v>7.4191704590855015E-2</v>
      </c>
      <c r="M174" s="509">
        <v>6.4119650911728013E-2</v>
      </c>
      <c r="N174" s="132">
        <f t="shared" si="76"/>
        <v>0.36421559866544645</v>
      </c>
      <c r="O174" s="133">
        <f>VLOOKUP(K174,Inflation!$B$8:$C$266,2)</f>
        <v>1.4520655111400833</v>
      </c>
      <c r="P174" s="132"/>
      <c r="Q174" s="134">
        <f>VLOOKUP(K174,'Fuel Curve'!$B$11:$F$268,5)</f>
        <v>4.8474137931034491</v>
      </c>
      <c r="R174" s="238">
        <f>VLOOKUP(K174,'Fuel Curve Simulation'!$B$12:$J$258,9)</f>
        <v>4.8474137931034491</v>
      </c>
      <c r="S174" s="134">
        <f t="shared" si="83"/>
        <v>46.433376724137936</v>
      </c>
      <c r="T174" s="136"/>
      <c r="V174" s="135">
        <f>VLOOKUP(K174,PJM_01212000!$A$7:$C$259,3)</f>
        <v>32.249999618530275</v>
      </c>
      <c r="W174" s="486"/>
      <c r="X174" s="118">
        <f>'PJM Curve Simulation'!J174</f>
        <v>32.249999618530275</v>
      </c>
      <c r="Y174" s="512"/>
      <c r="Z174" s="137"/>
      <c r="AA174" s="78">
        <f t="shared" si="81"/>
        <v>315</v>
      </c>
      <c r="AB174" s="85">
        <f t="shared" si="84"/>
        <v>105840</v>
      </c>
      <c r="AC174" s="85">
        <f>VLOOKUP(K174,'Company Volumes'!$B$20:$C$259,2)</f>
        <v>7995.2636322937778</v>
      </c>
      <c r="AD174" s="153">
        <f t="shared" si="88"/>
        <v>0</v>
      </c>
      <c r="AE174" s="150"/>
      <c r="AF174" s="150">
        <v>0</v>
      </c>
      <c r="AG174" s="150">
        <v>0</v>
      </c>
      <c r="AH174" s="150">
        <f t="shared" si="89"/>
        <v>0</v>
      </c>
      <c r="AI174" s="150">
        <f t="shared" si="90"/>
        <v>0</v>
      </c>
      <c r="AJ174" s="150">
        <f t="shared" si="91"/>
        <v>0</v>
      </c>
      <c r="AK174" s="85">
        <f t="shared" si="92"/>
        <v>72603.275557004163</v>
      </c>
      <c r="AL174" s="85">
        <f t="shared" si="93"/>
        <v>185138.35267036062</v>
      </c>
      <c r="AM174" s="85">
        <f t="shared" si="85"/>
        <v>0</v>
      </c>
      <c r="AN174" s="85">
        <f t="shared" si="86"/>
        <v>166019.4901070162</v>
      </c>
      <c r="AO174" s="85">
        <f t="shared" si="94"/>
        <v>36301.637778502081</v>
      </c>
      <c r="AP174" s="85">
        <f t="shared" si="106"/>
        <v>46500.558215233643</v>
      </c>
      <c r="AQ174" s="84">
        <f t="shared" si="95"/>
        <v>506563.31432811671</v>
      </c>
      <c r="AR174" s="85">
        <f t="shared" si="96"/>
        <v>18150.818889251041</v>
      </c>
      <c r="AS174" s="84">
        <f t="shared" si="109"/>
        <v>30387.755000000001</v>
      </c>
      <c r="AT174" s="85">
        <f t="shared" si="97"/>
        <v>0</v>
      </c>
      <c r="AU174" s="84">
        <f t="shared" si="98"/>
        <v>555101.88821736781</v>
      </c>
      <c r="AV174" s="84">
        <f t="shared" si="87"/>
        <v>-555101.88821736781</v>
      </c>
      <c r="AW174" s="453"/>
      <c r="AX174" s="93">
        <f t="shared" si="80"/>
        <v>41609</v>
      </c>
      <c r="AY174" s="85">
        <f ca="1">'Debt Amortization'!U8</f>
        <v>6497220.8644910008</v>
      </c>
      <c r="AZ174" s="85">
        <f ca="1">AY174*N174</f>
        <v>2366389.1868222193</v>
      </c>
      <c r="BA174" s="315"/>
      <c r="BB174" s="134">
        <f t="shared" si="99"/>
        <v>32.249999618530275</v>
      </c>
      <c r="BC174" s="134">
        <f>'Curve Analysis - Base Case'!D166</f>
        <v>49.337507746418105</v>
      </c>
      <c r="BD174" s="131">
        <f t="shared" si="100"/>
        <v>7.4191704590855015E-2</v>
      </c>
      <c r="BE174" s="131">
        <f t="shared" si="101"/>
        <v>7.4191704590855015E-2</v>
      </c>
      <c r="BF174" s="365">
        <f>PJM_01212000!X174</f>
        <v>7.7336656381711319E-2</v>
      </c>
      <c r="BG174" s="85">
        <f t="shared" si="102"/>
        <v>5035</v>
      </c>
      <c r="BH174" s="84">
        <f t="shared" si="103"/>
        <v>0</v>
      </c>
      <c r="BJ174" s="537">
        <f>_xll.EURO(BB174,BC174,BD174,BE174,BF174,BG174,1,0)*BH174</f>
        <v>0</v>
      </c>
      <c r="BK174" s="84">
        <f t="shared" si="104"/>
        <v>0</v>
      </c>
      <c r="BM174" s="84">
        <f t="shared" si="105"/>
        <v>0</v>
      </c>
    </row>
    <row r="175" spans="1:65">
      <c r="A175" s="78">
        <f t="shared" si="77"/>
        <v>169</v>
      </c>
      <c r="C175" s="78">
        <v>31</v>
      </c>
      <c r="D175" s="78" t="s">
        <v>62</v>
      </c>
      <c r="E175" s="113">
        <f t="shared" si="78"/>
        <v>41640</v>
      </c>
      <c r="F175" s="85">
        <f t="shared" si="75"/>
        <v>23</v>
      </c>
      <c r="G175" s="84">
        <f>C175-F175</f>
        <v>8</v>
      </c>
      <c r="H175" s="84"/>
      <c r="I175" s="84"/>
      <c r="J175" s="78">
        <f t="shared" si="79"/>
        <v>31</v>
      </c>
      <c r="K175" s="149">
        <v>41640</v>
      </c>
      <c r="L175" s="508">
        <v>7.4186531142343026E-2</v>
      </c>
      <c r="M175" s="509">
        <v>6.4131263119015999E-2</v>
      </c>
      <c r="N175" s="132">
        <f t="shared" si="76"/>
        <v>0.36199582011385734</v>
      </c>
      <c r="O175" s="133">
        <f>VLOOKUP(K175,Inflation!$B$8:$C$266,2)</f>
        <v>1.455292911578338</v>
      </c>
      <c r="P175" s="132"/>
      <c r="Q175" s="134">
        <f>VLOOKUP(K175,'Fuel Curve'!$B$11:$F$268,5)</f>
        <v>4.7901724137931048</v>
      </c>
      <c r="R175" s="238">
        <f>VLOOKUP(K175,'Fuel Curve Simulation'!$B$12:$J$258,9)</f>
        <v>4.7901724137931048</v>
      </c>
      <c r="S175" s="134">
        <f t="shared" si="83"/>
        <v>45.885061551724156</v>
      </c>
      <c r="T175" s="136"/>
      <c r="V175" s="135">
        <f>VLOOKUP(K175,PJM_01212000!$A$7:$C$259,3)</f>
        <v>40.824998474121088</v>
      </c>
      <c r="W175" s="486"/>
      <c r="X175" s="118">
        <f>'PJM Curve Simulation'!J175</f>
        <v>40.824998474121088</v>
      </c>
      <c r="Y175" s="512"/>
      <c r="Z175" s="137"/>
      <c r="AA175" s="78">
        <f t="shared" si="81"/>
        <v>315</v>
      </c>
      <c r="AB175" s="85">
        <f t="shared" si="84"/>
        <v>115920</v>
      </c>
      <c r="AC175" s="85">
        <f>VLOOKUP(K175,'Company Volumes'!$B$20:$C$259,2)</f>
        <v>17301.363640695556</v>
      </c>
      <c r="AD175" s="153">
        <f t="shared" si="88"/>
        <v>0</v>
      </c>
      <c r="AE175" s="150"/>
      <c r="AF175" s="150">
        <v>0</v>
      </c>
      <c r="AG175" s="150">
        <v>0</v>
      </c>
      <c r="AH175" s="150">
        <f t="shared" si="89"/>
        <v>0</v>
      </c>
      <c r="AI175" s="150">
        <f t="shared" si="90"/>
        <v>0</v>
      </c>
      <c r="AJ175" s="150">
        <f t="shared" si="91"/>
        <v>0</v>
      </c>
      <c r="AK175" s="85">
        <f t="shared" si="92"/>
        <v>72764.645578916898</v>
      </c>
      <c r="AL175" s="85">
        <f t="shared" si="93"/>
        <v>185549.84622623809</v>
      </c>
      <c r="AM175" s="85">
        <f t="shared" si="85"/>
        <v>0</v>
      </c>
      <c r="AN175" s="85">
        <f t="shared" si="86"/>
        <v>166388.48955712331</v>
      </c>
      <c r="AO175" s="85">
        <f t="shared" si="94"/>
        <v>36382.322789458449</v>
      </c>
      <c r="AP175" s="85">
        <f t="shared" si="106"/>
        <v>46500.558215233643</v>
      </c>
      <c r="AQ175" s="84">
        <f t="shared" si="95"/>
        <v>507585.8623669704</v>
      </c>
      <c r="AR175" s="85">
        <f t="shared" si="96"/>
        <v>18191.161394729224</v>
      </c>
      <c r="AS175" s="84">
        <f t="shared" si="109"/>
        <v>30387.755000000001</v>
      </c>
      <c r="AT175" s="85">
        <f t="shared" si="97"/>
        <v>0</v>
      </c>
      <c r="AU175" s="84">
        <f t="shared" si="98"/>
        <v>556164.77876169956</v>
      </c>
      <c r="AV175" s="84">
        <f t="shared" si="87"/>
        <v>-556164.77876169956</v>
      </c>
      <c r="AW175" s="453"/>
      <c r="AX175" s="93">
        <f t="shared" si="80"/>
        <v>41640</v>
      </c>
      <c r="BA175" s="315"/>
      <c r="BB175" s="134">
        <f t="shared" si="99"/>
        <v>40.824998474121088</v>
      </c>
      <c r="BC175" s="134">
        <f>'Curve Analysis - Base Case'!D167</f>
        <v>48.795647374880829</v>
      </c>
      <c r="BD175" s="131">
        <f t="shared" si="100"/>
        <v>7.4186531142343026E-2</v>
      </c>
      <c r="BE175" s="131">
        <f t="shared" si="101"/>
        <v>7.4186531142343026E-2</v>
      </c>
      <c r="BF175" s="365">
        <f>PJM_01212000!X175</f>
        <v>0.11878910420230862</v>
      </c>
      <c r="BG175" s="85">
        <f t="shared" si="102"/>
        <v>5066</v>
      </c>
      <c r="BH175" s="84">
        <f t="shared" si="103"/>
        <v>0</v>
      </c>
      <c r="BJ175" s="537">
        <f>_xll.EURO(BB175,BC175,BD175,BE175,BF175,BG175,1,0)*BH175</f>
        <v>0</v>
      </c>
      <c r="BK175" s="84">
        <f t="shared" si="104"/>
        <v>0</v>
      </c>
      <c r="BM175" s="84">
        <f t="shared" si="105"/>
        <v>0</v>
      </c>
    </row>
    <row r="176" spans="1:65">
      <c r="A176" s="78">
        <f t="shared" si="77"/>
        <v>170</v>
      </c>
      <c r="C176" s="78">
        <v>28</v>
      </c>
      <c r="D176" s="78" t="s">
        <v>63</v>
      </c>
      <c r="E176" s="113">
        <f t="shared" si="78"/>
        <v>41671</v>
      </c>
      <c r="F176" s="85">
        <f t="shared" si="75"/>
        <v>20</v>
      </c>
      <c r="G176" s="84">
        <f t="shared" ref="G176:G186" si="110">C176-F176</f>
        <v>8</v>
      </c>
      <c r="H176" s="84"/>
      <c r="I176" s="84"/>
      <c r="J176" s="78">
        <f t="shared" si="79"/>
        <v>28</v>
      </c>
      <c r="K176" s="149">
        <v>41671</v>
      </c>
      <c r="L176" s="508">
        <v>7.4181357693839017E-2</v>
      </c>
      <c r="M176" s="509">
        <v>6.4142875327242999E-2</v>
      </c>
      <c r="N176" s="132">
        <f t="shared" si="76"/>
        <v>0.35978987512884081</v>
      </c>
      <c r="O176" s="133">
        <f>VLOOKUP(K176,Inflation!$B$8:$C$266,2)</f>
        <v>1.4585274853248964</v>
      </c>
      <c r="P176" s="132"/>
      <c r="Q176" s="134">
        <f>VLOOKUP(K176,'Fuel Curve'!$B$11:$F$268,5)</f>
        <v>4.6910344827586217</v>
      </c>
      <c r="R176" s="238">
        <f>VLOOKUP(K176,'Fuel Curve Simulation'!$B$12:$J$258,9)</f>
        <v>4.6910344827586217</v>
      </c>
      <c r="S176" s="134">
        <f t="shared" si="83"/>
        <v>44.935419310344834</v>
      </c>
      <c r="T176" s="136"/>
      <c r="V176" s="135">
        <f>VLOOKUP(K176,PJM_01212000!$A$7:$C$259,3)</f>
        <v>40.824998474121088</v>
      </c>
      <c r="W176" s="486"/>
      <c r="X176" s="118">
        <f>'PJM Curve Simulation'!J176</f>
        <v>40.824998474121088</v>
      </c>
      <c r="Y176" s="512"/>
      <c r="Z176" s="137"/>
      <c r="AA176" s="78">
        <f t="shared" si="81"/>
        <v>315</v>
      </c>
      <c r="AB176" s="85">
        <f t="shared" si="84"/>
        <v>100800</v>
      </c>
      <c r="AC176" s="85">
        <f>VLOOKUP(K176,'Company Volumes'!$B$20:$C$259,2)</f>
        <v>626.40040543111104</v>
      </c>
      <c r="AD176" s="153">
        <f t="shared" si="88"/>
        <v>0</v>
      </c>
      <c r="AE176" s="150"/>
      <c r="AF176" s="150">
        <v>0</v>
      </c>
      <c r="AG176" s="150">
        <v>0</v>
      </c>
      <c r="AH176" s="150">
        <f t="shared" si="89"/>
        <v>0</v>
      </c>
      <c r="AI176" s="150">
        <f t="shared" si="90"/>
        <v>0</v>
      </c>
      <c r="AJ176" s="150">
        <f t="shared" si="91"/>
        <v>0</v>
      </c>
      <c r="AK176" s="85">
        <f t="shared" si="92"/>
        <v>72926.37426624482</v>
      </c>
      <c r="AL176" s="85">
        <f t="shared" si="93"/>
        <v>185962.25437892429</v>
      </c>
      <c r="AM176" s="85">
        <f t="shared" si="85"/>
        <v>0</v>
      </c>
      <c r="AN176" s="85">
        <f t="shared" si="86"/>
        <v>166758.30915547983</v>
      </c>
      <c r="AO176" s="85">
        <f t="shared" si="94"/>
        <v>36463.18713312241</v>
      </c>
      <c r="AP176" s="85">
        <f t="shared" si="106"/>
        <v>46500.558215233643</v>
      </c>
      <c r="AQ176" s="84">
        <f t="shared" si="95"/>
        <v>508610.68314900505</v>
      </c>
      <c r="AR176" s="85">
        <f t="shared" si="96"/>
        <v>18231.593566561205</v>
      </c>
      <c r="AS176" s="84">
        <f t="shared" si="109"/>
        <v>30387.755000000001</v>
      </c>
      <c r="AT176" s="85">
        <f t="shared" si="97"/>
        <v>0</v>
      </c>
      <c r="AU176" s="84">
        <f t="shared" si="98"/>
        <v>557230.03171556629</v>
      </c>
      <c r="AV176" s="84">
        <f t="shared" si="87"/>
        <v>-557230.03171556629</v>
      </c>
      <c r="AW176" s="453"/>
      <c r="AX176" s="93">
        <f t="shared" si="80"/>
        <v>41671</v>
      </c>
      <c r="BA176" s="315"/>
      <c r="BB176" s="134">
        <f t="shared" si="99"/>
        <v>40.824998474121088</v>
      </c>
      <c r="BC176" s="134">
        <f>'Curve Analysis - Base Case'!D168</f>
        <v>47.852474280994628</v>
      </c>
      <c r="BD176" s="131">
        <f t="shared" si="100"/>
        <v>7.4181357693839017E-2</v>
      </c>
      <c r="BE176" s="131">
        <f t="shared" si="101"/>
        <v>7.4181357693839017E-2</v>
      </c>
      <c r="BF176" s="365">
        <f>PJM_01212000!X176</f>
        <v>0.11878910420230862</v>
      </c>
      <c r="BG176" s="85">
        <f t="shared" si="102"/>
        <v>5097</v>
      </c>
      <c r="BH176" s="84">
        <f t="shared" si="103"/>
        <v>0</v>
      </c>
      <c r="BJ176" s="537">
        <f>_xll.EURO(BB176,BC176,BD176,BE176,BF176,BG176,1,0)*BH176</f>
        <v>0</v>
      </c>
      <c r="BK176" s="84">
        <f t="shared" si="104"/>
        <v>0</v>
      </c>
      <c r="BM176" s="84">
        <f t="shared" si="105"/>
        <v>0</v>
      </c>
    </row>
    <row r="177" spans="1:65">
      <c r="A177" s="78">
        <f t="shared" si="77"/>
        <v>171</v>
      </c>
      <c r="C177" s="78">
        <v>31</v>
      </c>
      <c r="D177" s="78" t="s">
        <v>64</v>
      </c>
      <c r="E177" s="113">
        <f t="shared" si="78"/>
        <v>41699</v>
      </c>
      <c r="F177" s="85">
        <f t="shared" si="75"/>
        <v>21</v>
      </c>
      <c r="G177" s="84">
        <f t="shared" si="110"/>
        <v>10</v>
      </c>
      <c r="H177" s="84"/>
      <c r="I177" s="84"/>
      <c r="J177" s="78">
        <f t="shared" si="79"/>
        <v>31</v>
      </c>
      <c r="K177" s="149">
        <v>41699</v>
      </c>
      <c r="L177" s="508">
        <v>7.4176684901650025E-2</v>
      </c>
      <c r="M177" s="509">
        <v>6.4153363774191022E-2</v>
      </c>
      <c r="N177" s="132">
        <f t="shared" si="76"/>
        <v>0.35780922570719148</v>
      </c>
      <c r="O177" s="133">
        <f>VLOOKUP(K177,Inflation!$B$8:$C$266,2)</f>
        <v>1.4617692483233495</v>
      </c>
      <c r="P177" s="132"/>
      <c r="Q177" s="134">
        <f>VLOOKUP(K177,'Fuel Curve'!$B$11:$F$268,5)</f>
        <v>4.5939655172413802</v>
      </c>
      <c r="R177" s="238">
        <f>VLOOKUP(K177,'Fuel Curve Simulation'!$B$12:$J$258,9)</f>
        <v>4.5939655172413802</v>
      </c>
      <c r="S177" s="134">
        <f t="shared" si="83"/>
        <v>44.005595689655181</v>
      </c>
      <c r="T177" s="136"/>
      <c r="V177" s="135">
        <f>VLOOKUP(K177,PJM_01212000!$A$7:$C$259,3)</f>
        <v>30.550000762939455</v>
      </c>
      <c r="W177" s="486"/>
      <c r="X177" s="118">
        <f>'PJM Curve Simulation'!J177</f>
        <v>30.550000762939455</v>
      </c>
      <c r="Y177" s="512"/>
      <c r="Z177" s="137"/>
      <c r="AA177" s="78">
        <f t="shared" si="81"/>
        <v>315</v>
      </c>
      <c r="AB177" s="85">
        <f t="shared" si="84"/>
        <v>105840</v>
      </c>
      <c r="AC177" s="85">
        <f>VLOOKUP(K177,'Company Volumes'!$B$20:$C$259,2)</f>
        <v>626.40040543111104</v>
      </c>
      <c r="AD177" s="153">
        <f t="shared" si="88"/>
        <v>0</v>
      </c>
      <c r="AE177" s="150"/>
      <c r="AF177" s="150">
        <v>0</v>
      </c>
      <c r="AG177" s="150">
        <v>0</v>
      </c>
      <c r="AH177" s="150">
        <f t="shared" si="89"/>
        <v>0</v>
      </c>
      <c r="AI177" s="150">
        <f t="shared" si="90"/>
        <v>0</v>
      </c>
      <c r="AJ177" s="150">
        <f t="shared" si="91"/>
        <v>0</v>
      </c>
      <c r="AK177" s="85">
        <f t="shared" si="92"/>
        <v>73088.462416167473</v>
      </c>
      <c r="AL177" s="85">
        <f t="shared" si="93"/>
        <v>186375.57916122707</v>
      </c>
      <c r="AM177" s="85">
        <f t="shared" si="85"/>
        <v>0</v>
      </c>
      <c r="AN177" s="85">
        <f t="shared" si="86"/>
        <v>167128.95072496962</v>
      </c>
      <c r="AO177" s="85">
        <f t="shared" si="94"/>
        <v>36544.231208083736</v>
      </c>
      <c r="AP177" s="85">
        <f t="shared" si="106"/>
        <v>46500.558215233643</v>
      </c>
      <c r="AQ177" s="84">
        <f t="shared" si="95"/>
        <v>509637.7817256815</v>
      </c>
      <c r="AR177" s="85">
        <f t="shared" si="96"/>
        <v>18272.115604041868</v>
      </c>
      <c r="AS177" s="84">
        <f t="shared" si="109"/>
        <v>30387.755000000001</v>
      </c>
      <c r="AT177" s="85">
        <f t="shared" si="97"/>
        <v>0</v>
      </c>
      <c r="AU177" s="84">
        <f t="shared" si="98"/>
        <v>558297.65232972323</v>
      </c>
      <c r="AV177" s="84">
        <f t="shared" si="87"/>
        <v>-558297.65232972323</v>
      </c>
      <c r="AW177" s="453"/>
      <c r="AX177" s="93">
        <f t="shared" si="80"/>
        <v>41699</v>
      </c>
      <c r="BA177" s="315"/>
      <c r="BB177" s="134">
        <f t="shared" si="99"/>
        <v>30.550000762939455</v>
      </c>
      <c r="BC177" s="134">
        <f>'Curve Analysis - Base Case'!D169</f>
        <v>46.92913418630188</v>
      </c>
      <c r="BD177" s="131">
        <f t="shared" si="100"/>
        <v>7.4176684901650025E-2</v>
      </c>
      <c r="BE177" s="131">
        <f t="shared" si="101"/>
        <v>7.4176684901650025E-2</v>
      </c>
      <c r="BF177" s="365">
        <f>PJM_01212000!X177</f>
        <v>9.8990920168590499E-2</v>
      </c>
      <c r="BG177" s="85">
        <f t="shared" si="102"/>
        <v>5125</v>
      </c>
      <c r="BH177" s="84">
        <f t="shared" si="103"/>
        <v>0</v>
      </c>
      <c r="BJ177" s="537">
        <f>_xll.EURO(BB177,BC177,BD177,BE177,BF177,BG177,1,0)*BH177</f>
        <v>0</v>
      </c>
      <c r="BK177" s="84">
        <f t="shared" si="104"/>
        <v>0</v>
      </c>
      <c r="BM177" s="84">
        <f t="shared" si="105"/>
        <v>0</v>
      </c>
    </row>
    <row r="178" spans="1:65">
      <c r="A178" s="78">
        <f t="shared" si="77"/>
        <v>172</v>
      </c>
      <c r="C178" s="78">
        <v>30</v>
      </c>
      <c r="D178" s="78" t="s">
        <v>65</v>
      </c>
      <c r="E178" s="113">
        <f t="shared" si="78"/>
        <v>41730</v>
      </c>
      <c r="F178" s="85">
        <f t="shared" si="75"/>
        <v>22</v>
      </c>
      <c r="G178" s="84">
        <f t="shared" si="110"/>
        <v>8</v>
      </c>
      <c r="H178" s="84"/>
      <c r="I178" s="84"/>
      <c r="J178" s="78">
        <f t="shared" si="79"/>
        <v>30</v>
      </c>
      <c r="K178" s="149">
        <v>41730</v>
      </c>
      <c r="L178" s="508">
        <v>7.4171511453163003E-2</v>
      </c>
      <c r="M178" s="509">
        <v>6.4164975984205008E-2</v>
      </c>
      <c r="N178" s="132">
        <f t="shared" si="76"/>
        <v>0.35562936641114601</v>
      </c>
      <c r="O178" s="133">
        <f>VLOOKUP(K178,Inflation!$B$8:$C$266,2)</f>
        <v>1.465018216552725</v>
      </c>
      <c r="P178" s="132"/>
      <c r="Q178" s="134">
        <f>VLOOKUP(K178,'Fuel Curve'!$B$11:$F$268,5)</f>
        <v>4.4939655172413797</v>
      </c>
      <c r="R178" s="238">
        <f>VLOOKUP(K178,'Fuel Curve Simulation'!$B$12:$J$258,9)</f>
        <v>4.4939655172413797</v>
      </c>
      <c r="S178" s="134">
        <f t="shared" si="83"/>
        <v>43.047695689655178</v>
      </c>
      <c r="T178" s="136"/>
      <c r="V178" s="135">
        <f>VLOOKUP(K178,PJM_01212000!$A$7:$C$259,3)</f>
        <v>30.325000762939453</v>
      </c>
      <c r="W178" s="486"/>
      <c r="X178" s="118">
        <f>'PJM Curve Simulation'!J178</f>
        <v>30.325000762939453</v>
      </c>
      <c r="Y178" s="512"/>
      <c r="Z178" s="137"/>
      <c r="AA178" s="78">
        <f t="shared" si="81"/>
        <v>315</v>
      </c>
      <c r="AB178" s="85">
        <f t="shared" si="84"/>
        <v>110880</v>
      </c>
      <c r="AC178" s="85">
        <f>VLOOKUP(K178,'Company Volumes'!$B$20:$C$259,2)</f>
        <v>8599.0118575013312</v>
      </c>
      <c r="AD178" s="153">
        <f t="shared" si="88"/>
        <v>0</v>
      </c>
      <c r="AE178" s="150"/>
      <c r="AF178" s="150">
        <v>0</v>
      </c>
      <c r="AG178" s="150">
        <v>0</v>
      </c>
      <c r="AH178" s="150">
        <f t="shared" si="89"/>
        <v>0</v>
      </c>
      <c r="AI178" s="150">
        <f t="shared" si="90"/>
        <v>0</v>
      </c>
      <c r="AJ178" s="150">
        <f t="shared" si="91"/>
        <v>0</v>
      </c>
      <c r="AK178" s="85">
        <f t="shared" si="92"/>
        <v>73250.910827636253</v>
      </c>
      <c r="AL178" s="85">
        <f t="shared" si="93"/>
        <v>186789.82261047245</v>
      </c>
      <c r="AM178" s="85">
        <f t="shared" si="85"/>
        <v>0</v>
      </c>
      <c r="AN178" s="85">
        <f t="shared" si="86"/>
        <v>167500.41609252823</v>
      </c>
      <c r="AO178" s="85">
        <f t="shared" si="94"/>
        <v>36625.455413818127</v>
      </c>
      <c r="AP178" s="85">
        <f t="shared" si="106"/>
        <v>46500.558215233643</v>
      </c>
      <c r="AQ178" s="84">
        <f t="shared" si="95"/>
        <v>510667.1631596887</v>
      </c>
      <c r="AR178" s="85">
        <f t="shared" si="96"/>
        <v>18312.727706909063</v>
      </c>
      <c r="AS178" s="84">
        <f t="shared" si="109"/>
        <v>30387.755000000001</v>
      </c>
      <c r="AT178" s="85">
        <f t="shared" si="97"/>
        <v>0</v>
      </c>
      <c r="AU178" s="84">
        <f t="shared" si="98"/>
        <v>559367.64586659777</v>
      </c>
      <c r="AV178" s="84">
        <f t="shared" si="87"/>
        <v>-559367.64586659777</v>
      </c>
      <c r="AW178" s="453"/>
      <c r="AX178" s="93">
        <f t="shared" si="80"/>
        <v>41730</v>
      </c>
      <c r="BA178" s="315"/>
      <c r="BB178" s="134">
        <f t="shared" si="99"/>
        <v>30.325000762939453</v>
      </c>
      <c r="BC178" s="134">
        <f>'Curve Analysis - Base Case'!D170</f>
        <v>45.977732122760628</v>
      </c>
      <c r="BD178" s="131">
        <f t="shared" si="100"/>
        <v>7.4171511453163003E-2</v>
      </c>
      <c r="BE178" s="131">
        <f t="shared" si="101"/>
        <v>7.4171511453163003E-2</v>
      </c>
      <c r="BF178" s="365">
        <f>PJM_01212000!X178</f>
        <v>9.4041374160160979E-2</v>
      </c>
      <c r="BG178" s="85">
        <f t="shared" si="102"/>
        <v>5156</v>
      </c>
      <c r="BH178" s="84">
        <f t="shared" si="103"/>
        <v>0</v>
      </c>
      <c r="BJ178" s="537">
        <f>_xll.EURO(BB178,BC178,BD178,BE178,BF178,BG178,1,0)*BH178</f>
        <v>0</v>
      </c>
      <c r="BK178" s="84">
        <f t="shared" si="104"/>
        <v>0</v>
      </c>
      <c r="BM178" s="84">
        <f t="shared" si="105"/>
        <v>0</v>
      </c>
    </row>
    <row r="179" spans="1:65">
      <c r="A179" s="78">
        <f t="shared" si="77"/>
        <v>173</v>
      </c>
      <c r="C179" s="78">
        <v>31</v>
      </c>
      <c r="D179" s="78" t="s">
        <v>38</v>
      </c>
      <c r="E179" s="113">
        <f t="shared" si="78"/>
        <v>41760</v>
      </c>
      <c r="F179" s="85">
        <f t="shared" si="75"/>
        <v>23</v>
      </c>
      <c r="G179" s="84">
        <f t="shared" si="110"/>
        <v>8</v>
      </c>
      <c r="H179" s="84"/>
      <c r="I179" s="84"/>
      <c r="J179" s="78">
        <f t="shared" si="79"/>
        <v>31</v>
      </c>
      <c r="K179" s="149">
        <v>41760</v>
      </c>
      <c r="L179" s="508">
        <v>7.4166504890119014E-2</v>
      </c>
      <c r="M179" s="509">
        <v>6.4176213607694016E-2</v>
      </c>
      <c r="N179" s="132">
        <f t="shared" si="76"/>
        <v>0.35353275562005493</v>
      </c>
      <c r="O179" s="133">
        <f>VLOOKUP(K179,Inflation!$B$8:$C$266,2)</f>
        <v>1.4682744060275654</v>
      </c>
      <c r="P179" s="132"/>
      <c r="Q179" s="134">
        <f>VLOOKUP(K179,'Fuel Curve'!$B$11:$F$268,5)</f>
        <v>4.4267241379310347</v>
      </c>
      <c r="R179" s="238">
        <f>VLOOKUP(K179,'Fuel Curve Simulation'!$B$12:$J$258,9)</f>
        <v>4.4267241379310347</v>
      </c>
      <c r="S179" s="134">
        <f t="shared" si="83"/>
        <v>42.403590517241383</v>
      </c>
      <c r="T179" s="136"/>
      <c r="V179" s="135">
        <f>VLOOKUP(K179,PJM_01212000!$A$7:$C$259,3)</f>
        <v>38.325000000000003</v>
      </c>
      <c r="W179" s="486"/>
      <c r="X179" s="118">
        <f>'PJM Curve Simulation'!J179</f>
        <v>38.325000000000003</v>
      </c>
      <c r="Y179" s="512"/>
      <c r="Z179" s="137"/>
      <c r="AA179" s="78">
        <f t="shared" si="81"/>
        <v>315</v>
      </c>
      <c r="AB179" s="85">
        <f t="shared" si="84"/>
        <v>115920</v>
      </c>
      <c r="AC179" s="85">
        <f>VLOOKUP(K179,'Company Volumes'!$B$20:$C$259,2)</f>
        <v>17483.117549896444</v>
      </c>
      <c r="AD179" s="153">
        <f t="shared" si="88"/>
        <v>0</v>
      </c>
      <c r="AE179" s="150"/>
      <c r="AF179" s="150">
        <v>0</v>
      </c>
      <c r="AG179" s="150">
        <v>0</v>
      </c>
      <c r="AH179" s="150">
        <f t="shared" si="89"/>
        <v>0</v>
      </c>
      <c r="AI179" s="150">
        <f t="shared" si="90"/>
        <v>0</v>
      </c>
      <c r="AJ179" s="150">
        <f t="shared" si="91"/>
        <v>0</v>
      </c>
      <c r="AK179" s="85">
        <f t="shared" si="92"/>
        <v>73413.720301378271</v>
      </c>
      <c r="AL179" s="85">
        <f t="shared" si="93"/>
        <v>187204.98676851459</v>
      </c>
      <c r="AM179" s="85">
        <f t="shared" si="85"/>
        <v>0</v>
      </c>
      <c r="AN179" s="85">
        <f t="shared" si="86"/>
        <v>167872.70708915163</v>
      </c>
      <c r="AO179" s="85">
        <f t="shared" si="94"/>
        <v>36706.860150689135</v>
      </c>
      <c r="AP179" s="85">
        <f t="shared" si="106"/>
        <v>46500.558215233643</v>
      </c>
      <c r="AQ179" s="84">
        <f t="shared" si="95"/>
        <v>511698.83252496726</v>
      </c>
      <c r="AR179" s="85">
        <f t="shared" si="96"/>
        <v>18353.430075344568</v>
      </c>
      <c r="AS179" s="84">
        <f t="shared" si="109"/>
        <v>30387.755000000001</v>
      </c>
      <c r="AT179" s="85">
        <f t="shared" si="97"/>
        <v>0</v>
      </c>
      <c r="AU179" s="84">
        <f t="shared" si="98"/>
        <v>560440.01760031178</v>
      </c>
      <c r="AV179" s="84">
        <f t="shared" si="87"/>
        <v>-560440.01760031178</v>
      </c>
      <c r="AW179" s="453"/>
      <c r="AX179" s="93">
        <f t="shared" si="80"/>
        <v>41760</v>
      </c>
      <c r="BA179" s="315"/>
      <c r="BB179" s="134">
        <f t="shared" si="99"/>
        <v>38.325000000000003</v>
      </c>
      <c r="BC179" s="134">
        <f>'Curve Analysis - Base Case'!D171</f>
        <v>45.340139329296512</v>
      </c>
      <c r="BD179" s="131">
        <f t="shared" si="100"/>
        <v>7.4166504890119014E-2</v>
      </c>
      <c r="BE179" s="131">
        <f t="shared" si="101"/>
        <v>7.4166504890119014E-2</v>
      </c>
      <c r="BF179" s="365">
        <f>PJM_01212000!X179</f>
        <v>0.10394046617702002</v>
      </c>
      <c r="BG179" s="85">
        <f t="shared" si="102"/>
        <v>5186</v>
      </c>
      <c r="BH179" s="84">
        <f t="shared" si="103"/>
        <v>0</v>
      </c>
      <c r="BJ179" s="537">
        <f>_xll.EURO(BB179,BC179,BD179,BE179,BF179,BG179,1,0)*BH179</f>
        <v>0</v>
      </c>
      <c r="BK179" s="84">
        <f t="shared" si="104"/>
        <v>0</v>
      </c>
      <c r="BM179" s="84">
        <f t="shared" si="105"/>
        <v>0</v>
      </c>
    </row>
    <row r="180" spans="1:65">
      <c r="A180" s="78">
        <f t="shared" si="77"/>
        <v>174</v>
      </c>
      <c r="C180" s="78">
        <v>30</v>
      </c>
      <c r="D180" s="78" t="s">
        <v>66</v>
      </c>
      <c r="E180" s="113">
        <f t="shared" si="78"/>
        <v>41791</v>
      </c>
      <c r="F180" s="85">
        <f t="shared" si="75"/>
        <v>20</v>
      </c>
      <c r="G180" s="84">
        <f t="shared" si="110"/>
        <v>10</v>
      </c>
      <c r="H180" s="84"/>
      <c r="I180" s="84"/>
      <c r="J180" s="78">
        <f t="shared" si="79"/>
        <v>30</v>
      </c>
      <c r="K180" s="149">
        <v>41791</v>
      </c>
      <c r="L180" s="508">
        <v>7.4161331441650019E-2</v>
      </c>
      <c r="M180" s="509">
        <v>6.4187825819556024E-2</v>
      </c>
      <c r="N180" s="132">
        <f t="shared" si="76"/>
        <v>0.35137953520346754</v>
      </c>
      <c r="O180" s="133">
        <f>VLOOKUP(K180,Inflation!$B$8:$C$266,2)</f>
        <v>1.4715378327980084</v>
      </c>
      <c r="P180" s="132"/>
      <c r="Q180" s="134">
        <f>VLOOKUP(K180,'Fuel Curve'!$B$11:$F$268,5)</f>
        <v>4.4201724137931047</v>
      </c>
      <c r="R180" s="238">
        <f>VLOOKUP(K180,'Fuel Curve Simulation'!$B$12:$J$258,9)</f>
        <v>4.4201724137931047</v>
      </c>
      <c r="S180" s="134">
        <f t="shared" si="83"/>
        <v>42.34083155172415</v>
      </c>
      <c r="T180" s="136"/>
      <c r="V180" s="135">
        <f>VLOOKUP(K180,PJM_01212000!$A$7:$C$259,3)</f>
        <v>65.349998474121094</v>
      </c>
      <c r="W180" s="486"/>
      <c r="X180" s="118">
        <f>'PJM Curve Simulation'!J180</f>
        <v>65.349998474121094</v>
      </c>
      <c r="Y180" s="512"/>
      <c r="Z180" s="137"/>
      <c r="AA180" s="78">
        <f t="shared" si="81"/>
        <v>315</v>
      </c>
      <c r="AB180" s="85">
        <f t="shared" si="84"/>
        <v>100800</v>
      </c>
      <c r="AC180" s="85">
        <f>VLOOKUP(K180,'Company Volumes'!$B$20:$C$259,2)</f>
        <v>31276.94676155466</v>
      </c>
      <c r="AD180" s="153">
        <f t="shared" si="88"/>
        <v>100800</v>
      </c>
      <c r="AE180" s="150"/>
      <c r="AF180" s="150">
        <v>0</v>
      </c>
      <c r="AG180" s="150">
        <v>0</v>
      </c>
      <c r="AH180" s="150">
        <f t="shared" si="89"/>
        <v>6587279.8461914063</v>
      </c>
      <c r="AI180" s="150">
        <f t="shared" si="90"/>
        <v>6587279.8461914063</v>
      </c>
      <c r="AJ180" s="150">
        <f t="shared" si="91"/>
        <v>4267955.8204137944</v>
      </c>
      <c r="AK180" s="85">
        <f t="shared" si="92"/>
        <v>73576.891639900423</v>
      </c>
      <c r="AL180" s="85">
        <f t="shared" si="93"/>
        <v>187621.07368174606</v>
      </c>
      <c r="AM180" s="85">
        <f t="shared" si="85"/>
        <v>296662.02709207853</v>
      </c>
      <c r="AN180" s="85">
        <f t="shared" si="86"/>
        <v>168245.82554990562</v>
      </c>
      <c r="AO180" s="85">
        <f t="shared" si="94"/>
        <v>36788.445819950211</v>
      </c>
      <c r="AP180" s="85">
        <f t="shared" si="106"/>
        <v>46500.558215233643</v>
      </c>
      <c r="AQ180" s="84">
        <f t="shared" si="95"/>
        <v>809394.82199881447</v>
      </c>
      <c r="AR180" s="85">
        <f t="shared" si="96"/>
        <v>18394.222909975106</v>
      </c>
      <c r="AS180" s="84">
        <f t="shared" si="109"/>
        <v>30387.755000000001</v>
      </c>
      <c r="AT180" s="85">
        <f t="shared" si="97"/>
        <v>58160.589053390999</v>
      </c>
      <c r="AU180" s="84">
        <f t="shared" si="98"/>
        <v>5184293.2093759738</v>
      </c>
      <c r="AV180" s="84">
        <f t="shared" si="87"/>
        <v>1402986.6368154325</v>
      </c>
      <c r="AW180" s="453"/>
      <c r="AX180" s="93">
        <f t="shared" si="80"/>
        <v>41791</v>
      </c>
      <c r="BA180" s="315"/>
      <c r="BB180" s="134">
        <f t="shared" si="99"/>
        <v>65.349998474121094</v>
      </c>
      <c r="BC180" s="134">
        <f>'Curve Analysis - Base Case'!D172</f>
        <v>45.28390721732017</v>
      </c>
      <c r="BD180" s="131">
        <f t="shared" si="100"/>
        <v>7.4161331441650019E-2</v>
      </c>
      <c r="BE180" s="131">
        <f t="shared" si="101"/>
        <v>7.4161331441650019E-2</v>
      </c>
      <c r="BF180" s="365">
        <f>PJM_01212000!X180</f>
        <v>0.13363774222759719</v>
      </c>
      <c r="BG180" s="85">
        <f t="shared" si="102"/>
        <v>5217</v>
      </c>
      <c r="BH180" s="84">
        <f t="shared" si="103"/>
        <v>100800</v>
      </c>
      <c r="BJ180" s="537">
        <f>_xll.EURO(BB180,BC180,BD180,BE180,BF180,BG180,1,0)*BH180</f>
        <v>830100.85070660943</v>
      </c>
      <c r="BK180" s="84">
        <f t="shared" si="104"/>
        <v>814962.9981639724</v>
      </c>
      <c r="BM180" s="84">
        <f t="shared" si="105"/>
        <v>15137.852542637032</v>
      </c>
    </row>
    <row r="181" spans="1:65">
      <c r="A181" s="78">
        <f t="shared" si="77"/>
        <v>175</v>
      </c>
      <c r="C181" s="78">
        <v>31</v>
      </c>
      <c r="D181" s="78" t="s">
        <v>67</v>
      </c>
      <c r="E181" s="113">
        <f t="shared" si="78"/>
        <v>41821</v>
      </c>
      <c r="F181" s="85">
        <f t="shared" si="75"/>
        <v>23</v>
      </c>
      <c r="G181" s="84">
        <f t="shared" si="110"/>
        <v>8</v>
      </c>
      <c r="H181" s="84"/>
      <c r="I181" s="84"/>
      <c r="J181" s="78">
        <f t="shared" si="79"/>
        <v>31</v>
      </c>
      <c r="K181" s="149">
        <v>41821</v>
      </c>
      <c r="L181" s="508">
        <v>7.4156324878623003E-2</v>
      </c>
      <c r="M181" s="509">
        <v>6.4199063444832019E-2</v>
      </c>
      <c r="N181" s="132">
        <f t="shared" si="76"/>
        <v>0.34930854264016292</v>
      </c>
      <c r="O181" s="133">
        <f>VLOOKUP(K181,Inflation!$B$8:$C$266,2)</f>
        <v>1.4748085129498645</v>
      </c>
      <c r="P181" s="132"/>
      <c r="Q181" s="134">
        <f>VLOOKUP(K181,'Fuel Curve'!$B$11:$F$268,5)</f>
        <v>4.477413793103449</v>
      </c>
      <c r="R181" s="238">
        <f>VLOOKUP(K181,'Fuel Curve Simulation'!$B$12:$J$258,9)</f>
        <v>4.477413793103449</v>
      </c>
      <c r="S181" s="134">
        <f t="shared" si="83"/>
        <v>42.889146724137937</v>
      </c>
      <c r="T181" s="136"/>
      <c r="V181" s="135">
        <f>VLOOKUP(K181,PJM_01212000!$A$7:$C$259,3)</f>
        <v>115.94999694824219</v>
      </c>
      <c r="W181" s="486"/>
      <c r="X181" s="118">
        <f>'PJM Curve Simulation'!J181</f>
        <v>115.94999694824219</v>
      </c>
      <c r="Y181" s="512"/>
      <c r="Z181" s="137"/>
      <c r="AA181" s="78">
        <f t="shared" si="81"/>
        <v>315</v>
      </c>
      <c r="AB181" s="85">
        <f t="shared" si="84"/>
        <v>115920</v>
      </c>
      <c r="AC181" s="85">
        <f>VLOOKUP(K181,'Company Volumes'!$B$20:$C$259,2)</f>
        <v>52286.286001649765</v>
      </c>
      <c r="AD181" s="153">
        <f t="shared" si="88"/>
        <v>115920</v>
      </c>
      <c r="AE181" s="150"/>
      <c r="AF181" s="150">
        <v>0</v>
      </c>
      <c r="AG181" s="150">
        <v>0</v>
      </c>
      <c r="AH181" s="150">
        <f t="shared" si="89"/>
        <v>13440923.646240234</v>
      </c>
      <c r="AI181" s="150">
        <f t="shared" si="90"/>
        <v>13440923.646240234</v>
      </c>
      <c r="AJ181" s="150">
        <f t="shared" si="91"/>
        <v>4971709.8882620698</v>
      </c>
      <c r="AK181" s="85">
        <f t="shared" si="92"/>
        <v>73740.425647493234</v>
      </c>
      <c r="AL181" s="85">
        <f t="shared" si="93"/>
        <v>188038.0854011077</v>
      </c>
      <c r="AM181" s="85">
        <f t="shared" si="85"/>
        <v>341919.60564229661</v>
      </c>
      <c r="AN181" s="85">
        <f t="shared" si="86"/>
        <v>168619.77331393451</v>
      </c>
      <c r="AO181" s="85">
        <f t="shared" si="94"/>
        <v>36870.212823746617</v>
      </c>
      <c r="AP181" s="85">
        <f t="shared" si="106"/>
        <v>46500.558215233643</v>
      </c>
      <c r="AQ181" s="84">
        <f t="shared" si="95"/>
        <v>855688.66104381229</v>
      </c>
      <c r="AR181" s="85">
        <f t="shared" si="96"/>
        <v>18435.106411873308</v>
      </c>
      <c r="AS181" s="84">
        <f t="shared" si="109"/>
        <v>30387.755000000001</v>
      </c>
      <c r="AT181" s="85">
        <f t="shared" si="97"/>
        <v>118936.73169230537</v>
      </c>
      <c r="AU181" s="84">
        <f t="shared" si="98"/>
        <v>5995158.1424100613</v>
      </c>
      <c r="AV181" s="84">
        <f t="shared" si="87"/>
        <v>7445765.5038301731</v>
      </c>
      <c r="AW181" s="453"/>
      <c r="AX181" s="93">
        <f t="shared" si="80"/>
        <v>41821</v>
      </c>
      <c r="BA181" s="315"/>
      <c r="BB181" s="134">
        <f t="shared" si="99"/>
        <v>115.94999694824219</v>
      </c>
      <c r="BC181" s="134">
        <f>'Curve Analysis - Base Case'!D173</f>
        <v>45.838763750037664</v>
      </c>
      <c r="BD181" s="131">
        <f t="shared" si="100"/>
        <v>7.4156324878623003E-2</v>
      </c>
      <c r="BE181" s="131">
        <f t="shared" si="101"/>
        <v>7.4156324878623003E-2</v>
      </c>
      <c r="BF181" s="365">
        <f>PJM_01212000!X181</f>
        <v>0.16333501827817429</v>
      </c>
      <c r="BG181" s="85">
        <f t="shared" si="102"/>
        <v>5247</v>
      </c>
      <c r="BH181" s="84">
        <f t="shared" si="103"/>
        <v>115920</v>
      </c>
      <c r="BJ181" s="537">
        <f>_xll.EURO(BB181,BC181,BD181,BE181,BF181,BG181,1,0)*BH181</f>
        <v>2852036.6936260182</v>
      </c>
      <c r="BK181" s="84">
        <f t="shared" si="104"/>
        <v>2958368.7151073697</v>
      </c>
      <c r="BM181" s="84">
        <f t="shared" si="105"/>
        <v>-106332.02148135146</v>
      </c>
    </row>
    <row r="182" spans="1:65">
      <c r="A182" s="78">
        <f t="shared" si="77"/>
        <v>176</v>
      </c>
      <c r="C182" s="78">
        <v>31</v>
      </c>
      <c r="D182" s="78" t="s">
        <v>68</v>
      </c>
      <c r="E182" s="113">
        <f t="shared" si="78"/>
        <v>41852</v>
      </c>
      <c r="F182" s="85">
        <f t="shared" si="75"/>
        <v>22</v>
      </c>
      <c r="G182" s="84">
        <f t="shared" si="110"/>
        <v>9</v>
      </c>
      <c r="H182" s="84"/>
      <c r="I182" s="84"/>
      <c r="J182" s="78">
        <f t="shared" si="79"/>
        <v>31</v>
      </c>
      <c r="K182" s="149">
        <v>41852</v>
      </c>
      <c r="L182" s="508">
        <v>7.4151151430171008E-2</v>
      </c>
      <c r="M182" s="509">
        <v>6.4210675658542007E-2</v>
      </c>
      <c r="N182" s="132">
        <f t="shared" si="76"/>
        <v>0.34718162875125624</v>
      </c>
      <c r="O182" s="133">
        <f>VLOOKUP(K182,Inflation!$B$8:$C$266,2)</f>
        <v>1.478086462604697</v>
      </c>
      <c r="P182" s="132"/>
      <c r="Q182" s="134">
        <f>VLOOKUP(K182,'Fuel Curve'!$B$11:$F$268,5)</f>
        <v>4.5679310344827595</v>
      </c>
      <c r="R182" s="238">
        <f>VLOOKUP(K182,'Fuel Curve Simulation'!$B$12:$J$258,9)</f>
        <v>4.5679310344827595</v>
      </c>
      <c r="S182" s="134">
        <f t="shared" si="83"/>
        <v>43.756211379310358</v>
      </c>
      <c r="T182" s="136"/>
      <c r="V182" s="135">
        <f>VLOOKUP(K182,PJM_01212000!$A$7:$C$259,3)</f>
        <v>102.94999694824219</v>
      </c>
      <c r="W182" s="486"/>
      <c r="X182" s="118">
        <f>'PJM Curve Simulation'!J182</f>
        <v>102.94999694824219</v>
      </c>
      <c r="Y182" s="512"/>
      <c r="Z182" s="137"/>
      <c r="AA182" s="78">
        <f t="shared" si="81"/>
        <v>315</v>
      </c>
      <c r="AB182" s="85">
        <f t="shared" si="84"/>
        <v>110880</v>
      </c>
      <c r="AC182" s="85">
        <f>VLOOKUP(K182,'Company Volumes'!$B$20:$C$259,2)</f>
        <v>34857.524001757331</v>
      </c>
      <c r="AD182" s="153">
        <f t="shared" si="88"/>
        <v>110880</v>
      </c>
      <c r="AE182" s="150"/>
      <c r="AF182" s="150">
        <v>0</v>
      </c>
      <c r="AG182" s="150">
        <v>0</v>
      </c>
      <c r="AH182" s="150">
        <f t="shared" si="89"/>
        <v>11415095.661621094</v>
      </c>
      <c r="AI182" s="150">
        <f t="shared" si="90"/>
        <v>11415095.661621094</v>
      </c>
      <c r="AJ182" s="150">
        <f t="shared" si="91"/>
        <v>4851688.7177379318</v>
      </c>
      <c r="AK182" s="85">
        <f t="shared" si="92"/>
        <v>73904.323130234858</v>
      </c>
      <c r="AL182" s="85">
        <f t="shared" si="93"/>
        <v>188456.02398209888</v>
      </c>
      <c r="AM182" s="85">
        <f t="shared" si="85"/>
        <v>327780.45394721761</v>
      </c>
      <c r="AN182" s="85">
        <f t="shared" si="86"/>
        <v>168994.55222447036</v>
      </c>
      <c r="AO182" s="85">
        <f t="shared" si="94"/>
        <v>36952.161565117429</v>
      </c>
      <c r="AP182" s="85">
        <f t="shared" si="106"/>
        <v>46500.558215233643</v>
      </c>
      <c r="AQ182" s="84">
        <f t="shared" si="95"/>
        <v>842588.07306437264</v>
      </c>
      <c r="AR182" s="85">
        <f t="shared" si="96"/>
        <v>18476.080782558714</v>
      </c>
      <c r="AS182" s="84">
        <f t="shared" si="109"/>
        <v>30387.755000000001</v>
      </c>
      <c r="AT182" s="85">
        <f t="shared" si="97"/>
        <v>101234.99020067848</v>
      </c>
      <c r="AU182" s="84">
        <f t="shared" si="98"/>
        <v>5844375.6167855421</v>
      </c>
      <c r="AV182" s="84">
        <f t="shared" si="87"/>
        <v>5570720.0448355516</v>
      </c>
      <c r="AW182" s="453"/>
      <c r="AX182" s="93">
        <f t="shared" si="80"/>
        <v>41852</v>
      </c>
      <c r="BA182" s="315"/>
      <c r="BB182" s="134">
        <f t="shared" si="99"/>
        <v>102.94999694824219</v>
      </c>
      <c r="BC182" s="134">
        <f>'Curve Analysis - Base Case'!D174</f>
        <v>46.712384304519752</v>
      </c>
      <c r="BD182" s="131">
        <f t="shared" si="100"/>
        <v>7.4151151430171008E-2</v>
      </c>
      <c r="BE182" s="131">
        <f t="shared" si="101"/>
        <v>7.4151151430171008E-2</v>
      </c>
      <c r="BF182" s="365">
        <f>PJM_01212000!X182</f>
        <v>0.16333501827817429</v>
      </c>
      <c r="BG182" s="85">
        <f t="shared" si="102"/>
        <v>5278</v>
      </c>
      <c r="BH182" s="84">
        <f t="shared" si="103"/>
        <v>110880</v>
      </c>
      <c r="BJ182" s="537">
        <f>_xll.EURO(BB182,BC182,BD182,BE182,BF182,BG182,1,0)*BH182</f>
        <v>2211943.2311828667</v>
      </c>
      <c r="BK182" s="84">
        <f t="shared" si="104"/>
        <v>2278694.3129346613</v>
      </c>
      <c r="BM182" s="84">
        <f t="shared" si="105"/>
        <v>-66751.081751794554</v>
      </c>
    </row>
    <row r="183" spans="1:65">
      <c r="A183" s="78">
        <f t="shared" si="77"/>
        <v>177</v>
      </c>
      <c r="C183" s="78">
        <v>30</v>
      </c>
      <c r="D183" s="78" t="s">
        <v>69</v>
      </c>
      <c r="E183" s="113">
        <f t="shared" si="78"/>
        <v>41883</v>
      </c>
      <c r="F183" s="85">
        <f t="shared" si="75"/>
        <v>21</v>
      </c>
      <c r="G183" s="84">
        <f t="shared" si="110"/>
        <v>9</v>
      </c>
      <c r="H183" s="84"/>
      <c r="I183" s="84"/>
      <c r="J183" s="78">
        <f t="shared" si="79"/>
        <v>30</v>
      </c>
      <c r="K183" s="149">
        <v>41883</v>
      </c>
      <c r="L183" s="508">
        <v>7.4145977981727007E-2</v>
      </c>
      <c r="M183" s="509">
        <v>6.4222287873191022E-2</v>
      </c>
      <c r="N183" s="132">
        <f t="shared" si="76"/>
        <v>0.34506795774302679</v>
      </c>
      <c r="O183" s="133">
        <f>VLOOKUP(K183,Inflation!$B$8:$C$266,2)</f>
        <v>1.4813716979199019</v>
      </c>
      <c r="P183" s="132"/>
      <c r="Q183" s="134">
        <f>VLOOKUP(K183,'Fuel Curve'!$B$11:$F$268,5)</f>
        <v>4.6627586206896563</v>
      </c>
      <c r="R183" s="238">
        <f>VLOOKUP(K183,'Fuel Curve Simulation'!$B$12:$J$258,9)</f>
        <v>4.6627586206896563</v>
      </c>
      <c r="S183" s="134">
        <f t="shared" si="83"/>
        <v>44.664564827586219</v>
      </c>
      <c r="T183" s="136"/>
      <c r="V183" s="135">
        <f>VLOOKUP(K183,PJM_01212000!$A$7:$C$259,3)</f>
        <v>38.424998474121097</v>
      </c>
      <c r="W183" s="486"/>
      <c r="X183" s="118">
        <f>'PJM Curve Simulation'!J183</f>
        <v>38.424998474121097</v>
      </c>
      <c r="Y183" s="512"/>
      <c r="Z183" s="137"/>
      <c r="AA183" s="78">
        <f t="shared" si="81"/>
        <v>315</v>
      </c>
      <c r="AB183" s="85">
        <f t="shared" si="84"/>
        <v>105840</v>
      </c>
      <c r="AC183" s="85">
        <f>VLOOKUP(K183,'Company Volumes'!$B$20:$C$259,2)</f>
        <v>21368.254783754663</v>
      </c>
      <c r="AD183" s="153">
        <f t="shared" si="88"/>
        <v>0</v>
      </c>
      <c r="AE183" s="150"/>
      <c r="AF183" s="150">
        <v>0</v>
      </c>
      <c r="AG183" s="150">
        <v>0</v>
      </c>
      <c r="AH183" s="150">
        <f t="shared" si="89"/>
        <v>0</v>
      </c>
      <c r="AI183" s="150">
        <f t="shared" si="90"/>
        <v>0</v>
      </c>
      <c r="AJ183" s="150">
        <f t="shared" si="91"/>
        <v>0</v>
      </c>
      <c r="AK183" s="85">
        <f t="shared" si="92"/>
        <v>74068.584895995096</v>
      </c>
      <c r="AL183" s="85">
        <f t="shared" si="93"/>
        <v>188874.89148478748</v>
      </c>
      <c r="AM183" s="85">
        <f t="shared" si="85"/>
        <v>0</v>
      </c>
      <c r="AN183" s="85">
        <f t="shared" si="86"/>
        <v>169370.16412884212</v>
      </c>
      <c r="AO183" s="85">
        <f t="shared" si="94"/>
        <v>37034.292447997548</v>
      </c>
      <c r="AP183" s="85">
        <f t="shared" si="106"/>
        <v>46500.558215233643</v>
      </c>
      <c r="AQ183" s="84">
        <f t="shared" si="95"/>
        <v>515848.49117285584</v>
      </c>
      <c r="AR183" s="85">
        <f t="shared" si="96"/>
        <v>18517.146223998774</v>
      </c>
      <c r="AS183" s="84">
        <f t="shared" si="109"/>
        <v>30387.755000000001</v>
      </c>
      <c r="AT183" s="85">
        <f t="shared" si="97"/>
        <v>0</v>
      </c>
      <c r="AU183" s="84">
        <f t="shared" si="98"/>
        <v>564753.39239685459</v>
      </c>
      <c r="AV183" s="84">
        <f t="shared" si="87"/>
        <v>-564753.39239685459</v>
      </c>
      <c r="AW183" s="453"/>
      <c r="AX183" s="93">
        <f t="shared" si="80"/>
        <v>41883</v>
      </c>
      <c r="BA183" s="315"/>
      <c r="BB183" s="134">
        <f t="shared" si="99"/>
        <v>38.424998474121097</v>
      </c>
      <c r="BC183" s="134">
        <f>'Curve Analysis - Base Case'!D175</f>
        <v>47.62730822342602</v>
      </c>
      <c r="BD183" s="131">
        <f t="shared" si="100"/>
        <v>7.4145977981727007E-2</v>
      </c>
      <c r="BE183" s="131">
        <f t="shared" si="101"/>
        <v>7.4145977981727007E-2</v>
      </c>
      <c r="BF183" s="365">
        <f>PJM_01212000!X183</f>
        <v>0.1049903698757778</v>
      </c>
      <c r="BG183" s="85">
        <f t="shared" si="102"/>
        <v>5309</v>
      </c>
      <c r="BH183" s="84">
        <f t="shared" si="103"/>
        <v>0</v>
      </c>
      <c r="BJ183" s="537">
        <f>_xll.EURO(BB183,BC183,BD183,BE183,BF183,BG183,1,0)*BH183</f>
        <v>0</v>
      </c>
      <c r="BK183" s="84">
        <f t="shared" si="104"/>
        <v>0</v>
      </c>
      <c r="BM183" s="84">
        <f t="shared" si="105"/>
        <v>0</v>
      </c>
    </row>
    <row r="184" spans="1:65">
      <c r="A184" s="78">
        <f t="shared" si="77"/>
        <v>178</v>
      </c>
      <c r="C184" s="78">
        <v>31</v>
      </c>
      <c r="D184" s="78" t="s">
        <v>70</v>
      </c>
      <c r="E184" s="113">
        <f t="shared" si="78"/>
        <v>41913</v>
      </c>
      <c r="F184" s="85">
        <f t="shared" si="75"/>
        <v>23</v>
      </c>
      <c r="G184" s="84">
        <f t="shared" si="110"/>
        <v>8</v>
      </c>
      <c r="H184" s="84"/>
      <c r="I184" s="84"/>
      <c r="J184" s="78">
        <f t="shared" si="79"/>
        <v>31</v>
      </c>
      <c r="K184" s="149">
        <v>41913</v>
      </c>
      <c r="L184" s="508">
        <v>7.4140971418726012E-2</v>
      </c>
      <c r="M184" s="509">
        <v>6.4233525501164013E-2</v>
      </c>
      <c r="N184" s="132">
        <f t="shared" si="76"/>
        <v>0.34303499935244847</v>
      </c>
      <c r="O184" s="133">
        <f>VLOOKUP(K184,Inflation!$B$8:$C$266,2)</f>
        <v>1.4846642350887869</v>
      </c>
      <c r="P184" s="132"/>
      <c r="Q184" s="134">
        <f>VLOOKUP(K184,'Fuel Curve'!$B$11:$F$268,5)</f>
        <v>4.7553448275862067</v>
      </c>
      <c r="R184" s="238">
        <f>VLOOKUP(K184,'Fuel Curve Simulation'!$B$12:$J$258,9)</f>
        <v>4.7553448275862067</v>
      </c>
      <c r="S184" s="134">
        <f t="shared" si="83"/>
        <v>45.551448103448273</v>
      </c>
      <c r="T184" s="136"/>
      <c r="V184" s="135">
        <f>VLOOKUP(K184,PJM_01212000!$A$7:$C$259,3)</f>
        <v>31.075000381469728</v>
      </c>
      <c r="W184" s="486"/>
      <c r="X184" s="118">
        <f>'PJM Curve Simulation'!J184</f>
        <v>31.075000381469728</v>
      </c>
      <c r="Y184" s="512"/>
      <c r="Z184" s="137"/>
      <c r="AA184" s="78">
        <f t="shared" si="81"/>
        <v>315</v>
      </c>
      <c r="AB184" s="85">
        <f t="shared" si="84"/>
        <v>115920</v>
      </c>
      <c r="AC184" s="85">
        <f>VLOOKUP(K184,'Company Volumes'!$B$20:$C$259,2)</f>
        <v>3645.732708572888</v>
      </c>
      <c r="AD184" s="153">
        <f t="shared" si="88"/>
        <v>0</v>
      </c>
      <c r="AE184" s="150"/>
      <c r="AF184" s="150">
        <v>0</v>
      </c>
      <c r="AG184" s="150">
        <v>0</v>
      </c>
      <c r="AH184" s="150">
        <f t="shared" si="89"/>
        <v>0</v>
      </c>
      <c r="AI184" s="150">
        <f t="shared" si="90"/>
        <v>0</v>
      </c>
      <c r="AJ184" s="150">
        <f t="shared" si="91"/>
        <v>0</v>
      </c>
      <c r="AK184" s="85">
        <f t="shared" si="92"/>
        <v>74233.21175443934</v>
      </c>
      <c r="AL184" s="85">
        <f t="shared" si="93"/>
        <v>189294.68997382032</v>
      </c>
      <c r="AM184" s="85">
        <f t="shared" si="85"/>
        <v>0</v>
      </c>
      <c r="AN184" s="85">
        <f t="shared" si="86"/>
        <v>169746.61087848461</v>
      </c>
      <c r="AO184" s="85">
        <f t="shared" si="94"/>
        <v>37116.60587721967</v>
      </c>
      <c r="AP184" s="85">
        <f t="shared" si="106"/>
        <v>46500.558215233643</v>
      </c>
      <c r="AQ184" s="84">
        <f t="shared" si="95"/>
        <v>516891.6766991975</v>
      </c>
      <c r="AR184" s="85">
        <f t="shared" si="96"/>
        <v>18558.302938609835</v>
      </c>
      <c r="AS184" s="84">
        <f t="shared" si="109"/>
        <v>30387.755000000001</v>
      </c>
      <c r="AT184" s="85">
        <f t="shared" si="97"/>
        <v>0</v>
      </c>
      <c r="AU184" s="84">
        <f t="shared" si="98"/>
        <v>565837.73463780724</v>
      </c>
      <c r="AV184" s="84">
        <f t="shared" si="87"/>
        <v>-565837.73463780724</v>
      </c>
      <c r="AW184" s="453"/>
      <c r="AX184" s="93">
        <f t="shared" si="80"/>
        <v>41913</v>
      </c>
      <c r="BA184" s="315"/>
      <c r="BB184" s="134">
        <f t="shared" si="99"/>
        <v>31.075000381469728</v>
      </c>
      <c r="BC184" s="134">
        <f>'Curve Analysis - Base Case'!D176</f>
        <v>48.520776573625845</v>
      </c>
      <c r="BD184" s="131">
        <f t="shared" si="100"/>
        <v>7.4140971418726012E-2</v>
      </c>
      <c r="BE184" s="131">
        <f t="shared" si="101"/>
        <v>7.4140971418726012E-2</v>
      </c>
      <c r="BF184" s="365">
        <f>PJM_01212000!X184</f>
        <v>7.4243190126442857E-2</v>
      </c>
      <c r="BG184" s="85">
        <f t="shared" si="102"/>
        <v>5339</v>
      </c>
      <c r="BH184" s="84">
        <f t="shared" si="103"/>
        <v>0</v>
      </c>
      <c r="BJ184" s="537">
        <f>_xll.EURO(BB184,BC184,BD184,BE184,BF184,BG184,1,0)*BH184</f>
        <v>0</v>
      </c>
      <c r="BK184" s="84">
        <f t="shared" si="104"/>
        <v>0</v>
      </c>
      <c r="BM184" s="84">
        <f t="shared" si="105"/>
        <v>0</v>
      </c>
    </row>
    <row r="185" spans="1:65">
      <c r="A185" s="78">
        <f t="shared" si="77"/>
        <v>179</v>
      </c>
      <c r="C185" s="78">
        <v>30</v>
      </c>
      <c r="D185" s="78" t="s">
        <v>71</v>
      </c>
      <c r="E185" s="113">
        <f t="shared" si="78"/>
        <v>41944</v>
      </c>
      <c r="F185" s="85">
        <f t="shared" si="75"/>
        <v>21</v>
      </c>
      <c r="G185" s="84">
        <f t="shared" si="110"/>
        <v>9</v>
      </c>
      <c r="H185" s="84"/>
      <c r="I185" s="84"/>
      <c r="J185" s="78">
        <f t="shared" si="79"/>
        <v>30</v>
      </c>
      <c r="K185" s="149">
        <v>41944</v>
      </c>
      <c r="L185" s="508">
        <v>7.4135797970300024E-2</v>
      </c>
      <c r="M185" s="509">
        <v>6.4245137717660022E-2</v>
      </c>
      <c r="N185" s="132">
        <f t="shared" si="76"/>
        <v>0.34094714159934225</v>
      </c>
      <c r="O185" s="133">
        <f>VLOOKUP(K185,Inflation!$B$8:$C$266,2)</f>
        <v>1.487964090340651</v>
      </c>
      <c r="P185" s="132"/>
      <c r="Q185" s="134">
        <f>VLOOKUP(K185,'Fuel Curve'!$B$11:$F$268,5)</f>
        <v>4.8046551724137938</v>
      </c>
      <c r="R185" s="238">
        <f>VLOOKUP(K185,'Fuel Curve Simulation'!$B$12:$J$258,9)</f>
        <v>4.8046551724137938</v>
      </c>
      <c r="S185" s="134">
        <f t="shared" si="83"/>
        <v>46.023791896551728</v>
      </c>
      <c r="T185" s="136"/>
      <c r="V185" s="135">
        <f>VLOOKUP(K185,PJM_01212000!$A$7:$C$259,3)</f>
        <v>30.747499084472658</v>
      </c>
      <c r="W185" s="486"/>
      <c r="X185" s="118">
        <f>'PJM Curve Simulation'!J185</f>
        <v>30.747499084472658</v>
      </c>
      <c r="Y185" s="512"/>
      <c r="Z185" s="137"/>
      <c r="AA185" s="78">
        <f t="shared" si="81"/>
        <v>315</v>
      </c>
      <c r="AB185" s="85">
        <f t="shared" si="84"/>
        <v>105840</v>
      </c>
      <c r="AC185" s="85">
        <f>VLOOKUP(K185,'Company Volumes'!$B$20:$C$259,2)</f>
        <v>7981.5768698804441</v>
      </c>
      <c r="AD185" s="153">
        <f t="shared" si="88"/>
        <v>0</v>
      </c>
      <c r="AE185" s="150"/>
      <c r="AF185" s="150">
        <v>0</v>
      </c>
      <c r="AG185" s="150">
        <v>0</v>
      </c>
      <c r="AH185" s="150">
        <f t="shared" si="89"/>
        <v>0</v>
      </c>
      <c r="AI185" s="150">
        <f t="shared" si="90"/>
        <v>0</v>
      </c>
      <c r="AJ185" s="150">
        <f t="shared" si="91"/>
        <v>0</v>
      </c>
      <c r="AK185" s="85">
        <f t="shared" si="92"/>
        <v>74398.204517032558</v>
      </c>
      <c r="AL185" s="85">
        <f t="shared" si="93"/>
        <v>189715.42151843302</v>
      </c>
      <c r="AM185" s="85">
        <f t="shared" si="85"/>
        <v>0</v>
      </c>
      <c r="AN185" s="85">
        <f t="shared" si="86"/>
        <v>170123.89432894776</v>
      </c>
      <c r="AO185" s="85">
        <f t="shared" si="94"/>
        <v>37199.102258516279</v>
      </c>
      <c r="AP185" s="85">
        <f t="shared" si="106"/>
        <v>46500.558215233643</v>
      </c>
      <c r="AQ185" s="84">
        <f t="shared" si="95"/>
        <v>517937.18083816324</v>
      </c>
      <c r="AR185" s="85">
        <f t="shared" si="96"/>
        <v>18599.55112925814</v>
      </c>
      <c r="AS185" s="84">
        <f t="shared" si="109"/>
        <v>30387.755000000001</v>
      </c>
      <c r="AT185" s="85">
        <f t="shared" si="97"/>
        <v>0</v>
      </c>
      <c r="AU185" s="84">
        <f t="shared" si="98"/>
        <v>566924.48696742137</v>
      </c>
      <c r="AV185" s="84">
        <f t="shared" si="87"/>
        <v>-566924.48696742137</v>
      </c>
      <c r="AW185" s="453"/>
      <c r="AX185" s="93">
        <f t="shared" si="80"/>
        <v>41944</v>
      </c>
      <c r="BA185" s="315"/>
      <c r="BB185" s="134">
        <f t="shared" si="99"/>
        <v>30.747499084472658</v>
      </c>
      <c r="BC185" s="134">
        <f>'Curve Analysis - Base Case'!D177</f>
        <v>48.999720077233029</v>
      </c>
      <c r="BD185" s="131">
        <f t="shared" si="100"/>
        <v>7.4135797970300024E-2</v>
      </c>
      <c r="BE185" s="131">
        <f t="shared" si="101"/>
        <v>7.4135797970300024E-2</v>
      </c>
      <c r="BF185" s="365">
        <f>PJM_01212000!X185</f>
        <v>7.4243190126442857E-2</v>
      </c>
      <c r="BG185" s="85">
        <f t="shared" si="102"/>
        <v>5370</v>
      </c>
      <c r="BH185" s="84">
        <f t="shared" si="103"/>
        <v>0</v>
      </c>
      <c r="BJ185" s="537">
        <f>_xll.EURO(BB185,BC185,BD185,BE185,BF185,BG185,1,0)*BH185</f>
        <v>0</v>
      </c>
      <c r="BK185" s="84">
        <f t="shared" si="104"/>
        <v>0</v>
      </c>
      <c r="BM185" s="84">
        <f t="shared" si="105"/>
        <v>0</v>
      </c>
    </row>
    <row r="186" spans="1:65">
      <c r="A186" s="78">
        <f t="shared" si="77"/>
        <v>180</v>
      </c>
      <c r="C186" s="78">
        <v>31</v>
      </c>
      <c r="D186" s="78" t="s">
        <v>72</v>
      </c>
      <c r="E186" s="113">
        <f t="shared" si="78"/>
        <v>41974</v>
      </c>
      <c r="F186" s="85">
        <f t="shared" si="75"/>
        <v>22</v>
      </c>
      <c r="G186" s="84">
        <f t="shared" si="110"/>
        <v>9</v>
      </c>
      <c r="H186" s="84">
        <f>SUM(F175:G186)</f>
        <v>365</v>
      </c>
      <c r="I186" s="84"/>
      <c r="J186" s="78">
        <f t="shared" si="79"/>
        <v>31</v>
      </c>
      <c r="K186" s="149">
        <v>41974</v>
      </c>
      <c r="L186" s="508">
        <v>7.4130791407315016E-2</v>
      </c>
      <c r="M186" s="509">
        <v>6.4256375347420999E-2</v>
      </c>
      <c r="N186" s="132">
        <f t="shared" si="76"/>
        <v>0.33893900754314626</v>
      </c>
      <c r="O186" s="133">
        <f>VLOOKUP(K186,Inflation!$B$8:$C$266,2)</f>
        <v>1.4912712799408654</v>
      </c>
      <c r="P186" s="132"/>
      <c r="Q186" s="134">
        <f>VLOOKUP(K186,'Fuel Curve'!$B$11:$F$268,5)</f>
        <v>4.8474137931034491</v>
      </c>
      <c r="R186" s="238">
        <f>VLOOKUP(K186,'Fuel Curve Simulation'!$B$12:$J$258,9)</f>
        <v>4.8474137931034491</v>
      </c>
      <c r="S186" s="134">
        <f t="shared" si="83"/>
        <v>46.433376724137936</v>
      </c>
      <c r="T186" s="136"/>
      <c r="V186" s="135">
        <f>VLOOKUP(K186,PJM_01212000!$A$7:$C$259,3)</f>
        <v>32.499999618530275</v>
      </c>
      <c r="W186" s="486"/>
      <c r="X186" s="118">
        <f>'PJM Curve Simulation'!J186</f>
        <v>32.499999618530275</v>
      </c>
      <c r="Y186" s="512"/>
      <c r="Z186" s="137"/>
      <c r="AA186" s="78">
        <f t="shared" si="81"/>
        <v>315</v>
      </c>
      <c r="AB186" s="85">
        <f t="shared" si="84"/>
        <v>110880</v>
      </c>
      <c r="AC186" s="85">
        <f>VLOOKUP(K186,'Company Volumes'!$B$20:$C$259,2)</f>
        <v>7981.5768698804441</v>
      </c>
      <c r="AD186" s="153">
        <f t="shared" si="88"/>
        <v>0</v>
      </c>
      <c r="AE186" s="150"/>
      <c r="AF186" s="150">
        <v>0</v>
      </c>
      <c r="AG186" s="150">
        <v>0</v>
      </c>
      <c r="AH186" s="150">
        <f t="shared" si="89"/>
        <v>0</v>
      </c>
      <c r="AI186" s="150">
        <f t="shared" si="90"/>
        <v>0</v>
      </c>
      <c r="AJ186" s="150">
        <f t="shared" si="91"/>
        <v>0</v>
      </c>
      <c r="AK186" s="85">
        <f t="shared" si="92"/>
        <v>74563.563997043268</v>
      </c>
      <c r="AL186" s="85">
        <f t="shared" si="93"/>
        <v>190137.08819246033</v>
      </c>
      <c r="AM186" s="85">
        <f t="shared" si="85"/>
        <v>0</v>
      </c>
      <c r="AN186" s="85">
        <f t="shared" si="86"/>
        <v>170502.01633990562</v>
      </c>
      <c r="AO186" s="85">
        <f t="shared" si="94"/>
        <v>37281.781998521634</v>
      </c>
      <c r="AP186" s="85">
        <f t="shared" si="106"/>
        <v>46500.558215233643</v>
      </c>
      <c r="AQ186" s="84">
        <f t="shared" si="95"/>
        <v>518985.00874316448</v>
      </c>
      <c r="AR186" s="85">
        <f t="shared" si="96"/>
        <v>18640.890999260817</v>
      </c>
      <c r="AS186" s="84">
        <f t="shared" si="109"/>
        <v>30387.755000000001</v>
      </c>
      <c r="AT186" s="85">
        <f t="shared" si="97"/>
        <v>0</v>
      </c>
      <c r="AU186" s="84">
        <f t="shared" si="98"/>
        <v>568013.65474242519</v>
      </c>
      <c r="AV186" s="84">
        <f t="shared" si="87"/>
        <v>-568013.65474242519</v>
      </c>
      <c r="AW186" s="453"/>
      <c r="AX186" s="93">
        <f t="shared" si="80"/>
        <v>41974</v>
      </c>
      <c r="AY186" s="85">
        <f ca="1">'Debt Amortization'!V8</f>
        <v>7065672.448256799</v>
      </c>
      <c r="AZ186" s="85">
        <f ca="1">AY186*N186</f>
        <v>2394832.0072371121</v>
      </c>
      <c r="BA186" s="315"/>
      <c r="BB186" s="134">
        <f t="shared" si="99"/>
        <v>32.499999618530275</v>
      </c>
      <c r="BC186" s="134">
        <f>'Curve Analysis - Base Case'!D178</f>
        <v>49.415919284019665</v>
      </c>
      <c r="BD186" s="131">
        <f t="shared" si="100"/>
        <v>7.4130791407315016E-2</v>
      </c>
      <c r="BE186" s="131">
        <f t="shared" si="101"/>
        <v>7.4130791407315016E-2</v>
      </c>
      <c r="BF186" s="365">
        <f>PJM_01212000!X186</f>
        <v>7.4243190126442857E-2</v>
      </c>
      <c r="BG186" s="85">
        <f t="shared" si="102"/>
        <v>5400</v>
      </c>
      <c r="BH186" s="84">
        <f t="shared" si="103"/>
        <v>0</v>
      </c>
      <c r="BJ186" s="537">
        <f>_xll.EURO(BB186,BC186,BD186,BE186,BF186,BG186,1,0)*BH186</f>
        <v>0</v>
      </c>
      <c r="BK186" s="84">
        <f t="shared" si="104"/>
        <v>0</v>
      </c>
      <c r="BM186" s="84">
        <f t="shared" si="105"/>
        <v>0</v>
      </c>
    </row>
    <row r="187" spans="1:65">
      <c r="A187" s="78">
        <f t="shared" si="77"/>
        <v>181</v>
      </c>
      <c r="C187" s="78">
        <v>31</v>
      </c>
      <c r="D187" s="78" t="s">
        <v>62</v>
      </c>
      <c r="E187" s="113">
        <f t="shared" si="78"/>
        <v>42005</v>
      </c>
      <c r="F187" s="85">
        <f t="shared" si="75"/>
        <v>23</v>
      </c>
      <c r="G187" s="84">
        <f>C187-F187</f>
        <v>8</v>
      </c>
      <c r="H187" s="84"/>
      <c r="I187" s="84"/>
      <c r="J187" s="78">
        <f t="shared" si="79"/>
        <v>31</v>
      </c>
      <c r="K187" s="149">
        <v>42005</v>
      </c>
      <c r="L187" s="508">
        <v>7.4125617958907028E-2</v>
      </c>
      <c r="M187" s="509">
        <v>6.4267987565764018E-2</v>
      </c>
      <c r="N187" s="132">
        <f t="shared" si="76"/>
        <v>0.3368766411945725</v>
      </c>
      <c r="O187" s="133">
        <f>VLOOKUP(K187,Inflation!$B$8:$C$266,2)</f>
        <v>1.494585820190953</v>
      </c>
      <c r="P187" s="132"/>
      <c r="Q187" s="134">
        <f>VLOOKUP(K187,'Fuel Curve'!$B$11:$F$268,5)</f>
        <v>4.7901724137931048</v>
      </c>
      <c r="R187" s="238">
        <f>VLOOKUP(K187,'Fuel Curve Simulation'!$B$12:$J$258,9)</f>
        <v>4.7901724137931048</v>
      </c>
      <c r="S187" s="134">
        <f t="shared" si="83"/>
        <v>45.885061551724156</v>
      </c>
      <c r="T187" s="136"/>
      <c r="V187" s="135">
        <f>VLOOKUP(K187,PJM_01212000!$A$7:$C$259,3)</f>
        <v>41.074998474121088</v>
      </c>
      <c r="W187" s="486"/>
      <c r="X187" s="118">
        <f>'PJM Curve Simulation'!J187</f>
        <v>41.074998474121088</v>
      </c>
      <c r="Y187" s="512"/>
      <c r="Z187" s="137"/>
      <c r="AA187" s="78">
        <f t="shared" si="81"/>
        <v>315</v>
      </c>
      <c r="AB187" s="85">
        <f t="shared" si="84"/>
        <v>115920</v>
      </c>
      <c r="AC187" s="85">
        <f>VLOOKUP(K187,'Company Volumes'!$B$20:$C$259,2)</f>
        <v>14630.45796802489</v>
      </c>
      <c r="AD187" s="153">
        <f t="shared" si="88"/>
        <v>0</v>
      </c>
      <c r="AE187" s="150"/>
      <c r="AF187" s="150">
        <v>0</v>
      </c>
      <c r="AG187" s="150">
        <v>0</v>
      </c>
      <c r="AH187" s="150">
        <f t="shared" si="89"/>
        <v>0</v>
      </c>
      <c r="AI187" s="150">
        <f t="shared" si="90"/>
        <v>0</v>
      </c>
      <c r="AJ187" s="150">
        <f t="shared" si="91"/>
        <v>0</v>
      </c>
      <c r="AK187" s="85">
        <f t="shared" si="92"/>
        <v>74729.29100954764</v>
      </c>
      <c r="AL187" s="85">
        <f t="shared" si="93"/>
        <v>190559.6920743465</v>
      </c>
      <c r="AM187" s="85">
        <f t="shared" si="85"/>
        <v>0</v>
      </c>
      <c r="AN187" s="85">
        <f t="shared" si="86"/>
        <v>170880.97877516563</v>
      </c>
      <c r="AO187" s="85">
        <f t="shared" si="94"/>
        <v>37364.64550477382</v>
      </c>
      <c r="AP187" s="85">
        <f t="shared" si="106"/>
        <v>46500.558215233643</v>
      </c>
      <c r="AQ187" s="84">
        <f t="shared" si="95"/>
        <v>520035.16557906719</v>
      </c>
      <c r="AR187" s="85">
        <f t="shared" si="96"/>
        <v>18682.32275238691</v>
      </c>
      <c r="AS187" s="84">
        <f t="shared" si="109"/>
        <v>30387.755000000001</v>
      </c>
      <c r="AT187" s="85">
        <f t="shared" si="97"/>
        <v>0</v>
      </c>
      <c r="AU187" s="84">
        <f t="shared" si="98"/>
        <v>569105.24333145388</v>
      </c>
      <c r="AV187" s="84">
        <f t="shared" si="87"/>
        <v>-569105.24333145388</v>
      </c>
      <c r="AW187" s="453"/>
      <c r="AX187" s="93">
        <f t="shared" si="80"/>
        <v>42005</v>
      </c>
      <c r="BA187" s="315"/>
      <c r="BB187" s="134">
        <f t="shared" si="99"/>
        <v>41.074998474121088</v>
      </c>
      <c r="BC187" s="134">
        <f>'Curve Analysis - Base Case'!D179</f>
        <v>48.874233192106061</v>
      </c>
      <c r="BD187" s="131">
        <f t="shared" si="100"/>
        <v>7.4125617958907028E-2</v>
      </c>
      <c r="BE187" s="131">
        <f t="shared" si="101"/>
        <v>7.4125617958907028E-2</v>
      </c>
      <c r="BF187" s="365">
        <f>PJM_01212000!X187</f>
        <v>0.11403754003421628</v>
      </c>
      <c r="BG187" s="85">
        <f t="shared" si="102"/>
        <v>5431</v>
      </c>
      <c r="BH187" s="84">
        <f t="shared" si="103"/>
        <v>0</v>
      </c>
      <c r="BJ187" s="537">
        <f>_xll.EURO(BB187,BC187,BD187,BE187,BF187,BG187,1,0)*BH187</f>
        <v>0</v>
      </c>
      <c r="BK187" s="84">
        <f t="shared" si="104"/>
        <v>0</v>
      </c>
      <c r="BM187" s="84">
        <f t="shared" si="105"/>
        <v>0</v>
      </c>
    </row>
    <row r="188" spans="1:65">
      <c r="A188" s="78">
        <f t="shared" si="77"/>
        <v>182</v>
      </c>
      <c r="C188" s="78">
        <v>28</v>
      </c>
      <c r="D188" s="78" t="s">
        <v>63</v>
      </c>
      <c r="E188" s="113">
        <f t="shared" si="78"/>
        <v>42036</v>
      </c>
      <c r="F188" s="85">
        <f t="shared" si="75"/>
        <v>20</v>
      </c>
      <c r="G188" s="84">
        <f t="shared" ref="G188:G198" si="111">C188-F188</f>
        <v>8</v>
      </c>
      <c r="H188" s="84"/>
      <c r="I188" s="84"/>
      <c r="J188" s="78">
        <f t="shared" si="79"/>
        <v>28</v>
      </c>
      <c r="K188" s="149">
        <v>42036</v>
      </c>
      <c r="L188" s="508">
        <v>7.4120444510507005E-2</v>
      </c>
      <c r="M188" s="509">
        <v>6.427959978504702E-2</v>
      </c>
      <c r="N188" s="132">
        <f t="shared" si="76"/>
        <v>0.33482710746448036</v>
      </c>
      <c r="O188" s="133">
        <f>VLOOKUP(K188,Inflation!$B$8:$C$266,2)</f>
        <v>1.4979077274286685</v>
      </c>
      <c r="P188" s="132"/>
      <c r="Q188" s="134">
        <f>VLOOKUP(K188,'Fuel Curve'!$B$11:$F$268,5)</f>
        <v>4.6910344827586217</v>
      </c>
      <c r="R188" s="238">
        <f>VLOOKUP(K188,'Fuel Curve Simulation'!$B$12:$J$258,9)</f>
        <v>4.6910344827586217</v>
      </c>
      <c r="S188" s="134">
        <f t="shared" si="83"/>
        <v>44.935419310344834</v>
      </c>
      <c r="T188" s="136"/>
      <c r="V188" s="135">
        <f>VLOOKUP(K188,PJM_01212000!$A$7:$C$259,3)</f>
        <v>41.074998474121088</v>
      </c>
      <c r="W188" s="486"/>
      <c r="X188" s="118">
        <f>'PJM Curve Simulation'!J188</f>
        <v>41.074998474121088</v>
      </c>
      <c r="Y188" s="512"/>
      <c r="Z188" s="137"/>
      <c r="AA188" s="78">
        <f t="shared" si="81"/>
        <v>315</v>
      </c>
      <c r="AB188" s="85">
        <f t="shared" si="84"/>
        <v>100800</v>
      </c>
      <c r="AC188" s="85">
        <f>VLOOKUP(K188,'Company Volumes'!$B$20:$C$259,2)</f>
        <v>450.0668593648889</v>
      </c>
      <c r="AD188" s="153">
        <f t="shared" si="88"/>
        <v>0</v>
      </c>
      <c r="AE188" s="150"/>
      <c r="AF188" s="150">
        <v>0</v>
      </c>
      <c r="AG188" s="150">
        <v>0</v>
      </c>
      <c r="AH188" s="150">
        <f t="shared" si="89"/>
        <v>0</v>
      </c>
      <c r="AI188" s="150">
        <f t="shared" si="90"/>
        <v>0</v>
      </c>
      <c r="AJ188" s="150">
        <f t="shared" si="91"/>
        <v>0</v>
      </c>
      <c r="AK188" s="85">
        <f t="shared" si="92"/>
        <v>74895.386371433429</v>
      </c>
      <c r="AL188" s="85">
        <f t="shared" si="93"/>
        <v>190983.23524715521</v>
      </c>
      <c r="AM188" s="85">
        <f t="shared" si="85"/>
        <v>0</v>
      </c>
      <c r="AN188" s="85">
        <f t="shared" si="86"/>
        <v>171260.78350267778</v>
      </c>
      <c r="AO188" s="85">
        <f t="shared" si="94"/>
        <v>37447.693185716715</v>
      </c>
      <c r="AP188" s="85">
        <f t="shared" si="106"/>
        <v>46500.558215233643</v>
      </c>
      <c r="AQ188" s="84">
        <f t="shared" si="95"/>
        <v>521087.65652221674</v>
      </c>
      <c r="AR188" s="85">
        <f t="shared" si="96"/>
        <v>18723.846592858357</v>
      </c>
      <c r="AS188" s="84">
        <f t="shared" si="109"/>
        <v>30387.755000000001</v>
      </c>
      <c r="AT188" s="85">
        <f t="shared" si="97"/>
        <v>0</v>
      </c>
      <c r="AU188" s="84">
        <f t="shared" si="98"/>
        <v>570199.25811507506</v>
      </c>
      <c r="AV188" s="84">
        <f t="shared" si="87"/>
        <v>-570199.25811507506</v>
      </c>
      <c r="AW188" s="453"/>
      <c r="AX188" s="93">
        <f t="shared" si="80"/>
        <v>42036</v>
      </c>
      <c r="BA188" s="315"/>
      <c r="BB188" s="134">
        <f t="shared" si="99"/>
        <v>41.074998474121088</v>
      </c>
      <c r="BC188" s="134">
        <f>'Curve Analysis - Base Case'!D180</f>
        <v>47.93123476520217</v>
      </c>
      <c r="BD188" s="131">
        <f t="shared" si="100"/>
        <v>7.4120444510507005E-2</v>
      </c>
      <c r="BE188" s="131">
        <f t="shared" si="101"/>
        <v>7.4120444510507005E-2</v>
      </c>
      <c r="BF188" s="365">
        <f>PJM_01212000!X188</f>
        <v>0.11403754003421628</v>
      </c>
      <c r="BG188" s="85">
        <f t="shared" si="102"/>
        <v>5462</v>
      </c>
      <c r="BH188" s="84">
        <f t="shared" si="103"/>
        <v>0</v>
      </c>
      <c r="BJ188" s="537">
        <f>_xll.EURO(BB188,BC188,BD188,BE188,BF188,BG188,1,0)*BH188</f>
        <v>0</v>
      </c>
      <c r="BK188" s="84">
        <f t="shared" si="104"/>
        <v>0</v>
      </c>
      <c r="BM188" s="84">
        <f t="shared" si="105"/>
        <v>0</v>
      </c>
    </row>
    <row r="189" spans="1:65">
      <c r="A189" s="78">
        <f t="shared" si="77"/>
        <v>183</v>
      </c>
      <c r="C189" s="78">
        <v>31</v>
      </c>
      <c r="D189" s="78" t="s">
        <v>64</v>
      </c>
      <c r="E189" s="113">
        <f t="shared" si="78"/>
        <v>42064</v>
      </c>
      <c r="F189" s="85">
        <f t="shared" si="75"/>
        <v>21</v>
      </c>
      <c r="G189" s="84">
        <f t="shared" si="111"/>
        <v>10</v>
      </c>
      <c r="H189" s="84"/>
      <c r="I189" s="84"/>
      <c r="J189" s="78">
        <f t="shared" si="79"/>
        <v>31</v>
      </c>
      <c r="K189" s="149">
        <v>42064</v>
      </c>
      <c r="L189" s="508">
        <v>7.4115771718412007E-2</v>
      </c>
      <c r="M189" s="509">
        <v>6.4290088241980001E-2</v>
      </c>
      <c r="N189" s="132">
        <f t="shared" si="76"/>
        <v>0.33298687778825248</v>
      </c>
      <c r="O189" s="133">
        <f>VLOOKUP(K189,Inflation!$B$8:$C$266,2)</f>
        <v>1.5012370180280799</v>
      </c>
      <c r="P189" s="132"/>
      <c r="Q189" s="134">
        <f>VLOOKUP(K189,'Fuel Curve'!$B$11:$F$268,5)</f>
        <v>4.5939655172413802</v>
      </c>
      <c r="R189" s="238">
        <f>VLOOKUP(K189,'Fuel Curve Simulation'!$B$12:$J$258,9)</f>
        <v>4.5939655172413802</v>
      </c>
      <c r="S189" s="134">
        <f t="shared" si="83"/>
        <v>44.005595689655181</v>
      </c>
      <c r="T189" s="136"/>
      <c r="V189" s="135">
        <f>VLOOKUP(K189,PJM_01212000!$A$7:$C$259,3)</f>
        <v>30.800000762939455</v>
      </c>
      <c r="W189" s="486"/>
      <c r="X189" s="118">
        <f>'PJM Curve Simulation'!J189</f>
        <v>30.800000762939455</v>
      </c>
      <c r="Y189" s="512"/>
      <c r="Z189" s="137"/>
      <c r="AA189" s="78">
        <f t="shared" si="81"/>
        <v>315</v>
      </c>
      <c r="AB189" s="85">
        <f t="shared" si="84"/>
        <v>105840</v>
      </c>
      <c r="AC189" s="85">
        <f>VLOOKUP(K189,'Company Volumes'!$B$20:$C$259,2)</f>
        <v>450.0668593648889</v>
      </c>
      <c r="AD189" s="153">
        <f t="shared" si="88"/>
        <v>0</v>
      </c>
      <c r="AE189" s="150"/>
      <c r="AF189" s="150">
        <v>0</v>
      </c>
      <c r="AG189" s="150">
        <v>0</v>
      </c>
      <c r="AH189" s="150">
        <f t="shared" si="89"/>
        <v>0</v>
      </c>
      <c r="AI189" s="150">
        <f t="shared" si="90"/>
        <v>0</v>
      </c>
      <c r="AJ189" s="150">
        <f t="shared" si="91"/>
        <v>0</v>
      </c>
      <c r="AK189" s="85">
        <f t="shared" si="92"/>
        <v>75061.850901403988</v>
      </c>
      <c r="AL189" s="85">
        <f t="shared" si="93"/>
        <v>191407.71979858019</v>
      </c>
      <c r="AM189" s="85">
        <f t="shared" si="85"/>
        <v>0</v>
      </c>
      <c r="AN189" s="85">
        <f t="shared" si="86"/>
        <v>171641.43239454378</v>
      </c>
      <c r="AO189" s="85">
        <f t="shared" si="94"/>
        <v>37530.925450701994</v>
      </c>
      <c r="AP189" s="85">
        <f t="shared" si="106"/>
        <v>46500.558215233643</v>
      </c>
      <c r="AQ189" s="84">
        <f t="shared" si="95"/>
        <v>522142.48676046357</v>
      </c>
      <c r="AR189" s="85">
        <f t="shared" si="96"/>
        <v>18765.462725350997</v>
      </c>
      <c r="AS189" s="84">
        <f t="shared" si="109"/>
        <v>30387.755000000001</v>
      </c>
      <c r="AT189" s="85">
        <f t="shared" si="97"/>
        <v>0</v>
      </c>
      <c r="AU189" s="84">
        <f t="shared" si="98"/>
        <v>571295.70448581455</v>
      </c>
      <c r="AV189" s="84">
        <f t="shared" si="87"/>
        <v>-571295.70448581455</v>
      </c>
      <c r="AW189" s="453"/>
      <c r="AX189" s="93">
        <f t="shared" si="80"/>
        <v>42064</v>
      </c>
      <c r="BA189" s="315"/>
      <c r="BB189" s="134">
        <f t="shared" si="99"/>
        <v>30.800000762939455</v>
      </c>
      <c r="BC189" s="134">
        <f>'Curve Analysis - Base Case'!D181</f>
        <v>47.008069725711337</v>
      </c>
      <c r="BD189" s="131">
        <f t="shared" si="100"/>
        <v>7.4115771718412007E-2</v>
      </c>
      <c r="BE189" s="131">
        <f t="shared" si="101"/>
        <v>7.4115771718412007E-2</v>
      </c>
      <c r="BF189" s="365">
        <f>PJM_01212000!X189</f>
        <v>9.503128336184688E-2</v>
      </c>
      <c r="BG189" s="85">
        <f t="shared" si="102"/>
        <v>5490</v>
      </c>
      <c r="BH189" s="84">
        <f t="shared" si="103"/>
        <v>0</v>
      </c>
      <c r="BJ189" s="537">
        <f>_xll.EURO(BB189,BC189,BD189,BE189,BF189,BG189,1,0)*BH189</f>
        <v>0</v>
      </c>
      <c r="BK189" s="84">
        <f t="shared" si="104"/>
        <v>0</v>
      </c>
      <c r="BM189" s="84">
        <f t="shared" si="105"/>
        <v>0</v>
      </c>
    </row>
    <row r="190" spans="1:65">
      <c r="A190" s="78">
        <f t="shared" si="77"/>
        <v>184</v>
      </c>
      <c r="C190" s="78">
        <v>30</v>
      </c>
      <c r="D190" s="78" t="s">
        <v>65</v>
      </c>
      <c r="E190" s="113">
        <f t="shared" si="78"/>
        <v>42095</v>
      </c>
      <c r="F190" s="85">
        <f t="shared" si="75"/>
        <v>22</v>
      </c>
      <c r="G190" s="84">
        <f t="shared" si="111"/>
        <v>8</v>
      </c>
      <c r="H190" s="84"/>
      <c r="I190" s="84"/>
      <c r="J190" s="78">
        <f t="shared" si="79"/>
        <v>30</v>
      </c>
      <c r="K190" s="149">
        <v>42095</v>
      </c>
      <c r="L190" s="508">
        <v>7.4110598270029013E-2</v>
      </c>
      <c r="M190" s="509">
        <v>6.4301700463050018E-2</v>
      </c>
      <c r="N190" s="132">
        <f t="shared" si="76"/>
        <v>0.33096154261337851</v>
      </c>
      <c r="O190" s="133">
        <f>VLOOKUP(K190,Inflation!$B$8:$C$266,2)</f>
        <v>1.5045737083996484</v>
      </c>
      <c r="P190" s="132"/>
      <c r="Q190" s="134">
        <f>VLOOKUP(K190,'Fuel Curve'!$B$11:$F$268,5)</f>
        <v>4.4939655172413797</v>
      </c>
      <c r="R190" s="238">
        <f>VLOOKUP(K190,'Fuel Curve Simulation'!$B$12:$J$258,9)</f>
        <v>4.4939655172413797</v>
      </c>
      <c r="S190" s="134">
        <f t="shared" si="83"/>
        <v>43.047695689655178</v>
      </c>
      <c r="T190" s="136"/>
      <c r="V190" s="135">
        <f>VLOOKUP(K190,PJM_01212000!$A$7:$C$259,3)</f>
        <v>30.575000762939453</v>
      </c>
      <c r="W190" s="486"/>
      <c r="X190" s="118">
        <f>'PJM Curve Simulation'!J190</f>
        <v>30.575000762939453</v>
      </c>
      <c r="Y190" s="512"/>
      <c r="Z190" s="137"/>
      <c r="AA190" s="78">
        <f t="shared" si="81"/>
        <v>315</v>
      </c>
      <c r="AB190" s="85">
        <f t="shared" si="84"/>
        <v>110880</v>
      </c>
      <c r="AC190" s="85">
        <f>VLOOKUP(K190,'Company Volumes'!$B$20:$C$259,2)</f>
        <v>7389.9226365004442</v>
      </c>
      <c r="AD190" s="153">
        <f t="shared" si="88"/>
        <v>0</v>
      </c>
      <c r="AE190" s="150"/>
      <c r="AF190" s="150">
        <v>0</v>
      </c>
      <c r="AG190" s="150">
        <v>0</v>
      </c>
      <c r="AH190" s="150">
        <f t="shared" si="89"/>
        <v>0</v>
      </c>
      <c r="AI190" s="150">
        <f t="shared" si="90"/>
        <v>0</v>
      </c>
      <c r="AJ190" s="150">
        <f t="shared" si="91"/>
        <v>0</v>
      </c>
      <c r="AK190" s="85">
        <f t="shared" si="92"/>
        <v>75228.68541998243</v>
      </c>
      <c r="AL190" s="85">
        <f t="shared" si="93"/>
        <v>191833.14782095517</v>
      </c>
      <c r="AM190" s="85">
        <f t="shared" si="85"/>
        <v>0</v>
      </c>
      <c r="AN190" s="85">
        <f t="shared" si="86"/>
        <v>172022.92732702647</v>
      </c>
      <c r="AO190" s="85">
        <f t="shared" si="94"/>
        <v>37614.342709991215</v>
      </c>
      <c r="AP190" s="85">
        <f t="shared" si="106"/>
        <v>46500.558215233643</v>
      </c>
      <c r="AQ190" s="84">
        <f t="shared" si="95"/>
        <v>523199.66149318893</v>
      </c>
      <c r="AR190" s="85">
        <f t="shared" si="96"/>
        <v>18807.171354995608</v>
      </c>
      <c r="AS190" s="84">
        <f t="shared" si="109"/>
        <v>30387.755000000001</v>
      </c>
      <c r="AT190" s="85">
        <f t="shared" si="97"/>
        <v>0</v>
      </c>
      <c r="AU190" s="84">
        <f t="shared" si="98"/>
        <v>572394.5878481844</v>
      </c>
      <c r="AV190" s="84">
        <f t="shared" si="87"/>
        <v>-572394.5878481844</v>
      </c>
      <c r="AW190" s="453"/>
      <c r="AX190" s="93">
        <f t="shared" si="80"/>
        <v>42095</v>
      </c>
      <c r="BA190" s="315"/>
      <c r="BB190" s="134">
        <f t="shared" si="99"/>
        <v>30.575000762939453</v>
      </c>
      <c r="BC190" s="134">
        <f>'Curve Analysis - Base Case'!D182</f>
        <v>46.056843106454473</v>
      </c>
      <c r="BD190" s="131">
        <f t="shared" si="100"/>
        <v>7.4110598270029013E-2</v>
      </c>
      <c r="BE190" s="131">
        <f t="shared" si="101"/>
        <v>7.4110598270029013E-2</v>
      </c>
      <c r="BF190" s="365">
        <f>PJM_01212000!X190</f>
        <v>9.0279719193754535E-2</v>
      </c>
      <c r="BG190" s="85">
        <f t="shared" si="102"/>
        <v>5521</v>
      </c>
      <c r="BH190" s="84">
        <f t="shared" si="103"/>
        <v>0</v>
      </c>
      <c r="BJ190" s="537">
        <f>_xll.EURO(BB190,BC190,BD190,BE190,BF190,BG190,1,0)*BH190</f>
        <v>0</v>
      </c>
      <c r="BK190" s="84">
        <f t="shared" si="104"/>
        <v>0</v>
      </c>
      <c r="BM190" s="84">
        <f t="shared" si="105"/>
        <v>0</v>
      </c>
    </row>
    <row r="191" spans="1:65">
      <c r="A191" s="78">
        <f t="shared" si="77"/>
        <v>185</v>
      </c>
      <c r="C191" s="78">
        <v>31</v>
      </c>
      <c r="D191" s="78" t="s">
        <v>38</v>
      </c>
      <c r="E191" s="113">
        <f t="shared" si="78"/>
        <v>42125</v>
      </c>
      <c r="F191" s="85">
        <f t="shared" si="75"/>
        <v>22</v>
      </c>
      <c r="G191" s="84">
        <f t="shared" si="111"/>
        <v>9</v>
      </c>
      <c r="H191" s="84"/>
      <c r="I191" s="84"/>
      <c r="J191" s="78">
        <f t="shared" si="79"/>
        <v>31</v>
      </c>
      <c r="K191" s="149">
        <v>42125</v>
      </c>
      <c r="L191" s="508">
        <v>7.4105591707086013E-2</v>
      </c>
      <c r="M191" s="509">
        <v>6.431293809723701E-2</v>
      </c>
      <c r="N191" s="132">
        <f t="shared" si="76"/>
        <v>0.32901353602259137</v>
      </c>
      <c r="O191" s="133">
        <f>VLOOKUP(K191,Inflation!$B$8:$C$266,2)</f>
        <v>1.5079178149903096</v>
      </c>
      <c r="P191" s="132"/>
      <c r="Q191" s="134">
        <f>VLOOKUP(K191,'Fuel Curve'!$B$11:$F$268,5)</f>
        <v>4.4267241379310347</v>
      </c>
      <c r="R191" s="238">
        <f>VLOOKUP(K191,'Fuel Curve Simulation'!$B$12:$J$258,9)</f>
        <v>4.4267241379310347</v>
      </c>
      <c r="S191" s="134">
        <f t="shared" si="83"/>
        <v>42.403590517241383</v>
      </c>
      <c r="T191" s="136"/>
      <c r="V191" s="135">
        <f>VLOOKUP(K191,PJM_01212000!$A$7:$C$259,3)</f>
        <v>38.575000000000003</v>
      </c>
      <c r="W191" s="486"/>
      <c r="X191" s="118">
        <f>'PJM Curve Simulation'!J191</f>
        <v>38.575000000000003</v>
      </c>
      <c r="Y191" s="512"/>
      <c r="Z191" s="137"/>
      <c r="AA191" s="78">
        <f t="shared" si="81"/>
        <v>315</v>
      </c>
      <c r="AB191" s="85">
        <f t="shared" si="84"/>
        <v>110880</v>
      </c>
      <c r="AC191" s="85">
        <f>VLOOKUP(K191,'Company Volumes'!$B$20:$C$259,2)</f>
        <v>16992.538731998669</v>
      </c>
      <c r="AD191" s="153">
        <f t="shared" si="88"/>
        <v>0</v>
      </c>
      <c r="AE191" s="150"/>
      <c r="AF191" s="150">
        <v>0</v>
      </c>
      <c r="AG191" s="150">
        <v>0</v>
      </c>
      <c r="AH191" s="150">
        <f t="shared" si="89"/>
        <v>0</v>
      </c>
      <c r="AI191" s="150">
        <f t="shared" si="90"/>
        <v>0</v>
      </c>
      <c r="AJ191" s="150">
        <f t="shared" si="91"/>
        <v>0</v>
      </c>
      <c r="AK191" s="85">
        <f t="shared" si="92"/>
        <v>75395.890749515485</v>
      </c>
      <c r="AL191" s="85">
        <f t="shared" si="93"/>
        <v>192259.52141126446</v>
      </c>
      <c r="AM191" s="85">
        <f t="shared" si="85"/>
        <v>0</v>
      </c>
      <c r="AN191" s="85">
        <f t="shared" si="86"/>
        <v>172405.27018055876</v>
      </c>
      <c r="AO191" s="85">
        <f t="shared" si="94"/>
        <v>37697.945374757743</v>
      </c>
      <c r="AP191" s="85">
        <f t="shared" si="106"/>
        <v>46500.558215233643</v>
      </c>
      <c r="AQ191" s="84">
        <f t="shared" si="95"/>
        <v>524259.18593133008</v>
      </c>
      <c r="AR191" s="85">
        <f t="shared" si="96"/>
        <v>18848.972687378871</v>
      </c>
      <c r="AS191" s="84">
        <f t="shared" si="109"/>
        <v>30387.755000000001</v>
      </c>
      <c r="AT191" s="85">
        <f t="shared" si="97"/>
        <v>0</v>
      </c>
      <c r="AU191" s="84">
        <f t="shared" si="98"/>
        <v>573495.91361870873</v>
      </c>
      <c r="AV191" s="84">
        <f t="shared" si="87"/>
        <v>-573495.91361870873</v>
      </c>
      <c r="AW191" s="453"/>
      <c r="AX191" s="93">
        <f t="shared" si="80"/>
        <v>42125</v>
      </c>
      <c r="BA191" s="315"/>
      <c r="BB191" s="134">
        <f t="shared" si="99"/>
        <v>38.575000000000003</v>
      </c>
      <c r="BC191" s="134">
        <f>'Curve Analysis - Base Case'!D183</f>
        <v>45.419426147222005</v>
      </c>
      <c r="BD191" s="131">
        <f t="shared" si="100"/>
        <v>7.4105591707086013E-2</v>
      </c>
      <c r="BE191" s="131">
        <f t="shared" si="101"/>
        <v>7.4105591707086013E-2</v>
      </c>
      <c r="BF191" s="365">
        <f>PJM_01212000!X191</f>
        <v>9.9782847529939211E-2</v>
      </c>
      <c r="BG191" s="85">
        <f t="shared" si="102"/>
        <v>5551</v>
      </c>
      <c r="BH191" s="84">
        <f t="shared" si="103"/>
        <v>0</v>
      </c>
      <c r="BJ191" s="537">
        <f>_xll.EURO(BB191,BC191,BD191,BE191,BF191,BG191,1,0)*BH191</f>
        <v>0</v>
      </c>
      <c r="BK191" s="84">
        <f t="shared" si="104"/>
        <v>0</v>
      </c>
      <c r="BM191" s="84">
        <f t="shared" si="105"/>
        <v>0</v>
      </c>
    </row>
    <row r="192" spans="1:65">
      <c r="A192" s="78">
        <f t="shared" si="77"/>
        <v>186</v>
      </c>
      <c r="C192" s="78">
        <v>30</v>
      </c>
      <c r="D192" s="78" t="s">
        <v>66</v>
      </c>
      <c r="E192" s="113">
        <f t="shared" si="78"/>
        <v>42156</v>
      </c>
      <c r="F192" s="85">
        <f t="shared" si="75"/>
        <v>21</v>
      </c>
      <c r="G192" s="84">
        <f t="shared" si="111"/>
        <v>9</v>
      </c>
      <c r="H192" s="84"/>
      <c r="I192" s="84"/>
      <c r="J192" s="78">
        <f t="shared" si="79"/>
        <v>30</v>
      </c>
      <c r="K192" s="149">
        <v>42156</v>
      </c>
      <c r="L192" s="508">
        <v>7.4100418258720005E-2</v>
      </c>
      <c r="M192" s="509">
        <v>6.4324550320154023E-2</v>
      </c>
      <c r="N192" s="132">
        <f t="shared" si="76"/>
        <v>0.32701291302975755</v>
      </c>
      <c r="O192" s="133">
        <f>VLOOKUP(K192,Inflation!$B$8:$C$266,2)</f>
        <v>1.5112693542835545</v>
      </c>
      <c r="P192" s="132"/>
      <c r="Q192" s="134">
        <f>VLOOKUP(K192,'Fuel Curve'!$B$11:$F$268,5)</f>
        <v>4.4201724137931047</v>
      </c>
      <c r="R192" s="238">
        <f>VLOOKUP(K192,'Fuel Curve Simulation'!$B$12:$J$258,9)</f>
        <v>4.4201724137931047</v>
      </c>
      <c r="S192" s="134">
        <f t="shared" si="83"/>
        <v>42.34083155172415</v>
      </c>
      <c r="T192" s="136"/>
      <c r="V192" s="135">
        <f>VLOOKUP(K192,PJM_01212000!$A$7:$C$259,3)</f>
        <v>66.099998474121094</v>
      </c>
      <c r="W192" s="486"/>
      <c r="X192" s="118">
        <f>'PJM Curve Simulation'!J192</f>
        <v>66.099998474121094</v>
      </c>
      <c r="Y192" s="512"/>
      <c r="Z192" s="137"/>
      <c r="AA192" s="78">
        <f t="shared" si="81"/>
        <v>315</v>
      </c>
      <c r="AB192" s="85">
        <f t="shared" si="84"/>
        <v>105840</v>
      </c>
      <c r="AC192" s="85">
        <f>VLOOKUP(K192,'Company Volumes'!$B$20:$C$259,2)</f>
        <v>33305.365392239109</v>
      </c>
      <c r="AD192" s="153">
        <f t="shared" si="88"/>
        <v>105840</v>
      </c>
      <c r="AE192" s="150"/>
      <c r="AF192" s="150">
        <v>0</v>
      </c>
      <c r="AG192" s="150">
        <v>0</v>
      </c>
      <c r="AH192" s="150">
        <f t="shared" si="89"/>
        <v>6996023.8385009766</v>
      </c>
      <c r="AI192" s="150">
        <f t="shared" si="90"/>
        <v>6996023.8385009766</v>
      </c>
      <c r="AJ192" s="150">
        <f t="shared" si="91"/>
        <v>4481353.6114344839</v>
      </c>
      <c r="AK192" s="85">
        <f t="shared" si="92"/>
        <v>75563.467714177721</v>
      </c>
      <c r="AL192" s="85">
        <f t="shared" si="93"/>
        <v>192686.84267115322</v>
      </c>
      <c r="AM192" s="85">
        <f t="shared" si="85"/>
        <v>319905.49691474281</v>
      </c>
      <c r="AN192" s="85">
        <f t="shared" si="86"/>
        <v>172788.46283975305</v>
      </c>
      <c r="AO192" s="85">
        <f t="shared" si="94"/>
        <v>37781.733857088861</v>
      </c>
      <c r="AP192" s="85">
        <f t="shared" si="106"/>
        <v>46500.558215233643</v>
      </c>
      <c r="AQ192" s="84">
        <f t="shared" si="95"/>
        <v>845226.56221214926</v>
      </c>
      <c r="AR192" s="85">
        <f t="shared" si="96"/>
        <v>18890.86692854443</v>
      </c>
      <c r="AS192" s="84">
        <f t="shared" si="109"/>
        <v>30387.755000000001</v>
      </c>
      <c r="AT192" s="85">
        <f t="shared" si="97"/>
        <v>63437.258573782347</v>
      </c>
      <c r="AU192" s="84">
        <f t="shared" si="98"/>
        <v>5439296.0541489599</v>
      </c>
      <c r="AV192" s="84">
        <f t="shared" si="87"/>
        <v>1556727.7843520166</v>
      </c>
      <c r="AW192" s="453"/>
      <c r="AX192" s="93">
        <f t="shared" si="80"/>
        <v>42156</v>
      </c>
      <c r="BA192" s="315"/>
      <c r="BB192" s="134">
        <f t="shared" si="99"/>
        <v>66.099998474121094</v>
      </c>
      <c r="BC192" s="134">
        <f>'Curve Analysis - Base Case'!D184</f>
        <v>45.363370260291262</v>
      </c>
      <c r="BD192" s="131">
        <f t="shared" si="100"/>
        <v>7.4100418258720005E-2</v>
      </c>
      <c r="BE192" s="131">
        <f t="shared" si="101"/>
        <v>7.4100418258720005E-2</v>
      </c>
      <c r="BF192" s="365">
        <f>PJM_01212000!X192</f>
        <v>0.12829223253849331</v>
      </c>
      <c r="BG192" s="85">
        <f t="shared" si="102"/>
        <v>5582</v>
      </c>
      <c r="BH192" s="84">
        <f t="shared" si="103"/>
        <v>105840</v>
      </c>
      <c r="BJ192" s="537">
        <f>_xll.EURO(BB192,BC192,BD192,BE192,BF192,BG192,1,0)*BH192</f>
        <v>827765.5416806452</v>
      </c>
      <c r="BK192" s="84">
        <f t="shared" si="104"/>
        <v>822329.63626221567</v>
      </c>
      <c r="BM192" s="84">
        <f t="shared" si="105"/>
        <v>5435.9054184295237</v>
      </c>
    </row>
    <row r="193" spans="1:65">
      <c r="A193" s="78">
        <f t="shared" si="77"/>
        <v>187</v>
      </c>
      <c r="C193" s="78">
        <v>31</v>
      </c>
      <c r="D193" s="78" t="s">
        <v>67</v>
      </c>
      <c r="E193" s="113">
        <f t="shared" si="78"/>
        <v>42186</v>
      </c>
      <c r="F193" s="85">
        <f t="shared" si="75"/>
        <v>23</v>
      </c>
      <c r="G193" s="84">
        <f t="shared" si="111"/>
        <v>8</v>
      </c>
      <c r="H193" s="84"/>
      <c r="I193" s="84"/>
      <c r="J193" s="78">
        <f t="shared" si="79"/>
        <v>31</v>
      </c>
      <c r="K193" s="149">
        <v>42186</v>
      </c>
      <c r="L193" s="508">
        <v>7.4095411695795005E-2</v>
      </c>
      <c r="M193" s="509">
        <v>6.4335787956129015E-2</v>
      </c>
      <c r="N193" s="132">
        <f t="shared" si="76"/>
        <v>0.32508867201252911</v>
      </c>
      <c r="O193" s="133">
        <f>VLOOKUP(K193,Inflation!$B$8:$C$266,2)</f>
        <v>1.5146283427995106</v>
      </c>
      <c r="P193" s="132"/>
      <c r="Q193" s="134">
        <f>VLOOKUP(K193,'Fuel Curve'!$B$11:$F$268,5)</f>
        <v>4.477413793103449</v>
      </c>
      <c r="R193" s="238">
        <f>VLOOKUP(K193,'Fuel Curve Simulation'!$B$12:$J$258,9)</f>
        <v>4.477413793103449</v>
      </c>
      <c r="S193" s="134">
        <f t="shared" si="83"/>
        <v>42.889146724137937</v>
      </c>
      <c r="T193" s="136"/>
      <c r="V193" s="135">
        <f>VLOOKUP(K193,PJM_01212000!$A$7:$C$259,3)</f>
        <v>118.19999694824219</v>
      </c>
      <c r="W193" s="486"/>
      <c r="X193" s="118">
        <f>'PJM Curve Simulation'!J193</f>
        <v>118.19999694824219</v>
      </c>
      <c r="Y193" s="512"/>
      <c r="Z193" s="137"/>
      <c r="AA193" s="78">
        <f t="shared" si="81"/>
        <v>315</v>
      </c>
      <c r="AB193" s="85">
        <f t="shared" si="84"/>
        <v>115920</v>
      </c>
      <c r="AC193" s="85">
        <f>VLOOKUP(K193,'Company Volumes'!$B$20:$C$259,2)</f>
        <v>51772.057010744</v>
      </c>
      <c r="AD193" s="153">
        <f t="shared" si="88"/>
        <v>115920</v>
      </c>
      <c r="AE193" s="150"/>
      <c r="AF193" s="150">
        <v>0</v>
      </c>
      <c r="AG193" s="150">
        <v>0</v>
      </c>
      <c r="AH193" s="150">
        <f t="shared" si="89"/>
        <v>13701743.646240234</v>
      </c>
      <c r="AI193" s="150">
        <f t="shared" si="90"/>
        <v>13701743.646240234</v>
      </c>
      <c r="AJ193" s="150">
        <f t="shared" si="91"/>
        <v>4971709.8882620698</v>
      </c>
      <c r="AK193" s="85">
        <f t="shared" si="92"/>
        <v>75731.417139975529</v>
      </c>
      <c r="AL193" s="85">
        <f t="shared" si="93"/>
        <v>193115.11370693761</v>
      </c>
      <c r="AM193" s="85">
        <f t="shared" si="85"/>
        <v>351151.43499463855</v>
      </c>
      <c r="AN193" s="85">
        <f t="shared" si="86"/>
        <v>173172.50719341071</v>
      </c>
      <c r="AO193" s="85">
        <f t="shared" si="94"/>
        <v>37865.708569987764</v>
      </c>
      <c r="AP193" s="85">
        <f t="shared" si="106"/>
        <v>46500.558215233643</v>
      </c>
      <c r="AQ193" s="84">
        <f t="shared" si="95"/>
        <v>877536.73982018372</v>
      </c>
      <c r="AR193" s="85">
        <f t="shared" si="96"/>
        <v>18932.854284993882</v>
      </c>
      <c r="AS193" s="84">
        <f t="shared" si="109"/>
        <v>30387.755000000001</v>
      </c>
      <c r="AT193" s="85">
        <f t="shared" si="97"/>
        <v>124518.2956342114</v>
      </c>
      <c r="AU193" s="84">
        <f t="shared" si="98"/>
        <v>6023085.5330014583</v>
      </c>
      <c r="AV193" s="84">
        <f t="shared" si="87"/>
        <v>7678658.1132387761</v>
      </c>
      <c r="AW193" s="453"/>
      <c r="AX193" s="93">
        <f t="shared" si="80"/>
        <v>42186</v>
      </c>
      <c r="BA193" s="315"/>
      <c r="BB193" s="134">
        <f t="shared" si="99"/>
        <v>118.19999694824219</v>
      </c>
      <c r="BC193" s="134">
        <f>'Curve Analysis - Base Case'!D185</f>
        <v>45.91840340973696</v>
      </c>
      <c r="BD193" s="131">
        <f t="shared" si="100"/>
        <v>7.4095411695795005E-2</v>
      </c>
      <c r="BE193" s="131">
        <f t="shared" si="101"/>
        <v>7.4095411695795005E-2</v>
      </c>
      <c r="BF193" s="365">
        <f>PJM_01212000!X193</f>
        <v>0.1568016175470473</v>
      </c>
      <c r="BG193" s="85">
        <f t="shared" si="102"/>
        <v>5612</v>
      </c>
      <c r="BH193" s="84">
        <f t="shared" si="103"/>
        <v>115920</v>
      </c>
      <c r="BJ193" s="537">
        <f>_xll.EURO(BB193,BC193,BD193,BE193,BF193,BG193,1,0)*BH193</f>
        <v>2727448.7193334009</v>
      </c>
      <c r="BK193" s="84">
        <f t="shared" si="104"/>
        <v>2838035.0810056701</v>
      </c>
      <c r="BM193" s="84">
        <f t="shared" si="105"/>
        <v>-110586.36167226918</v>
      </c>
    </row>
    <row r="194" spans="1:65">
      <c r="A194" s="78">
        <f t="shared" si="77"/>
        <v>188</v>
      </c>
      <c r="C194" s="78">
        <v>31</v>
      </c>
      <c r="D194" s="78" t="s">
        <v>68</v>
      </c>
      <c r="E194" s="113">
        <f t="shared" si="78"/>
        <v>42217</v>
      </c>
      <c r="F194" s="85">
        <f t="shared" si="75"/>
        <v>21</v>
      </c>
      <c r="G194" s="84">
        <f t="shared" si="111"/>
        <v>10</v>
      </c>
      <c r="H194" s="84"/>
      <c r="I194" s="84"/>
      <c r="J194" s="78">
        <f t="shared" si="79"/>
        <v>31</v>
      </c>
      <c r="K194" s="149">
        <v>42217</v>
      </c>
      <c r="L194" s="508">
        <v>7.4090238247446025E-2</v>
      </c>
      <c r="M194" s="509">
        <v>6.4347400180894007E-2</v>
      </c>
      <c r="N194" s="132">
        <f t="shared" si="76"/>
        <v>0.32311245334580241</v>
      </c>
      <c r="O194" s="133">
        <f>VLOOKUP(K194,Inflation!$B$8:$C$266,2)</f>
        <v>1.5179947970950236</v>
      </c>
      <c r="P194" s="132"/>
      <c r="Q194" s="134">
        <f>VLOOKUP(K194,'Fuel Curve'!$B$11:$F$268,5)</f>
        <v>4.5679310344827595</v>
      </c>
      <c r="R194" s="238">
        <f>VLOOKUP(K194,'Fuel Curve Simulation'!$B$12:$J$258,9)</f>
        <v>4.5679310344827595</v>
      </c>
      <c r="S194" s="134">
        <f t="shared" si="83"/>
        <v>43.756211379310358</v>
      </c>
      <c r="T194" s="136"/>
      <c r="V194" s="135">
        <f>VLOOKUP(K194,PJM_01212000!$A$7:$C$259,3)</f>
        <v>105.19999694824219</v>
      </c>
      <c r="W194" s="486"/>
      <c r="X194" s="118">
        <f>'PJM Curve Simulation'!J194</f>
        <v>105.19999694824219</v>
      </c>
      <c r="Y194" s="512"/>
      <c r="Z194" s="137"/>
      <c r="AA194" s="78">
        <f t="shared" si="81"/>
        <v>315</v>
      </c>
      <c r="AB194" s="85">
        <f t="shared" si="84"/>
        <v>105840</v>
      </c>
      <c r="AC194" s="85">
        <f>VLOOKUP(K194,'Company Volumes'!$B$20:$C$259,2)</f>
        <v>34514.704673829336</v>
      </c>
      <c r="AD194" s="153">
        <f t="shared" si="88"/>
        <v>105840</v>
      </c>
      <c r="AE194" s="150"/>
      <c r="AF194" s="150">
        <v>0</v>
      </c>
      <c r="AG194" s="150">
        <v>0</v>
      </c>
      <c r="AH194" s="150">
        <f t="shared" si="89"/>
        <v>11134367.677001953</v>
      </c>
      <c r="AI194" s="150">
        <f t="shared" si="90"/>
        <v>11134367.677001953</v>
      </c>
      <c r="AJ194" s="150">
        <f t="shared" si="91"/>
        <v>4631157.4123862078</v>
      </c>
      <c r="AK194" s="85">
        <f t="shared" si="92"/>
        <v>75899.739854751184</v>
      </c>
      <c r="AL194" s="85">
        <f t="shared" si="93"/>
        <v>193544.33662961551</v>
      </c>
      <c r="AM194" s="85">
        <f t="shared" si="85"/>
        <v>321329.13864907459</v>
      </c>
      <c r="AN194" s="85">
        <f t="shared" si="86"/>
        <v>173557.40513453106</v>
      </c>
      <c r="AO194" s="85">
        <f t="shared" si="94"/>
        <v>37949.869927375592</v>
      </c>
      <c r="AP194" s="85">
        <f t="shared" si="106"/>
        <v>46500.558215233643</v>
      </c>
      <c r="AQ194" s="84">
        <f t="shared" si="95"/>
        <v>848781.04841058154</v>
      </c>
      <c r="AR194" s="85">
        <f t="shared" si="96"/>
        <v>18974.934963687796</v>
      </c>
      <c r="AS194" s="84">
        <f t="shared" si="109"/>
        <v>30387.755000000001</v>
      </c>
      <c r="AT194" s="85">
        <f t="shared" si="97"/>
        <v>101411.4732157918</v>
      </c>
      <c r="AU194" s="84">
        <f t="shared" si="98"/>
        <v>5630712.6239762679</v>
      </c>
      <c r="AV194" s="84">
        <f t="shared" si="87"/>
        <v>5503655.0530256853</v>
      </c>
      <c r="AW194" s="453"/>
      <c r="AX194" s="93">
        <f t="shared" si="80"/>
        <v>42217</v>
      </c>
      <c r="BA194" s="315"/>
      <c r="BB194" s="134">
        <f t="shared" si="99"/>
        <v>105.19999694824219</v>
      </c>
      <c r="BC194" s="134">
        <f>'Curve Analysis - Base Case'!D186</f>
        <v>46.792200973500407</v>
      </c>
      <c r="BD194" s="131">
        <f t="shared" si="100"/>
        <v>7.4090238247446025E-2</v>
      </c>
      <c r="BE194" s="131">
        <f t="shared" si="101"/>
        <v>7.4090238247446025E-2</v>
      </c>
      <c r="BF194" s="365">
        <f>PJM_01212000!X194</f>
        <v>0.1568016175470473</v>
      </c>
      <c r="BG194" s="85">
        <f t="shared" si="102"/>
        <v>5643</v>
      </c>
      <c r="BH194" s="84">
        <f t="shared" si="103"/>
        <v>105840</v>
      </c>
      <c r="BJ194" s="537">
        <f>_xll.EURO(BB194,BC194,BD194,BE194,BF194,BG194,1,0)*BH194</f>
        <v>2030101.8069177547</v>
      </c>
      <c r="BK194" s="84">
        <f t="shared" si="104"/>
        <v>2101268.2232235982</v>
      </c>
      <c r="BM194" s="84">
        <f t="shared" si="105"/>
        <v>-71166.416305843508</v>
      </c>
    </row>
    <row r="195" spans="1:65">
      <c r="A195" s="78">
        <f t="shared" si="77"/>
        <v>189</v>
      </c>
      <c r="C195" s="78">
        <v>30</v>
      </c>
      <c r="D195" s="78" t="s">
        <v>69</v>
      </c>
      <c r="E195" s="113">
        <f t="shared" si="78"/>
        <v>42248</v>
      </c>
      <c r="F195" s="85">
        <f t="shared" si="75"/>
        <v>22</v>
      </c>
      <c r="G195" s="84">
        <f t="shared" si="111"/>
        <v>8</v>
      </c>
      <c r="H195" s="84"/>
      <c r="I195" s="84"/>
      <c r="J195" s="78">
        <f t="shared" si="79"/>
        <v>30</v>
      </c>
      <c r="K195" s="149">
        <v>42248</v>
      </c>
      <c r="L195" s="508">
        <v>7.4085064799107023E-2</v>
      </c>
      <c r="M195" s="509">
        <v>6.4359012406598012E-2</v>
      </c>
      <c r="N195" s="132">
        <f t="shared" si="76"/>
        <v>0.3211485201528842</v>
      </c>
      <c r="O195" s="133">
        <f>VLOOKUP(K195,Inflation!$B$8:$C$266,2)</f>
        <v>1.5213687337637392</v>
      </c>
      <c r="P195" s="132"/>
      <c r="Q195" s="134">
        <f>VLOOKUP(K195,'Fuel Curve'!$B$11:$F$268,5)</f>
        <v>4.6627586206896563</v>
      </c>
      <c r="R195" s="238">
        <f>VLOOKUP(K195,'Fuel Curve Simulation'!$B$12:$J$258,9)</f>
        <v>4.6627586206896563</v>
      </c>
      <c r="S195" s="134">
        <f t="shared" si="83"/>
        <v>44.664564827586219</v>
      </c>
      <c r="T195" s="136"/>
      <c r="V195" s="135">
        <f>VLOOKUP(K195,PJM_01212000!$A$7:$C$259,3)</f>
        <v>38.924998474121097</v>
      </c>
      <c r="W195" s="486"/>
      <c r="X195" s="118">
        <f>'PJM Curve Simulation'!J195</f>
        <v>38.924998474121097</v>
      </c>
      <c r="Y195" s="512"/>
      <c r="Z195" s="137"/>
      <c r="AA195" s="78">
        <f t="shared" si="81"/>
        <v>315</v>
      </c>
      <c r="AB195" s="85">
        <f t="shared" si="84"/>
        <v>110880</v>
      </c>
      <c r="AC195" s="85">
        <f>VLOOKUP(K195,'Company Volumes'!$B$20:$C$259,2)</f>
        <v>20768.65844956311</v>
      </c>
      <c r="AD195" s="153">
        <f t="shared" si="88"/>
        <v>0</v>
      </c>
      <c r="AE195" s="150"/>
      <c r="AF195" s="150">
        <v>0</v>
      </c>
      <c r="AG195" s="150">
        <v>0</v>
      </c>
      <c r="AH195" s="150">
        <f t="shared" si="89"/>
        <v>0</v>
      </c>
      <c r="AI195" s="150">
        <f t="shared" si="90"/>
        <v>0</v>
      </c>
      <c r="AJ195" s="150">
        <f t="shared" si="91"/>
        <v>0</v>
      </c>
      <c r="AK195" s="85">
        <f t="shared" si="92"/>
        <v>76068.436688186965</v>
      </c>
      <c r="AL195" s="85">
        <f t="shared" si="93"/>
        <v>193974.51355487676</v>
      </c>
      <c r="AM195" s="85">
        <f t="shared" si="85"/>
        <v>0</v>
      </c>
      <c r="AN195" s="85">
        <f t="shared" si="86"/>
        <v>173943.15856032082</v>
      </c>
      <c r="AO195" s="85">
        <f t="shared" si="94"/>
        <v>38034.218344093482</v>
      </c>
      <c r="AP195" s="85">
        <f t="shared" si="106"/>
        <v>46500.558215233643</v>
      </c>
      <c r="AQ195" s="84">
        <f t="shared" si="95"/>
        <v>528520.88536271174</v>
      </c>
      <c r="AR195" s="85">
        <f t="shared" si="96"/>
        <v>19017.109172046741</v>
      </c>
      <c r="AS195" s="84">
        <f t="shared" si="109"/>
        <v>30387.755000000001</v>
      </c>
      <c r="AT195" s="85">
        <f t="shared" si="97"/>
        <v>0</v>
      </c>
      <c r="AU195" s="84">
        <f t="shared" si="98"/>
        <v>577925.74953475827</v>
      </c>
      <c r="AV195" s="84">
        <f t="shared" si="87"/>
        <v>-577925.74953475827</v>
      </c>
      <c r="AW195" s="453"/>
      <c r="AX195" s="93">
        <f t="shared" si="80"/>
        <v>42248</v>
      </c>
      <c r="BA195" s="315"/>
      <c r="BB195" s="134">
        <f t="shared" si="99"/>
        <v>38.924998474121097</v>
      </c>
      <c r="BC195" s="134">
        <f>'Curve Analysis - Base Case'!D187</f>
        <v>47.707302295113699</v>
      </c>
      <c r="BD195" s="131">
        <f t="shared" si="100"/>
        <v>7.4085064799107023E-2</v>
      </c>
      <c r="BE195" s="131">
        <f t="shared" si="101"/>
        <v>7.4085064799107023E-2</v>
      </c>
      <c r="BF195" s="365">
        <f>PJM_01212000!X195</f>
        <v>0.10079075508074668</v>
      </c>
      <c r="BG195" s="85">
        <f t="shared" si="102"/>
        <v>5674</v>
      </c>
      <c r="BH195" s="84">
        <f t="shared" si="103"/>
        <v>0</v>
      </c>
      <c r="BJ195" s="537">
        <f>_xll.EURO(BB195,BC195,BD195,BE195,BF195,BG195,1,0)*BH195</f>
        <v>0</v>
      </c>
      <c r="BK195" s="84">
        <f t="shared" si="104"/>
        <v>0</v>
      </c>
      <c r="BM195" s="84">
        <f t="shared" si="105"/>
        <v>0</v>
      </c>
    </row>
    <row r="196" spans="1:65">
      <c r="A196" s="78">
        <f t="shared" si="77"/>
        <v>190</v>
      </c>
      <c r="C196" s="78">
        <v>31</v>
      </c>
      <c r="D196" s="78" t="s">
        <v>70</v>
      </c>
      <c r="E196" s="113">
        <f t="shared" si="78"/>
        <v>42278</v>
      </c>
      <c r="F196" s="85">
        <f t="shared" ref="F196:F259" si="112">F148</f>
        <v>23</v>
      </c>
      <c r="G196" s="84">
        <f t="shared" si="111"/>
        <v>8</v>
      </c>
      <c r="H196" s="84"/>
      <c r="I196" s="84"/>
      <c r="J196" s="78">
        <f t="shared" si="79"/>
        <v>31</v>
      </c>
      <c r="K196" s="149">
        <v>42278</v>
      </c>
      <c r="L196" s="508">
        <v>7.4080058236206017E-2</v>
      </c>
      <c r="M196" s="509">
        <v>6.4370250045270028E-2</v>
      </c>
      <c r="N196" s="132">
        <f t="shared" si="76"/>
        <v>0.31925956358972918</v>
      </c>
      <c r="O196" s="133">
        <f>VLOOKUP(K196,Inflation!$B$8:$C$266,2)</f>
        <v>1.524750169436184</v>
      </c>
      <c r="P196" s="132"/>
      <c r="Q196" s="134">
        <f>VLOOKUP(K196,'Fuel Curve'!$B$11:$F$268,5)</f>
        <v>4.7553448275862067</v>
      </c>
      <c r="R196" s="238">
        <f>VLOOKUP(K196,'Fuel Curve Simulation'!$B$12:$J$258,9)</f>
        <v>4.7553448275862067</v>
      </c>
      <c r="S196" s="134">
        <f t="shared" si="83"/>
        <v>45.551448103448273</v>
      </c>
      <c r="T196" s="136"/>
      <c r="V196" s="135">
        <f>VLOOKUP(K196,PJM_01212000!$A$7:$C$259,3)</f>
        <v>31.325000381469728</v>
      </c>
      <c r="W196" s="486"/>
      <c r="X196" s="118">
        <f>'PJM Curve Simulation'!J196</f>
        <v>31.325000381469728</v>
      </c>
      <c r="Y196" s="512"/>
      <c r="Z196" s="137"/>
      <c r="AA196" s="78">
        <f t="shared" si="81"/>
        <v>315</v>
      </c>
      <c r="AB196" s="85">
        <f t="shared" si="84"/>
        <v>115920</v>
      </c>
      <c r="AC196" s="85">
        <f>VLOOKUP(K196,'Company Volumes'!$B$20:$C$259,2)</f>
        <v>3006.3872695857776</v>
      </c>
      <c r="AD196" s="153">
        <f t="shared" si="88"/>
        <v>0</v>
      </c>
      <c r="AE196" s="150"/>
      <c r="AF196" s="150">
        <v>0</v>
      </c>
      <c r="AG196" s="150">
        <v>0</v>
      </c>
      <c r="AH196" s="150">
        <f t="shared" si="89"/>
        <v>0</v>
      </c>
      <c r="AI196" s="150">
        <f t="shared" si="90"/>
        <v>0</v>
      </c>
      <c r="AJ196" s="150">
        <f t="shared" si="91"/>
        <v>0</v>
      </c>
      <c r="AK196" s="85">
        <f t="shared" si="92"/>
        <v>76237.508471809197</v>
      </c>
      <c r="AL196" s="85">
        <f t="shared" si="93"/>
        <v>194405.64660311348</v>
      </c>
      <c r="AM196" s="85">
        <f t="shared" si="85"/>
        <v>0</v>
      </c>
      <c r="AN196" s="85">
        <f t="shared" si="86"/>
        <v>174329.76937220371</v>
      </c>
      <c r="AO196" s="85">
        <f t="shared" si="94"/>
        <v>38118.754235904598</v>
      </c>
      <c r="AP196" s="85">
        <f t="shared" si="106"/>
        <v>46500.558215233643</v>
      </c>
      <c r="AQ196" s="84">
        <f t="shared" si="95"/>
        <v>529592.23689826461</v>
      </c>
      <c r="AR196" s="85">
        <f t="shared" si="96"/>
        <v>19059.377117952299</v>
      </c>
      <c r="AS196" s="84">
        <f t="shared" si="109"/>
        <v>30387.755000000001</v>
      </c>
      <c r="AT196" s="85">
        <f t="shared" si="97"/>
        <v>0</v>
      </c>
      <c r="AU196" s="84">
        <f t="shared" si="98"/>
        <v>579039.36901621684</v>
      </c>
      <c r="AV196" s="84">
        <f t="shared" si="87"/>
        <v>-579039.36901621684</v>
      </c>
      <c r="AW196" s="453"/>
      <c r="AX196" s="93">
        <f t="shared" si="80"/>
        <v>42278</v>
      </c>
      <c r="BA196" s="315"/>
      <c r="BB196" s="134">
        <f t="shared" si="99"/>
        <v>31.325000381469728</v>
      </c>
      <c r="BC196" s="134">
        <f>'Curve Analysis - Base Case'!D188</f>
        <v>48.600948442320643</v>
      </c>
      <c r="BD196" s="131">
        <f t="shared" si="100"/>
        <v>7.4080058236206017E-2</v>
      </c>
      <c r="BE196" s="131">
        <f t="shared" si="101"/>
        <v>7.4080058236206017E-2</v>
      </c>
      <c r="BF196" s="365">
        <f>PJM_01212000!X196</f>
        <v>7.1273462521385139E-2</v>
      </c>
      <c r="BG196" s="85">
        <f t="shared" si="102"/>
        <v>5704</v>
      </c>
      <c r="BH196" s="84">
        <f t="shared" si="103"/>
        <v>0</v>
      </c>
      <c r="BJ196" s="537">
        <f>_xll.EURO(BB196,BC196,BD196,BE196,BF196,BG196,1,0)*BH196</f>
        <v>0</v>
      </c>
      <c r="BK196" s="84">
        <f t="shared" si="104"/>
        <v>0</v>
      </c>
      <c r="BM196" s="84">
        <f t="shared" si="105"/>
        <v>0</v>
      </c>
    </row>
    <row r="197" spans="1:65">
      <c r="A197" s="78">
        <f t="shared" si="77"/>
        <v>191</v>
      </c>
      <c r="C197" s="78">
        <v>30</v>
      </c>
      <c r="D197" s="78" t="s">
        <v>71</v>
      </c>
      <c r="E197" s="113">
        <f t="shared" si="78"/>
        <v>42309</v>
      </c>
      <c r="F197" s="85">
        <f t="shared" si="112"/>
        <v>20</v>
      </c>
      <c r="G197" s="84">
        <f t="shared" si="111"/>
        <v>10</v>
      </c>
      <c r="H197" s="84"/>
      <c r="I197" s="84"/>
      <c r="J197" s="78">
        <f t="shared" si="79"/>
        <v>30</v>
      </c>
      <c r="K197" s="149">
        <v>42309</v>
      </c>
      <c r="L197" s="508">
        <v>7.4074884787884016E-2</v>
      </c>
      <c r="M197" s="509">
        <v>6.4381862272820001E-2</v>
      </c>
      <c r="N197" s="132">
        <f t="shared" si="76"/>
        <v>0.31731957779626352</v>
      </c>
      <c r="O197" s="133">
        <f>VLOOKUP(K197,Inflation!$B$8:$C$266,2)</f>
        <v>1.5281391207798485</v>
      </c>
      <c r="P197" s="132"/>
      <c r="Q197" s="134">
        <f>VLOOKUP(K197,'Fuel Curve'!$B$11:$F$268,5)</f>
        <v>4.8046551724137938</v>
      </c>
      <c r="R197" s="238">
        <f>VLOOKUP(K197,'Fuel Curve Simulation'!$B$12:$J$258,9)</f>
        <v>4.8046551724137938</v>
      </c>
      <c r="S197" s="134">
        <f t="shared" si="83"/>
        <v>46.023791896551728</v>
      </c>
      <c r="T197" s="136"/>
      <c r="V197" s="135">
        <f>VLOOKUP(K197,PJM_01212000!$A$7:$C$259,3)</f>
        <v>30.997499084472658</v>
      </c>
      <c r="W197" s="486"/>
      <c r="X197" s="118">
        <f>'PJM Curve Simulation'!J197</f>
        <v>30.997499084472658</v>
      </c>
      <c r="Y197" s="512"/>
      <c r="Z197" s="137"/>
      <c r="AA197" s="78">
        <f t="shared" si="81"/>
        <v>315</v>
      </c>
      <c r="AB197" s="85">
        <f t="shared" si="84"/>
        <v>100800</v>
      </c>
      <c r="AC197" s="85">
        <f>VLOOKUP(K197,'Company Volumes'!$B$20:$C$259,2)</f>
        <v>7520.6351461640015</v>
      </c>
      <c r="AD197" s="153">
        <f t="shared" si="88"/>
        <v>0</v>
      </c>
      <c r="AE197" s="150"/>
      <c r="AF197" s="150">
        <v>0</v>
      </c>
      <c r="AG197" s="150">
        <v>0</v>
      </c>
      <c r="AH197" s="150">
        <f t="shared" si="89"/>
        <v>0</v>
      </c>
      <c r="AI197" s="150">
        <f t="shared" si="90"/>
        <v>0</v>
      </c>
      <c r="AJ197" s="150">
        <f t="shared" si="91"/>
        <v>0</v>
      </c>
      <c r="AK197" s="85">
        <f t="shared" si="92"/>
        <v>76406.95603899243</v>
      </c>
      <c r="AL197" s="85">
        <f t="shared" si="93"/>
        <v>194837.73789943068</v>
      </c>
      <c r="AM197" s="85">
        <f t="shared" si="85"/>
        <v>0</v>
      </c>
      <c r="AN197" s="85">
        <f t="shared" si="86"/>
        <v>174717.23947582935</v>
      </c>
      <c r="AO197" s="85">
        <f t="shared" si="94"/>
        <v>38203.478019496215</v>
      </c>
      <c r="AP197" s="85">
        <f t="shared" si="106"/>
        <v>46500.558215233643</v>
      </c>
      <c r="AQ197" s="84">
        <f t="shared" si="95"/>
        <v>530665.96964898228</v>
      </c>
      <c r="AR197" s="85">
        <f t="shared" si="96"/>
        <v>19101.739009748107</v>
      </c>
      <c r="AS197" s="84">
        <f t="shared" si="109"/>
        <v>30387.755000000001</v>
      </c>
      <c r="AT197" s="85">
        <f t="shared" si="97"/>
        <v>0</v>
      </c>
      <c r="AU197" s="84">
        <f t="shared" si="98"/>
        <v>580155.46365873038</v>
      </c>
      <c r="AV197" s="84">
        <f t="shared" si="87"/>
        <v>-580155.46365873038</v>
      </c>
      <c r="AW197" s="453"/>
      <c r="AX197" s="93">
        <f t="shared" si="80"/>
        <v>42309</v>
      </c>
      <c r="BA197" s="315"/>
      <c r="BB197" s="134">
        <f t="shared" si="99"/>
        <v>30.997499084472658</v>
      </c>
      <c r="BC197" s="134">
        <f>'Curve Analysis - Base Case'!D189</f>
        <v>49.080070138111424</v>
      </c>
      <c r="BD197" s="131">
        <f t="shared" si="100"/>
        <v>7.4074884787884016E-2</v>
      </c>
      <c r="BE197" s="131">
        <f t="shared" si="101"/>
        <v>7.4074884787884016E-2</v>
      </c>
      <c r="BF197" s="365">
        <f>PJM_01212000!X197</f>
        <v>7.1273462521385139E-2</v>
      </c>
      <c r="BG197" s="85">
        <f t="shared" si="102"/>
        <v>5735</v>
      </c>
      <c r="BH197" s="84">
        <f t="shared" si="103"/>
        <v>0</v>
      </c>
      <c r="BJ197" s="537">
        <f>_xll.EURO(BB197,BC197,BD197,BE197,BF197,BG197,1,0)*BH197</f>
        <v>0</v>
      </c>
      <c r="BK197" s="84">
        <f t="shared" si="104"/>
        <v>0</v>
      </c>
      <c r="BM197" s="84">
        <f t="shared" si="105"/>
        <v>0</v>
      </c>
    </row>
    <row r="198" spans="1:65">
      <c r="A198" s="78">
        <f t="shared" si="77"/>
        <v>192</v>
      </c>
      <c r="C198" s="78">
        <v>31</v>
      </c>
      <c r="D198" s="78" t="s">
        <v>72</v>
      </c>
      <c r="E198" s="113">
        <f t="shared" si="78"/>
        <v>42339</v>
      </c>
      <c r="F198" s="85">
        <f t="shared" si="112"/>
        <v>23</v>
      </c>
      <c r="G198" s="84">
        <f t="shared" si="111"/>
        <v>8</v>
      </c>
      <c r="H198" s="84">
        <f>SUM(F187:G198)</f>
        <v>365</v>
      </c>
      <c r="I198" s="84"/>
      <c r="J198" s="78">
        <f t="shared" si="79"/>
        <v>31</v>
      </c>
      <c r="K198" s="149">
        <v>42339</v>
      </c>
      <c r="L198" s="508">
        <v>7.4069878224999997E-2</v>
      </c>
      <c r="M198" s="509">
        <v>6.4393099913280002E-2</v>
      </c>
      <c r="N198" s="132">
        <f t="shared" si="76"/>
        <v>0.31545365140992127</v>
      </c>
      <c r="O198" s="133">
        <f>VLOOKUP(K198,Inflation!$B$8:$C$266,2)</f>
        <v>1.5315356044992685</v>
      </c>
      <c r="P198" s="132"/>
      <c r="Q198" s="134">
        <f>VLOOKUP(K198,'Fuel Curve'!$B$11:$F$268,5)</f>
        <v>4.8474137931034491</v>
      </c>
      <c r="R198" s="238">
        <f>VLOOKUP(K198,'Fuel Curve Simulation'!$B$12:$J$258,9)</f>
        <v>4.8474137931034491</v>
      </c>
      <c r="S198" s="134">
        <f t="shared" si="83"/>
        <v>46.433376724137936</v>
      </c>
      <c r="T198" s="136"/>
      <c r="V198" s="135">
        <f>VLOOKUP(K198,PJM_01212000!$A$7:$C$259,3)</f>
        <v>32.749999618530275</v>
      </c>
      <c r="W198" s="486"/>
      <c r="X198" s="118">
        <f>'PJM Curve Simulation'!J198</f>
        <v>32.749999618530275</v>
      </c>
      <c r="Y198" s="512"/>
      <c r="Z198" s="137"/>
      <c r="AA198" s="78">
        <f t="shared" si="81"/>
        <v>315</v>
      </c>
      <c r="AB198" s="85">
        <f t="shared" si="84"/>
        <v>115920</v>
      </c>
      <c r="AC198" s="85">
        <f>VLOOKUP(K198,'Company Volumes'!$B$20:$C$259,2)</f>
        <v>7520.6351461640015</v>
      </c>
      <c r="AD198" s="153">
        <f t="shared" si="88"/>
        <v>0</v>
      </c>
      <c r="AE198" s="150"/>
      <c r="AF198" s="150">
        <v>0</v>
      </c>
      <c r="AG198" s="150">
        <v>0</v>
      </c>
      <c r="AH198" s="150">
        <f t="shared" si="89"/>
        <v>0</v>
      </c>
      <c r="AI198" s="150">
        <f t="shared" si="90"/>
        <v>0</v>
      </c>
      <c r="AJ198" s="150">
        <f t="shared" si="91"/>
        <v>0</v>
      </c>
      <c r="AK198" s="85">
        <f t="shared" si="92"/>
        <v>76576.780224963426</v>
      </c>
      <c r="AL198" s="85">
        <f t="shared" si="93"/>
        <v>195270.78957365674</v>
      </c>
      <c r="AM198" s="85">
        <f t="shared" si="85"/>
        <v>0</v>
      </c>
      <c r="AN198" s="85">
        <f t="shared" si="86"/>
        <v>175105.57078108305</v>
      </c>
      <c r="AO198" s="85">
        <f t="shared" si="94"/>
        <v>38288.390112481713</v>
      </c>
      <c r="AP198" s="85">
        <f t="shared" si="106"/>
        <v>46500.558215233643</v>
      </c>
      <c r="AQ198" s="84">
        <f t="shared" si="95"/>
        <v>531742.08890741866</v>
      </c>
      <c r="AR198" s="85">
        <f t="shared" si="96"/>
        <v>19144.195056240857</v>
      </c>
      <c r="AS198" s="84">
        <f t="shared" si="109"/>
        <v>30387.755000000001</v>
      </c>
      <c r="AT198" s="85">
        <f t="shared" si="97"/>
        <v>0</v>
      </c>
      <c r="AU198" s="84">
        <f t="shared" si="98"/>
        <v>581274.03896365932</v>
      </c>
      <c r="AV198" s="84">
        <f t="shared" si="87"/>
        <v>-581274.03896365932</v>
      </c>
      <c r="AW198" s="453"/>
      <c r="AX198" s="93">
        <f t="shared" si="80"/>
        <v>42339</v>
      </c>
      <c r="AY198" s="85">
        <f ca="1">'Debt Amortization'!W8</f>
        <v>7683858.7124075396</v>
      </c>
      <c r="AZ198" s="85">
        <f ca="1">AY198*N198</f>
        <v>2423901.2877468946</v>
      </c>
      <c r="BA198" s="315"/>
      <c r="BB198" s="134">
        <f t="shared" si="99"/>
        <v>32.749999618530275</v>
      </c>
      <c r="BC198" s="134">
        <f>'Curve Analysis - Base Case'!D190</f>
        <v>49.496447933136473</v>
      </c>
      <c r="BD198" s="131">
        <f t="shared" si="100"/>
        <v>7.4069878224999997E-2</v>
      </c>
      <c r="BE198" s="131">
        <f t="shared" si="101"/>
        <v>7.4069878224999997E-2</v>
      </c>
      <c r="BF198" s="365">
        <f>PJM_01212000!X198</f>
        <v>7.1273462521385139E-2</v>
      </c>
      <c r="BG198" s="85">
        <f t="shared" si="102"/>
        <v>5765</v>
      </c>
      <c r="BH198" s="84">
        <f t="shared" si="103"/>
        <v>0</v>
      </c>
      <c r="BJ198" s="537">
        <f>_xll.EURO(BB198,BC198,BD198,BE198,BF198,BG198,1,0)*BH198</f>
        <v>0</v>
      </c>
      <c r="BK198" s="84">
        <f t="shared" si="104"/>
        <v>0</v>
      </c>
      <c r="BM198" s="84">
        <f t="shared" si="105"/>
        <v>0</v>
      </c>
    </row>
    <row r="199" spans="1:65">
      <c r="A199" s="78">
        <f t="shared" si="77"/>
        <v>193</v>
      </c>
      <c r="C199" s="78">
        <v>31</v>
      </c>
      <c r="D199" s="78" t="s">
        <v>62</v>
      </c>
      <c r="E199" s="113">
        <f t="shared" si="78"/>
        <v>42370</v>
      </c>
      <c r="F199" s="85">
        <f t="shared" si="112"/>
        <v>22</v>
      </c>
      <c r="G199" s="84">
        <f>C199-F199</f>
        <v>9</v>
      </c>
      <c r="H199" s="84"/>
      <c r="I199" s="84"/>
      <c r="J199" s="78">
        <f t="shared" si="79"/>
        <v>31</v>
      </c>
      <c r="K199" s="149">
        <v>42370</v>
      </c>
      <c r="L199" s="508">
        <v>7.4064704776695009E-2</v>
      </c>
      <c r="M199" s="509">
        <v>6.4404712142678011E-2</v>
      </c>
      <c r="N199" s="132">
        <f t="shared" si="76"/>
        <v>0.31353731487340242</v>
      </c>
      <c r="O199" s="133">
        <f>VLOOKUP(K199,Inflation!$B$8:$C$266,2)</f>
        <v>1.5349396373361086</v>
      </c>
      <c r="P199" s="132"/>
      <c r="Q199" s="134">
        <f>VLOOKUP(K199,'Fuel Curve'!$B$11:$F$268,5)</f>
        <v>4.7901724137931048</v>
      </c>
      <c r="R199" s="238">
        <f>VLOOKUP(K199,'Fuel Curve Simulation'!$B$12:$J$258,9)</f>
        <v>4.7901724137931048</v>
      </c>
      <c r="S199" s="134">
        <f t="shared" si="83"/>
        <v>45.885061551724156</v>
      </c>
      <c r="T199" s="136"/>
      <c r="V199" s="135">
        <f>VLOOKUP(K199,PJM_01212000!$A$7:$C$259,3)</f>
        <v>41.324998474121088</v>
      </c>
      <c r="W199" s="486"/>
      <c r="X199" s="118">
        <f>'PJM Curve Simulation'!J199</f>
        <v>41.324998474121088</v>
      </c>
      <c r="Y199" s="512"/>
      <c r="Z199" s="137"/>
      <c r="AA199" s="78">
        <f t="shared" si="81"/>
        <v>315</v>
      </c>
      <c r="AB199" s="85">
        <f t="shared" si="84"/>
        <v>110880</v>
      </c>
      <c r="AC199" s="85">
        <f>VLOOKUP(K199,'Company Volumes'!$B$20:$C$259,2)</f>
        <v>13836.209963666219</v>
      </c>
      <c r="AD199" s="153">
        <f t="shared" si="88"/>
        <v>0</v>
      </c>
      <c r="AE199" s="150"/>
      <c r="AF199" s="150">
        <v>0</v>
      </c>
      <c r="AG199" s="150">
        <v>0</v>
      </c>
      <c r="AH199" s="150">
        <f t="shared" si="89"/>
        <v>0</v>
      </c>
      <c r="AI199" s="150">
        <f t="shared" si="90"/>
        <v>0</v>
      </c>
      <c r="AJ199" s="150">
        <f t="shared" si="91"/>
        <v>0</v>
      </c>
      <c r="AK199" s="85">
        <f t="shared" si="92"/>
        <v>76746.981866805421</v>
      </c>
      <c r="AL199" s="85">
        <f t="shared" si="93"/>
        <v>195704.80376035385</v>
      </c>
      <c r="AM199" s="85">
        <f t="shared" si="85"/>
        <v>0</v>
      </c>
      <c r="AN199" s="85">
        <f t="shared" si="86"/>
        <v>175494.76520209509</v>
      </c>
      <c r="AO199" s="85">
        <f t="shared" si="94"/>
        <v>38373.490933402711</v>
      </c>
      <c r="AP199" s="85">
        <f t="shared" si="106"/>
        <v>46500.558215233643</v>
      </c>
      <c r="AQ199" s="84">
        <f t="shared" si="95"/>
        <v>532820.59997789073</v>
      </c>
      <c r="AR199" s="85">
        <f t="shared" si="96"/>
        <v>19186.745466701355</v>
      </c>
      <c r="AS199" s="84">
        <f t="shared" si="109"/>
        <v>30387.755000000001</v>
      </c>
      <c r="AT199" s="85">
        <f t="shared" si="97"/>
        <v>0</v>
      </c>
      <c r="AU199" s="84">
        <f t="shared" si="98"/>
        <v>582395.10044459207</v>
      </c>
      <c r="AV199" s="84">
        <f t="shared" si="87"/>
        <v>-582395.10044459207</v>
      </c>
      <c r="AW199" s="453"/>
      <c r="AX199" s="93">
        <f t="shared" si="80"/>
        <v>42370</v>
      </c>
      <c r="BA199" s="315"/>
      <c r="BB199" s="134">
        <f t="shared" si="99"/>
        <v>41.324998474121088</v>
      </c>
      <c r="BC199" s="134">
        <f>'Curve Analysis - Base Case'!D191</f>
        <v>48.954940826396374</v>
      </c>
      <c r="BD199" s="131">
        <f t="shared" si="100"/>
        <v>7.4064704776695009E-2</v>
      </c>
      <c r="BE199" s="131">
        <f t="shared" si="101"/>
        <v>7.4064704776695009E-2</v>
      </c>
      <c r="BF199" s="365">
        <f>PJM_01212000!X199</f>
        <v>0.10947603843284762</v>
      </c>
      <c r="BG199" s="85">
        <f t="shared" si="102"/>
        <v>5796</v>
      </c>
      <c r="BH199" s="84">
        <f t="shared" si="103"/>
        <v>0</v>
      </c>
      <c r="BJ199" s="537">
        <f>_xll.EURO(BB199,BC199,BD199,BE199,BF199,BG199,1,0)*BH199</f>
        <v>0</v>
      </c>
      <c r="BK199" s="84">
        <f t="shared" si="104"/>
        <v>0</v>
      </c>
      <c r="BM199" s="84">
        <f t="shared" si="105"/>
        <v>0</v>
      </c>
    </row>
    <row r="200" spans="1:65">
      <c r="A200" s="78">
        <f t="shared" si="77"/>
        <v>194</v>
      </c>
      <c r="C200" s="140">
        <v>29</v>
      </c>
      <c r="D200" s="141" t="s">
        <v>63</v>
      </c>
      <c r="E200" s="113">
        <f t="shared" si="78"/>
        <v>42401</v>
      </c>
      <c r="F200" s="85">
        <f t="shared" si="112"/>
        <v>20</v>
      </c>
      <c r="G200" s="84">
        <f t="shared" ref="G200:G210" si="113">C200-F200</f>
        <v>9</v>
      </c>
      <c r="H200" s="84"/>
      <c r="I200" s="84"/>
      <c r="J200" s="78">
        <f t="shared" si="79"/>
        <v>29</v>
      </c>
      <c r="K200" s="149">
        <v>42401</v>
      </c>
      <c r="L200" s="508">
        <v>7.4059531328399014E-2</v>
      </c>
      <c r="M200" s="509">
        <v>6.4416324373016018E-2</v>
      </c>
      <c r="N200" s="132">
        <f t="shared" ref="N200:N263" si="114">(1+L200/2)^(-2*((K200+$T$1)-$K$1)/365.25)</f>
        <v>0.31163288376917858</v>
      </c>
      <c r="O200" s="133">
        <f>VLOOKUP(K200,Inflation!$B$8:$C$266,2)</f>
        <v>1.5383512360692426</v>
      </c>
      <c r="P200" s="132"/>
      <c r="Q200" s="134">
        <f>VLOOKUP(K200,'Fuel Curve'!$B$11:$F$268,5)</f>
        <v>4.6910344827586217</v>
      </c>
      <c r="R200" s="238">
        <f>VLOOKUP(K200,'Fuel Curve Simulation'!$B$12:$J$258,9)</f>
        <v>4.6910344827586217</v>
      </c>
      <c r="S200" s="134">
        <f t="shared" si="83"/>
        <v>44.935419310344834</v>
      </c>
      <c r="T200" s="136"/>
      <c r="V200" s="135">
        <f>VLOOKUP(K200,PJM_01212000!$A$7:$C$259,3)</f>
        <v>41.324998474121088</v>
      </c>
      <c r="W200" s="486"/>
      <c r="X200" s="118">
        <f>'PJM Curve Simulation'!J200</f>
        <v>41.324998474121088</v>
      </c>
      <c r="Y200" s="512"/>
      <c r="Z200" s="137"/>
      <c r="AA200" s="78">
        <f t="shared" si="81"/>
        <v>315</v>
      </c>
      <c r="AB200" s="85">
        <f t="shared" si="84"/>
        <v>100800</v>
      </c>
      <c r="AC200" s="85">
        <f>VLOOKUP(K200,'Company Volumes'!$B$20:$C$259,2)</f>
        <v>462.16190842266661</v>
      </c>
      <c r="AD200" s="153">
        <f t="shared" si="88"/>
        <v>0</v>
      </c>
      <c r="AE200" s="150"/>
      <c r="AF200" s="150">
        <v>0</v>
      </c>
      <c r="AG200" s="150">
        <v>0</v>
      </c>
      <c r="AH200" s="150">
        <f t="shared" si="89"/>
        <v>0</v>
      </c>
      <c r="AI200" s="150">
        <f t="shared" si="90"/>
        <v>0</v>
      </c>
      <c r="AJ200" s="150">
        <f t="shared" si="91"/>
        <v>0</v>
      </c>
      <c r="AK200" s="85">
        <f t="shared" si="92"/>
        <v>76917.561803462129</v>
      </c>
      <c r="AL200" s="85">
        <f t="shared" si="93"/>
        <v>196139.78259882843</v>
      </c>
      <c r="AM200" s="85">
        <f t="shared" si="85"/>
        <v>0</v>
      </c>
      <c r="AN200" s="85">
        <f t="shared" si="86"/>
        <v>175884.82465725008</v>
      </c>
      <c r="AO200" s="85">
        <f t="shared" si="94"/>
        <v>38458.780901731065</v>
      </c>
      <c r="AP200" s="85">
        <f t="shared" si="106"/>
        <v>46500.558215233643</v>
      </c>
      <c r="AQ200" s="84">
        <f t="shared" si="95"/>
        <v>533901.50817650533</v>
      </c>
      <c r="AR200" s="85">
        <f t="shared" si="96"/>
        <v>19229.390450865532</v>
      </c>
      <c r="AS200" s="84">
        <f t="shared" si="109"/>
        <v>30387.755000000001</v>
      </c>
      <c r="AT200" s="85">
        <f t="shared" si="97"/>
        <v>0</v>
      </c>
      <c r="AU200" s="84">
        <f t="shared" si="98"/>
        <v>583518.65362737072</v>
      </c>
      <c r="AV200" s="84">
        <f t="shared" si="87"/>
        <v>-583518.65362737072</v>
      </c>
      <c r="AW200" s="453"/>
      <c r="AX200" s="93">
        <f t="shared" si="80"/>
        <v>42401</v>
      </c>
      <c r="BA200" s="315"/>
      <c r="BB200" s="134">
        <f t="shared" si="99"/>
        <v>41.324998474121088</v>
      </c>
      <c r="BC200" s="134">
        <f>'Curve Analysis - Base Case'!D192</f>
        <v>48.01212178248332</v>
      </c>
      <c r="BD200" s="131">
        <f t="shared" si="100"/>
        <v>7.4059531328399014E-2</v>
      </c>
      <c r="BE200" s="131">
        <f t="shared" si="101"/>
        <v>7.4059531328399014E-2</v>
      </c>
      <c r="BF200" s="365">
        <f>PJM_01212000!X200</f>
        <v>0.10947603843284762</v>
      </c>
      <c r="BG200" s="85">
        <f t="shared" si="102"/>
        <v>5827</v>
      </c>
      <c r="BH200" s="84">
        <f t="shared" si="103"/>
        <v>0</v>
      </c>
      <c r="BJ200" s="537">
        <f>_xll.EURO(BB200,BC200,BD200,BE200,BF200,BG200,1,0)*BH200</f>
        <v>0</v>
      </c>
      <c r="BK200" s="84">
        <f t="shared" si="104"/>
        <v>0</v>
      </c>
      <c r="BM200" s="84">
        <f t="shared" si="105"/>
        <v>0</v>
      </c>
    </row>
    <row r="201" spans="1:65">
      <c r="A201" s="78">
        <f t="shared" ref="A201:A264" si="115">A200+1</f>
        <v>195</v>
      </c>
      <c r="C201" s="78">
        <v>31</v>
      </c>
      <c r="D201" s="78" t="s">
        <v>64</v>
      </c>
      <c r="E201" s="113">
        <f t="shared" ref="E201:E264" si="116">E200+C200</f>
        <v>42430</v>
      </c>
      <c r="F201" s="85">
        <f t="shared" si="112"/>
        <v>23</v>
      </c>
      <c r="G201" s="84">
        <f t="shared" si="113"/>
        <v>8</v>
      </c>
      <c r="H201" s="84"/>
      <c r="I201" s="84"/>
      <c r="J201" s="78">
        <f t="shared" ref="J201:J245" si="117">K202-K201</f>
        <v>31</v>
      </c>
      <c r="K201" s="149">
        <v>42430</v>
      </c>
      <c r="L201" s="508">
        <v>7.4054691650970006E-2</v>
      </c>
      <c r="M201" s="509">
        <v>6.4427187428052007E-2</v>
      </c>
      <c r="N201" s="132">
        <f t="shared" si="114"/>
        <v>0.30986203034504556</v>
      </c>
      <c r="O201" s="133">
        <f>VLOOKUP(K201,Inflation!$B$8:$C$266,2)</f>
        <v>1.5417704175148379</v>
      </c>
      <c r="P201" s="132"/>
      <c r="Q201" s="134">
        <f>VLOOKUP(K201,'Fuel Curve'!$B$11:$F$268,5)</f>
        <v>4.5939655172413802</v>
      </c>
      <c r="R201" s="238">
        <f>VLOOKUP(K201,'Fuel Curve Simulation'!$B$12:$J$258,9)</f>
        <v>4.5939655172413802</v>
      </c>
      <c r="S201" s="134">
        <f t="shared" si="83"/>
        <v>44.005595689655181</v>
      </c>
      <c r="T201" s="136"/>
      <c r="V201" s="135">
        <f>VLOOKUP(K201,PJM_01212000!$A$7:$C$259,3)</f>
        <v>31.050000762939455</v>
      </c>
      <c r="W201" s="486"/>
      <c r="X201" s="118">
        <f>'PJM Curve Simulation'!J201</f>
        <v>31.050000762939455</v>
      </c>
      <c r="Y201" s="512"/>
      <c r="Z201" s="137"/>
      <c r="AA201" s="78">
        <f t="shared" si="81"/>
        <v>315</v>
      </c>
      <c r="AB201" s="85">
        <f t="shared" si="84"/>
        <v>115920</v>
      </c>
      <c r="AC201" s="85">
        <f>VLOOKUP(K201,'Company Volumes'!$B$20:$C$259,2)</f>
        <v>462.16190842266661</v>
      </c>
      <c r="AD201" s="153">
        <f t="shared" si="88"/>
        <v>0</v>
      </c>
      <c r="AE201" s="150"/>
      <c r="AF201" s="150">
        <v>0</v>
      </c>
      <c r="AG201" s="150">
        <v>0</v>
      </c>
      <c r="AH201" s="150">
        <f t="shared" si="89"/>
        <v>0</v>
      </c>
      <c r="AI201" s="150">
        <f t="shared" si="90"/>
        <v>0</v>
      </c>
      <c r="AJ201" s="150">
        <f t="shared" si="91"/>
        <v>0</v>
      </c>
      <c r="AK201" s="85">
        <f t="shared" si="92"/>
        <v>77088.520875741888</v>
      </c>
      <c r="AL201" s="85">
        <f t="shared" si="93"/>
        <v>196575.72823314182</v>
      </c>
      <c r="AM201" s="85">
        <f t="shared" si="85"/>
        <v>0</v>
      </c>
      <c r="AN201" s="85">
        <f t="shared" si="86"/>
        <v>176275.75106919647</v>
      </c>
      <c r="AO201" s="85">
        <f t="shared" si="94"/>
        <v>38544.260437870944</v>
      </c>
      <c r="AP201" s="85">
        <f t="shared" si="106"/>
        <v>46500.558215233643</v>
      </c>
      <c r="AQ201" s="84">
        <f t="shared" si="95"/>
        <v>534984.81883118476</v>
      </c>
      <c r="AR201" s="85">
        <f t="shared" si="96"/>
        <v>19272.130218935472</v>
      </c>
      <c r="AS201" s="84">
        <f t="shared" si="109"/>
        <v>30387.755000000001</v>
      </c>
      <c r="AT201" s="85">
        <f t="shared" si="97"/>
        <v>0</v>
      </c>
      <c r="AU201" s="84">
        <f t="shared" si="98"/>
        <v>584644.70405012008</v>
      </c>
      <c r="AV201" s="84">
        <f t="shared" si="87"/>
        <v>-584644.70405012008</v>
      </c>
      <c r="AW201" s="453"/>
      <c r="AX201" s="93">
        <f t="shared" ref="AX201:AX246" si="118">K201</f>
        <v>42430</v>
      </c>
      <c r="BA201" s="315"/>
      <c r="BB201" s="134">
        <f t="shared" si="99"/>
        <v>31.050000762939455</v>
      </c>
      <c r="BC201" s="134">
        <f>'Curve Analysis - Base Case'!D193</f>
        <v>47.089136524684854</v>
      </c>
      <c r="BD201" s="131">
        <f t="shared" si="100"/>
        <v>7.4054691650970006E-2</v>
      </c>
      <c r="BE201" s="131">
        <f t="shared" si="101"/>
        <v>7.4054691650970006E-2</v>
      </c>
      <c r="BF201" s="365">
        <f>PJM_01212000!X201</f>
        <v>9.1230032027372995E-2</v>
      </c>
      <c r="BG201" s="85">
        <f t="shared" si="102"/>
        <v>5856</v>
      </c>
      <c r="BH201" s="84">
        <f t="shared" si="103"/>
        <v>0</v>
      </c>
      <c r="BJ201" s="537">
        <f>_xll.EURO(BB201,BC201,BD201,BE201,BF201,BG201,1,0)*BH201</f>
        <v>0</v>
      </c>
      <c r="BK201" s="84">
        <f t="shared" si="104"/>
        <v>0</v>
      </c>
      <c r="BM201" s="84">
        <f t="shared" si="105"/>
        <v>0</v>
      </c>
    </row>
    <row r="202" spans="1:65">
      <c r="A202" s="78">
        <f t="shared" si="115"/>
        <v>196</v>
      </c>
      <c r="C202" s="78">
        <v>30</v>
      </c>
      <c r="D202" s="78" t="s">
        <v>65</v>
      </c>
      <c r="E202" s="113">
        <f t="shared" si="116"/>
        <v>42461</v>
      </c>
      <c r="F202" s="85">
        <f t="shared" si="112"/>
        <v>22</v>
      </c>
      <c r="G202" s="84">
        <f t="shared" si="113"/>
        <v>8</v>
      </c>
      <c r="H202" s="84"/>
      <c r="I202" s="84"/>
      <c r="J202" s="78">
        <f t="shared" si="117"/>
        <v>30</v>
      </c>
      <c r="K202" s="149">
        <v>42461</v>
      </c>
      <c r="L202" s="508">
        <v>7.4049518202690998E-2</v>
      </c>
      <c r="M202" s="509">
        <v>6.4438799660207005E-2</v>
      </c>
      <c r="N202" s="132">
        <f t="shared" si="114"/>
        <v>0.30798042788332364</v>
      </c>
      <c r="O202" s="133">
        <f>VLOOKUP(K202,Inflation!$B$8:$C$266,2)</f>
        <v>1.5451971985264388</v>
      </c>
      <c r="P202" s="132"/>
      <c r="Q202" s="134">
        <f>VLOOKUP(K202,'Fuel Curve'!$B$11:$F$268,5)</f>
        <v>4.4939655172413797</v>
      </c>
      <c r="R202" s="238">
        <f>VLOOKUP(K202,'Fuel Curve Simulation'!$B$12:$J$258,9)</f>
        <v>4.4939655172413797</v>
      </c>
      <c r="S202" s="134">
        <f t="shared" si="83"/>
        <v>43.047695689655178</v>
      </c>
      <c r="T202" s="136"/>
      <c r="V202" s="135">
        <f>VLOOKUP(K202,PJM_01212000!$A$7:$C$259,3)</f>
        <v>30.825000762939453</v>
      </c>
      <c r="W202" s="486"/>
      <c r="X202" s="118">
        <f>'PJM Curve Simulation'!J202</f>
        <v>30.825000762939453</v>
      </c>
      <c r="Y202" s="512"/>
      <c r="Z202" s="137"/>
      <c r="AA202" s="78">
        <f t="shared" ref="AA202:AA229" si="119">AA201</f>
        <v>315</v>
      </c>
      <c r="AB202" s="85">
        <f t="shared" si="84"/>
        <v>110880</v>
      </c>
      <c r="AC202" s="85">
        <f>VLOOKUP(K202,'Company Volumes'!$B$20:$C$259,2)</f>
        <v>6991.6304467022219</v>
      </c>
      <c r="AD202" s="153">
        <f t="shared" si="88"/>
        <v>0</v>
      </c>
      <c r="AE202" s="150"/>
      <c r="AF202" s="150">
        <v>0</v>
      </c>
      <c r="AG202" s="150">
        <v>0</v>
      </c>
      <c r="AH202" s="150">
        <f t="shared" si="89"/>
        <v>0</v>
      </c>
      <c r="AI202" s="150">
        <f t="shared" si="90"/>
        <v>0</v>
      </c>
      <c r="AJ202" s="150">
        <f t="shared" si="91"/>
        <v>0</v>
      </c>
      <c r="AK202" s="85">
        <f t="shared" si="92"/>
        <v>77259.859926321937</v>
      </c>
      <c r="AL202" s="85">
        <f t="shared" si="93"/>
        <v>197012.64281212096</v>
      </c>
      <c r="AM202" s="85">
        <f t="shared" si="85"/>
        <v>0</v>
      </c>
      <c r="AN202" s="85">
        <f t="shared" si="86"/>
        <v>176667.54636485619</v>
      </c>
      <c r="AO202" s="85">
        <f t="shared" si="94"/>
        <v>38629.929963160968</v>
      </c>
      <c r="AP202" s="85">
        <f t="shared" si="106"/>
        <v>46500.558215233643</v>
      </c>
      <c r="AQ202" s="84">
        <f t="shared" si="95"/>
        <v>536070.53728169366</v>
      </c>
      <c r="AR202" s="85">
        <f t="shared" si="96"/>
        <v>19314.964981580484</v>
      </c>
      <c r="AS202" s="84">
        <f t="shared" si="109"/>
        <v>30387.755000000001</v>
      </c>
      <c r="AT202" s="85">
        <f t="shared" si="97"/>
        <v>0</v>
      </c>
      <c r="AU202" s="84">
        <f t="shared" si="98"/>
        <v>585773.25726327393</v>
      </c>
      <c r="AV202" s="84">
        <f t="shared" si="87"/>
        <v>-585773.25726327393</v>
      </c>
      <c r="AW202" s="453"/>
      <c r="AX202" s="93">
        <f t="shared" si="118"/>
        <v>42461</v>
      </c>
      <c r="BA202" s="315"/>
      <c r="BB202" s="134">
        <f t="shared" si="99"/>
        <v>30.825000762939453</v>
      </c>
      <c r="BC202" s="134">
        <f>'Curve Analysis - Base Case'!D194</f>
        <v>46.138090086708054</v>
      </c>
      <c r="BD202" s="131">
        <f t="shared" si="100"/>
        <v>7.4049518202690998E-2</v>
      </c>
      <c r="BE202" s="131">
        <f t="shared" si="101"/>
        <v>7.4049518202690998E-2</v>
      </c>
      <c r="BF202" s="365">
        <f>PJM_01212000!X202</f>
        <v>8.666853042600435E-2</v>
      </c>
      <c r="BG202" s="85">
        <f t="shared" si="102"/>
        <v>5887</v>
      </c>
      <c r="BH202" s="84">
        <f t="shared" si="103"/>
        <v>0</v>
      </c>
      <c r="BJ202" s="537">
        <f>_xll.EURO(BB202,BC202,BD202,BE202,BF202,BG202,1,0)*BH202</f>
        <v>0</v>
      </c>
      <c r="BK202" s="84">
        <f t="shared" si="104"/>
        <v>0</v>
      </c>
      <c r="BM202" s="84">
        <f t="shared" si="105"/>
        <v>0</v>
      </c>
    </row>
    <row r="203" spans="1:65">
      <c r="A203" s="78">
        <f t="shared" si="115"/>
        <v>197</v>
      </c>
      <c r="C203" s="78">
        <v>31</v>
      </c>
      <c r="D203" s="78" t="s">
        <v>38</v>
      </c>
      <c r="E203" s="113">
        <f t="shared" si="116"/>
        <v>42491</v>
      </c>
      <c r="F203" s="85">
        <f t="shared" si="112"/>
        <v>21</v>
      </c>
      <c r="G203" s="84">
        <f t="shared" si="113"/>
        <v>10</v>
      </c>
      <c r="H203" s="84"/>
      <c r="I203" s="84"/>
      <c r="J203" s="78">
        <f t="shared" si="117"/>
        <v>31</v>
      </c>
      <c r="K203" s="149">
        <v>42491</v>
      </c>
      <c r="L203" s="508">
        <v>7.4044511639849001E-2</v>
      </c>
      <c r="M203" s="509">
        <v>6.4450037305121027E-2</v>
      </c>
      <c r="N203" s="132">
        <f t="shared" si="114"/>
        <v>0.30617064880957845</v>
      </c>
      <c r="O203" s="133">
        <f>VLOOKUP(K203,Inflation!$B$8:$C$266,2)</f>
        <v>1.5486315959950478</v>
      </c>
      <c r="P203" s="132"/>
      <c r="Q203" s="134">
        <f>VLOOKUP(K203,'Fuel Curve'!$B$11:$F$268,5)</f>
        <v>4.4267241379310347</v>
      </c>
      <c r="R203" s="238">
        <f>VLOOKUP(K203,'Fuel Curve Simulation'!$B$12:$J$258,9)</f>
        <v>4.4267241379310347</v>
      </c>
      <c r="S203" s="134">
        <f t="shared" si="83"/>
        <v>42.403590517241383</v>
      </c>
      <c r="T203" s="136"/>
      <c r="V203" s="135">
        <f>VLOOKUP(K203,PJM_01212000!$A$7:$C$259,3)</f>
        <v>38.825000000000003</v>
      </c>
      <c r="W203" s="486"/>
      <c r="X203" s="118">
        <f>'PJM Curve Simulation'!J203</f>
        <v>38.825000000000003</v>
      </c>
      <c r="Y203" s="512"/>
      <c r="Z203" s="137"/>
      <c r="AA203" s="78">
        <f t="shared" si="119"/>
        <v>315</v>
      </c>
      <c r="AB203" s="85">
        <f t="shared" si="84"/>
        <v>105840</v>
      </c>
      <c r="AC203" s="85">
        <f>VLOOKUP(K203,'Company Volumes'!$B$20:$C$259,2)</f>
        <v>17781.504892078661</v>
      </c>
      <c r="AD203" s="153">
        <f t="shared" si="88"/>
        <v>0</v>
      </c>
      <c r="AE203" s="150"/>
      <c r="AF203" s="150">
        <v>0</v>
      </c>
      <c r="AG203" s="150">
        <v>0</v>
      </c>
      <c r="AH203" s="150">
        <f t="shared" si="89"/>
        <v>0</v>
      </c>
      <c r="AI203" s="150">
        <f t="shared" si="90"/>
        <v>0</v>
      </c>
      <c r="AJ203" s="150">
        <f t="shared" si="91"/>
        <v>0</v>
      </c>
      <c r="AK203" s="85">
        <f t="shared" si="92"/>
        <v>77431.579799752391</v>
      </c>
      <c r="AL203" s="85">
        <f t="shared" si="93"/>
        <v>197450.52848936862</v>
      </c>
      <c r="AM203" s="85">
        <f t="shared" si="85"/>
        <v>0</v>
      </c>
      <c r="AN203" s="85">
        <f t="shared" si="86"/>
        <v>177060.2124754338</v>
      </c>
      <c r="AO203" s="85">
        <f t="shared" si="94"/>
        <v>38715.789899876196</v>
      </c>
      <c r="AP203" s="85">
        <f t="shared" si="106"/>
        <v>46500.558215233643</v>
      </c>
      <c r="AQ203" s="84">
        <f t="shared" si="95"/>
        <v>537158.66887966462</v>
      </c>
      <c r="AR203" s="85">
        <f t="shared" si="96"/>
        <v>19357.894949938098</v>
      </c>
      <c r="AS203" s="84">
        <f t="shared" si="109"/>
        <v>30387.755000000001</v>
      </c>
      <c r="AT203" s="85">
        <f t="shared" si="97"/>
        <v>0</v>
      </c>
      <c r="AU203" s="84">
        <f t="shared" si="98"/>
        <v>586904.31882960268</v>
      </c>
      <c r="AV203" s="84">
        <f t="shared" si="87"/>
        <v>-586904.31882960268</v>
      </c>
      <c r="AW203" s="453"/>
      <c r="AX203" s="93">
        <f t="shared" si="118"/>
        <v>42491</v>
      </c>
      <c r="BA203" s="315"/>
      <c r="BB203" s="134">
        <f t="shared" si="99"/>
        <v>38.825000000000003</v>
      </c>
      <c r="BC203" s="134">
        <f>'Curve Analysis - Base Case'!D195</f>
        <v>45.500853709231478</v>
      </c>
      <c r="BD203" s="131">
        <f t="shared" si="100"/>
        <v>7.4044511639849001E-2</v>
      </c>
      <c r="BE203" s="131">
        <f t="shared" si="101"/>
        <v>7.4044511639849001E-2</v>
      </c>
      <c r="BF203" s="365">
        <f>PJM_01212000!X203</f>
        <v>9.579153362874164E-2</v>
      </c>
      <c r="BG203" s="85">
        <f t="shared" si="102"/>
        <v>5917</v>
      </c>
      <c r="BH203" s="84">
        <f t="shared" si="103"/>
        <v>0</v>
      </c>
      <c r="BJ203" s="537">
        <f>_xll.EURO(BB203,BC203,BD203,BE203,BF203,BG203,1,0)*BH203</f>
        <v>0</v>
      </c>
      <c r="BK203" s="84">
        <f t="shared" si="104"/>
        <v>0</v>
      </c>
      <c r="BM203" s="84">
        <f t="shared" si="105"/>
        <v>0</v>
      </c>
    </row>
    <row r="204" spans="1:65">
      <c r="A204" s="78">
        <f t="shared" si="115"/>
        <v>198</v>
      </c>
      <c r="C204" s="78">
        <v>30</v>
      </c>
      <c r="D204" s="78" t="s">
        <v>66</v>
      </c>
      <c r="E204" s="113">
        <f t="shared" si="116"/>
        <v>42522</v>
      </c>
      <c r="F204" s="85">
        <f t="shared" si="112"/>
        <v>22</v>
      </c>
      <c r="G204" s="84">
        <f t="shared" si="113"/>
        <v>8</v>
      </c>
      <c r="H204" s="84"/>
      <c r="I204" s="84"/>
      <c r="J204" s="78">
        <f t="shared" si="117"/>
        <v>30</v>
      </c>
      <c r="K204" s="149">
        <v>42522</v>
      </c>
      <c r="L204" s="508">
        <v>7.4039338191588006E-2</v>
      </c>
      <c r="M204" s="509">
        <v>6.4461649539123006E-2</v>
      </c>
      <c r="N204" s="132">
        <f t="shared" si="114"/>
        <v>0.30431196905341251</v>
      </c>
      <c r="O204" s="133">
        <f>VLOOKUP(K204,Inflation!$B$8:$C$266,2)</f>
        <v>1.5520736268492104</v>
      </c>
      <c r="P204" s="132"/>
      <c r="Q204" s="134">
        <f>VLOOKUP(K204,'Fuel Curve'!$B$11:$F$268,5)</f>
        <v>4.4201724137931047</v>
      </c>
      <c r="R204" s="238">
        <f>VLOOKUP(K204,'Fuel Curve Simulation'!$B$12:$J$258,9)</f>
        <v>4.4201724137931047</v>
      </c>
      <c r="S204" s="134">
        <f t="shared" ref="S204:S258" si="120">(R204*$S$2)/1000</f>
        <v>42.34083155172415</v>
      </c>
      <c r="T204" s="136"/>
      <c r="V204" s="135">
        <f>VLOOKUP(K204,PJM_01212000!$A$7:$C$259,3)</f>
        <v>66.849998474121094</v>
      </c>
      <c r="W204" s="486"/>
      <c r="X204" s="118">
        <f>'PJM Curve Simulation'!J204</f>
        <v>66.849998474121094</v>
      </c>
      <c r="Y204" s="512"/>
      <c r="Z204" s="137"/>
      <c r="AA204" s="78">
        <f t="shared" si="119"/>
        <v>315</v>
      </c>
      <c r="AB204" s="85">
        <f t="shared" ref="AB204:AB258" si="121">AA204*F204*16</f>
        <v>110880</v>
      </c>
      <c r="AC204" s="85">
        <f>VLOOKUP(K204,'Company Volumes'!$B$20:$C$259,2)</f>
        <v>34009.045863302214</v>
      </c>
      <c r="AD204" s="153">
        <f t="shared" si="88"/>
        <v>110880</v>
      </c>
      <c r="AE204" s="150"/>
      <c r="AF204" s="150">
        <v>0</v>
      </c>
      <c r="AG204" s="150">
        <v>0</v>
      </c>
      <c r="AH204" s="150">
        <f t="shared" si="89"/>
        <v>7412327.8308105469</v>
      </c>
      <c r="AI204" s="150">
        <f t="shared" si="90"/>
        <v>7412327.8308105469</v>
      </c>
      <c r="AJ204" s="150">
        <f t="shared" si="91"/>
        <v>4694751.4024551734</v>
      </c>
      <c r="AK204" s="85">
        <f t="shared" si="92"/>
        <v>77603.681342460521</v>
      </c>
      <c r="AL204" s="85">
        <f t="shared" si="93"/>
        <v>197889.38742327431</v>
      </c>
      <c r="AM204" s="85">
        <f t="shared" ref="AM204:AM244" si="122">AD204*$AM$5*1000*O204</f>
        <v>344187.84749008087</v>
      </c>
      <c r="AN204" s="85">
        <f t="shared" ref="AN204:AN258" si="123">(($AN$5*O204)/12)*$S$4</f>
        <v>177453.75133642639</v>
      </c>
      <c r="AO204" s="85">
        <f t="shared" si="94"/>
        <v>38801.84067123026</v>
      </c>
      <c r="AP204" s="85">
        <f t="shared" si="106"/>
        <v>46500.558215233643</v>
      </c>
      <c r="AQ204" s="84">
        <f t="shared" si="95"/>
        <v>882437.06647870585</v>
      </c>
      <c r="AR204" s="85">
        <f t="shared" si="96"/>
        <v>19400.92033561513</v>
      </c>
      <c r="AS204" s="84">
        <f t="shared" si="109"/>
        <v>30387.755000000001</v>
      </c>
      <c r="AT204" s="85">
        <f t="shared" si="97"/>
        <v>69026.871238568783</v>
      </c>
      <c r="AU204" s="84">
        <f t="shared" si="98"/>
        <v>5696004.0155080622</v>
      </c>
      <c r="AV204" s="84">
        <f t="shared" ref="AV204:AV245" si="124">AI204-AU204</f>
        <v>1716323.8153024847</v>
      </c>
      <c r="AW204" s="453"/>
      <c r="AX204" s="93">
        <f t="shared" si="118"/>
        <v>42522</v>
      </c>
      <c r="BA204" s="315"/>
      <c r="BB204" s="134">
        <f t="shared" si="99"/>
        <v>66.849998474121094</v>
      </c>
      <c r="BC204" s="134">
        <f>'Curve Analysis - Base Case'!D196</f>
        <v>45.444978805422572</v>
      </c>
      <c r="BD204" s="131">
        <f t="shared" si="100"/>
        <v>7.4039338191588006E-2</v>
      </c>
      <c r="BE204" s="131">
        <f t="shared" si="101"/>
        <v>7.4039338191588006E-2</v>
      </c>
      <c r="BF204" s="365">
        <f>PJM_01212000!X204</f>
        <v>0.12316054323695358</v>
      </c>
      <c r="BG204" s="85">
        <f t="shared" si="102"/>
        <v>5948</v>
      </c>
      <c r="BH204" s="84">
        <f t="shared" si="103"/>
        <v>110880</v>
      </c>
      <c r="BJ204" s="537">
        <f>_xll.EURO(BB204,BC204,BD204,BE204,BF204,BG204,1,0)*BH204</f>
        <v>822685.15214081365</v>
      </c>
      <c r="BK204" s="84">
        <f t="shared" si="104"/>
        <v>826991.03396596375</v>
      </c>
      <c r="BM204" s="84">
        <f t="shared" si="105"/>
        <v>-4305.881825150107</v>
      </c>
    </row>
    <row r="205" spans="1:65">
      <c r="A205" s="78">
        <f t="shared" si="115"/>
        <v>199</v>
      </c>
      <c r="C205" s="78">
        <v>31</v>
      </c>
      <c r="D205" s="78" t="s">
        <v>67</v>
      </c>
      <c r="E205" s="113">
        <f t="shared" si="116"/>
        <v>42552</v>
      </c>
      <c r="F205" s="85">
        <f t="shared" si="112"/>
        <v>22</v>
      </c>
      <c r="G205" s="84">
        <f t="shared" si="113"/>
        <v>9</v>
      </c>
      <c r="H205" s="84"/>
      <c r="I205" s="84"/>
      <c r="J205" s="78">
        <f t="shared" si="117"/>
        <v>31</v>
      </c>
      <c r="K205" s="149">
        <v>42552</v>
      </c>
      <c r="L205" s="508">
        <v>7.4034331628763009E-2</v>
      </c>
      <c r="M205" s="509">
        <v>6.4472887185825001E-2</v>
      </c>
      <c r="N205" s="132">
        <f t="shared" si="114"/>
        <v>0.30252423483066748</v>
      </c>
      <c r="O205" s="133">
        <f>VLOOKUP(K205,Inflation!$B$8:$C$266,2)</f>
        <v>1.5555233080550972</v>
      </c>
      <c r="P205" s="132"/>
      <c r="Q205" s="134">
        <f>VLOOKUP(K205,'Fuel Curve'!$B$11:$F$268,5)</f>
        <v>4.477413793103449</v>
      </c>
      <c r="R205" s="238">
        <f>VLOOKUP(K205,'Fuel Curve Simulation'!$B$12:$J$258,9)</f>
        <v>4.477413793103449</v>
      </c>
      <c r="S205" s="134">
        <f t="shared" si="120"/>
        <v>42.889146724137937</v>
      </c>
      <c r="T205" s="136"/>
      <c r="V205" s="135">
        <f>VLOOKUP(K205,PJM_01212000!$A$7:$C$259,3)</f>
        <v>120.44999694824219</v>
      </c>
      <c r="W205" s="486"/>
      <c r="X205" s="118">
        <f>'PJM Curve Simulation'!J205</f>
        <v>120.44999694824219</v>
      </c>
      <c r="Y205" s="512"/>
      <c r="Z205" s="137"/>
      <c r="AA205" s="78">
        <f t="shared" si="119"/>
        <v>315</v>
      </c>
      <c r="AB205" s="85">
        <f t="shared" si="121"/>
        <v>110880</v>
      </c>
      <c r="AC205" s="85">
        <f>VLOOKUP(K205,'Company Volumes'!$B$20:$C$259,2)</f>
        <v>52207.799391751098</v>
      </c>
      <c r="AD205" s="153">
        <f t="shared" ref="AD205:AD258" si="125">IF(V205&gt;S205+($AM$5*1000*O205),AA205*F205*16,0)</f>
        <v>110880</v>
      </c>
      <c r="AE205" s="150"/>
      <c r="AF205" s="150">
        <v>0</v>
      </c>
      <c r="AG205" s="150">
        <v>0</v>
      </c>
      <c r="AH205" s="150">
        <f t="shared" ref="AH205:AH258" si="126">X205*AD205</f>
        <v>13355495.661621094</v>
      </c>
      <c r="AI205" s="150">
        <f t="shared" ref="AI205:AI258" si="127">SUM(AF205:AH205)</f>
        <v>13355495.661621094</v>
      </c>
      <c r="AJ205" s="150">
        <f t="shared" ref="AJ205:AJ257" si="128">(AD205*1000*$S$2)/1000000*R205</f>
        <v>4755548.5887724143</v>
      </c>
      <c r="AK205" s="85">
        <f t="shared" ref="AK205:AK244" si="129">($AK$5*O205)/12</f>
        <v>77776.165402754865</v>
      </c>
      <c r="AL205" s="85">
        <f t="shared" ref="AL205:AL245" si="130">($AL$5*O205)/12</f>
        <v>198329.22177702491</v>
      </c>
      <c r="AM205" s="85">
        <f t="shared" si="122"/>
        <v>344952.84879429836</v>
      </c>
      <c r="AN205" s="85">
        <f t="shared" si="123"/>
        <v>177848.16488763277</v>
      </c>
      <c r="AO205" s="85">
        <f t="shared" ref="AO205:AO245" si="131">($AO$5*O205)/12</f>
        <v>38888.082701377432</v>
      </c>
      <c r="AP205" s="85">
        <f t="shared" si="106"/>
        <v>46500.558215233643</v>
      </c>
      <c r="AQ205" s="84">
        <f t="shared" ref="AQ205:AQ244" si="132">SUM(AK205:AP205)</f>
        <v>884295.04177832184</v>
      </c>
      <c r="AR205" s="85">
        <f t="shared" ref="AR205:AR258" si="133">($AR$5*O205)/12</f>
        <v>19444.041350688716</v>
      </c>
      <c r="AS205" s="84">
        <f t="shared" si="109"/>
        <v>30387.755000000001</v>
      </c>
      <c r="AT205" s="85">
        <f t="shared" ref="AT205:AT258" si="134">(AI205/100)*$AT$6*O205</f>
        <v>124648.70875368203</v>
      </c>
      <c r="AU205" s="84">
        <f t="shared" ref="AU205:AU258" si="135">SUM(AJ205:AT205)-AQ205</f>
        <v>5814324.135655107</v>
      </c>
      <c r="AV205" s="84">
        <f t="shared" si="124"/>
        <v>7541171.5259659868</v>
      </c>
      <c r="AW205" s="453"/>
      <c r="AX205" s="93">
        <f t="shared" si="118"/>
        <v>42552</v>
      </c>
      <c r="BA205" s="315"/>
      <c r="BB205" s="134">
        <f t="shared" ref="BB205:BB258" si="136">X205</f>
        <v>120.44999694824219</v>
      </c>
      <c r="BC205" s="134">
        <f>'Curve Analysis - Base Case'!D197</f>
        <v>46.000193340248131</v>
      </c>
      <c r="BD205" s="131">
        <f t="shared" ref="BD205:BD258" si="137">L205</f>
        <v>7.4034331628763009E-2</v>
      </c>
      <c r="BE205" s="131">
        <f t="shared" ref="BE205:BE258" si="138">L205</f>
        <v>7.4034331628763009E-2</v>
      </c>
      <c r="BF205" s="365">
        <f>PJM_01212000!X205</f>
        <v>0.15052955284516539</v>
      </c>
      <c r="BG205" s="85">
        <f t="shared" ref="BG205:BG258" si="139">(AX205+15)-$K$1</f>
        <v>5978</v>
      </c>
      <c r="BH205" s="84">
        <f t="shared" ref="BH205:BH258" si="140">AD205</f>
        <v>110880</v>
      </c>
      <c r="BJ205" s="537">
        <f>_xll.EURO(BB205,BC205,BD205,BE205,BF205,BG205,1,0)*BH205</f>
        <v>2492586.2372669517</v>
      </c>
      <c r="BK205" s="84">
        <f t="shared" ref="BK205:BK258" si="141">(AI205-AJ205)*N205</f>
        <v>2601692.4077977855</v>
      </c>
      <c r="BM205" s="84">
        <f t="shared" ref="BM205:BM258" si="142">BJ205-BK205</f>
        <v>-109106.17053083377</v>
      </c>
    </row>
    <row r="206" spans="1:65">
      <c r="A206" s="78">
        <f t="shared" si="115"/>
        <v>200</v>
      </c>
      <c r="C206" s="78">
        <v>31</v>
      </c>
      <c r="D206" s="78" t="s">
        <v>68</v>
      </c>
      <c r="E206" s="113">
        <f t="shared" si="116"/>
        <v>42583</v>
      </c>
      <c r="F206" s="85">
        <f t="shared" si="112"/>
        <v>22</v>
      </c>
      <c r="G206" s="84">
        <f t="shared" si="113"/>
        <v>9</v>
      </c>
      <c r="H206" s="84"/>
      <c r="I206" s="84"/>
      <c r="J206" s="78">
        <f t="shared" si="117"/>
        <v>31</v>
      </c>
      <c r="K206" s="149">
        <v>42583</v>
      </c>
      <c r="L206" s="508">
        <v>7.4029158180519014E-2</v>
      </c>
      <c r="M206" s="509">
        <v>6.4484499421675001E-2</v>
      </c>
      <c r="N206" s="132">
        <f t="shared" si="114"/>
        <v>0.30068819264278024</v>
      </c>
      <c r="O206" s="133">
        <f>VLOOKUP(K206,Inflation!$B$8:$C$266,2)</f>
        <v>1.5589806566165894</v>
      </c>
      <c r="P206" s="132"/>
      <c r="Q206" s="134">
        <f>VLOOKUP(K206,'Fuel Curve'!$B$11:$F$268,5)</f>
        <v>4.5679310344827595</v>
      </c>
      <c r="R206" s="238">
        <f>VLOOKUP(K206,'Fuel Curve Simulation'!$B$12:$J$258,9)</f>
        <v>4.5679310344827595</v>
      </c>
      <c r="S206" s="134">
        <f t="shared" si="120"/>
        <v>43.756211379310358</v>
      </c>
      <c r="T206" s="136"/>
      <c r="V206" s="135">
        <f>VLOOKUP(K206,PJM_01212000!$A$7:$C$259,3)</f>
        <v>107.44999694824219</v>
      </c>
      <c r="W206" s="486"/>
      <c r="X206" s="118">
        <f>'PJM Curve Simulation'!J206</f>
        <v>107.44999694824219</v>
      </c>
      <c r="Y206" s="512"/>
      <c r="Z206" s="137"/>
      <c r="AA206" s="78">
        <f t="shared" si="119"/>
        <v>315</v>
      </c>
      <c r="AB206" s="85">
        <f t="shared" si="121"/>
        <v>110880</v>
      </c>
      <c r="AC206" s="85">
        <f>VLOOKUP(K206,'Company Volumes'!$B$20:$C$259,2)</f>
        <v>34805.199594171994</v>
      </c>
      <c r="AD206" s="153">
        <f t="shared" si="125"/>
        <v>110880</v>
      </c>
      <c r="AE206" s="150"/>
      <c r="AF206" s="150">
        <v>0</v>
      </c>
      <c r="AG206" s="150">
        <v>0</v>
      </c>
      <c r="AH206" s="150">
        <f t="shared" si="126"/>
        <v>11914055.661621094</v>
      </c>
      <c r="AI206" s="150">
        <f t="shared" si="127"/>
        <v>11914055.661621094</v>
      </c>
      <c r="AJ206" s="150">
        <f t="shared" si="128"/>
        <v>4851688.7177379318</v>
      </c>
      <c r="AK206" s="85">
        <f t="shared" si="129"/>
        <v>77949.03283082947</v>
      </c>
      <c r="AL206" s="85">
        <f t="shared" si="130"/>
        <v>198770.03371861516</v>
      </c>
      <c r="AM206" s="85">
        <f t="shared" si="122"/>
        <v>345719.55041129485</v>
      </c>
      <c r="AN206" s="85">
        <f t="shared" si="123"/>
        <v>178243.45507316338</v>
      </c>
      <c r="AO206" s="85">
        <f t="shared" si="131"/>
        <v>38974.516415414735</v>
      </c>
      <c r="AP206" s="85">
        <f t="shared" ref="AP206:AP246" si="143">AP205</f>
        <v>46500.558215233643</v>
      </c>
      <c r="AQ206" s="84">
        <f t="shared" si="132"/>
        <v>886157.14666455123</v>
      </c>
      <c r="AR206" s="85">
        <f t="shared" si="133"/>
        <v>19487.258207707368</v>
      </c>
      <c r="AS206" s="84">
        <f t="shared" si="109"/>
        <v>30387.755000000001</v>
      </c>
      <c r="AT206" s="85">
        <f t="shared" si="134"/>
        <v>111442.69390992388</v>
      </c>
      <c r="AU206" s="84">
        <f t="shared" si="135"/>
        <v>5899163.5715201134</v>
      </c>
      <c r="AV206" s="84">
        <f t="shared" si="124"/>
        <v>6014892.0901009804</v>
      </c>
      <c r="AW206" s="453"/>
      <c r="AX206" s="93">
        <f t="shared" si="118"/>
        <v>42583</v>
      </c>
      <c r="BA206" s="315"/>
      <c r="BB206" s="134">
        <f t="shared" si="136"/>
        <v>107.44999694824219</v>
      </c>
      <c r="BC206" s="134">
        <f>'Curve Analysis - Base Case'!D198</f>
        <v>46.874172692543539</v>
      </c>
      <c r="BD206" s="131">
        <f t="shared" si="137"/>
        <v>7.4029158180519014E-2</v>
      </c>
      <c r="BE206" s="131">
        <f t="shared" si="138"/>
        <v>7.4029158180519014E-2</v>
      </c>
      <c r="BF206" s="365">
        <f>PJM_01212000!X206</f>
        <v>0.15052955284516539</v>
      </c>
      <c r="BG206" s="85">
        <f t="shared" si="139"/>
        <v>6009</v>
      </c>
      <c r="BH206" s="84">
        <f t="shared" si="140"/>
        <v>110880</v>
      </c>
      <c r="BJ206" s="537">
        <f>_xll.EURO(BB206,BC206,BD206,BE206,BF206,BG206,1,0)*BH206</f>
        <v>2042324.6570766708</v>
      </c>
      <c r="BK206" s="84">
        <f t="shared" si="141"/>
        <v>2123570.3521363433</v>
      </c>
      <c r="BM206" s="84">
        <f t="shared" si="142"/>
        <v>-81245.695059672464</v>
      </c>
    </row>
    <row r="207" spans="1:65">
      <c r="A207" s="78">
        <f t="shared" si="115"/>
        <v>201</v>
      </c>
      <c r="C207" s="78">
        <v>30</v>
      </c>
      <c r="D207" s="78" t="s">
        <v>69</v>
      </c>
      <c r="E207" s="113">
        <f t="shared" si="116"/>
        <v>42614</v>
      </c>
      <c r="F207" s="85">
        <f t="shared" si="112"/>
        <v>22</v>
      </c>
      <c r="G207" s="84">
        <f t="shared" si="113"/>
        <v>8</v>
      </c>
      <c r="H207" s="84"/>
      <c r="I207" s="84"/>
      <c r="J207" s="78">
        <f t="shared" si="117"/>
        <v>30</v>
      </c>
      <c r="K207" s="149">
        <v>42614</v>
      </c>
      <c r="L207" s="508">
        <v>7.4023984732284026E-2</v>
      </c>
      <c r="M207" s="509">
        <v>6.4496111658463015E-2</v>
      </c>
      <c r="N207" s="132">
        <f t="shared" si="114"/>
        <v>0.29886354668035636</v>
      </c>
      <c r="O207" s="133">
        <f>VLOOKUP(K207,Inflation!$B$8:$C$266,2)</f>
        <v>1.56244568957536</v>
      </c>
      <c r="P207" s="132"/>
      <c r="Q207" s="134">
        <f>VLOOKUP(K207,'Fuel Curve'!$B$11:$F$268,5)</f>
        <v>4.6627586206896563</v>
      </c>
      <c r="R207" s="238">
        <f>VLOOKUP(K207,'Fuel Curve Simulation'!$B$12:$J$258,9)</f>
        <v>4.6627586206896563</v>
      </c>
      <c r="S207" s="134">
        <f t="shared" si="120"/>
        <v>44.664564827586219</v>
      </c>
      <c r="T207" s="136"/>
      <c r="V207" s="135">
        <f>VLOOKUP(K207,PJM_01212000!$A$7:$C$259,3)</f>
        <v>39.424998474121097</v>
      </c>
      <c r="W207" s="486"/>
      <c r="X207" s="118">
        <f>'PJM Curve Simulation'!J207</f>
        <v>39.424998474121097</v>
      </c>
      <c r="Y207" s="512"/>
      <c r="Z207" s="137"/>
      <c r="AA207" s="78">
        <f t="shared" si="119"/>
        <v>315</v>
      </c>
      <c r="AB207" s="85">
        <f t="shared" si="121"/>
        <v>110880</v>
      </c>
      <c r="AC207" s="85">
        <f>VLOOKUP(K207,'Company Volumes'!$B$20:$C$259,2)</f>
        <v>21732.950422994218</v>
      </c>
      <c r="AD207" s="153">
        <f t="shared" si="125"/>
        <v>0</v>
      </c>
      <c r="AE207" s="150"/>
      <c r="AF207" s="150">
        <v>0</v>
      </c>
      <c r="AG207" s="150">
        <v>0</v>
      </c>
      <c r="AH207" s="150">
        <f t="shared" si="126"/>
        <v>0</v>
      </c>
      <c r="AI207" s="150">
        <f t="shared" si="127"/>
        <v>0</v>
      </c>
      <c r="AJ207" s="150">
        <f t="shared" si="128"/>
        <v>0</v>
      </c>
      <c r="AK207" s="85">
        <f t="shared" si="129"/>
        <v>78122.284478767993</v>
      </c>
      <c r="AL207" s="85">
        <f t="shared" si="130"/>
        <v>199211.82542085843</v>
      </c>
      <c r="AM207" s="85">
        <f t="shared" si="122"/>
        <v>0</v>
      </c>
      <c r="AN207" s="85">
        <f t="shared" si="123"/>
        <v>178639.6238414495</v>
      </c>
      <c r="AO207" s="85">
        <f t="shared" si="131"/>
        <v>39061.142239383997</v>
      </c>
      <c r="AP207" s="85">
        <f t="shared" si="143"/>
        <v>46500.558215233643</v>
      </c>
      <c r="AQ207" s="84">
        <f t="shared" si="132"/>
        <v>541535.43419569358</v>
      </c>
      <c r="AR207" s="85">
        <f t="shared" si="133"/>
        <v>19530.571119691998</v>
      </c>
      <c r="AS207" s="84">
        <f t="shared" si="109"/>
        <v>30387.755000000001</v>
      </c>
      <c r="AT207" s="85">
        <f t="shared" si="134"/>
        <v>0</v>
      </c>
      <c r="AU207" s="84">
        <f t="shared" si="135"/>
        <v>591453.76031538541</v>
      </c>
      <c r="AV207" s="84">
        <f t="shared" si="124"/>
        <v>-591453.76031538541</v>
      </c>
      <c r="AW207" s="453"/>
      <c r="AX207" s="93">
        <f t="shared" si="118"/>
        <v>42614</v>
      </c>
      <c r="BA207" s="315"/>
      <c r="BB207" s="134">
        <f t="shared" si="136"/>
        <v>39.424998474121097</v>
      </c>
      <c r="BC207" s="134">
        <f>'Curve Analysis - Base Case'!D199</f>
        <v>47.789456206736936</v>
      </c>
      <c r="BD207" s="131">
        <f t="shared" si="137"/>
        <v>7.4023984732284026E-2</v>
      </c>
      <c r="BE207" s="131">
        <f t="shared" si="138"/>
        <v>7.4023984732284026E-2</v>
      </c>
      <c r="BF207" s="365">
        <f>PJM_01212000!X207</f>
        <v>9.6759124877516811E-2</v>
      </c>
      <c r="BG207" s="85">
        <f t="shared" si="139"/>
        <v>6040</v>
      </c>
      <c r="BH207" s="84">
        <f t="shared" si="140"/>
        <v>0</v>
      </c>
      <c r="BJ207" s="537">
        <f>_xll.EURO(BB207,BC207,BD207,BE207,BF207,BG207,1,0)*BH207</f>
        <v>0</v>
      </c>
      <c r="BK207" s="84">
        <f t="shared" si="141"/>
        <v>0</v>
      </c>
      <c r="BM207" s="84">
        <f t="shared" si="142"/>
        <v>0</v>
      </c>
    </row>
    <row r="208" spans="1:65">
      <c r="A208" s="78">
        <f t="shared" si="115"/>
        <v>202</v>
      </c>
      <c r="C208" s="78">
        <v>31</v>
      </c>
      <c r="D208" s="78" t="s">
        <v>70</v>
      </c>
      <c r="E208" s="113">
        <f t="shared" si="116"/>
        <v>42644</v>
      </c>
      <c r="F208" s="85">
        <f t="shared" si="112"/>
        <v>21</v>
      </c>
      <c r="G208" s="84">
        <f t="shared" si="113"/>
        <v>10</v>
      </c>
      <c r="H208" s="84"/>
      <c r="I208" s="84"/>
      <c r="J208" s="78">
        <f t="shared" si="117"/>
        <v>31</v>
      </c>
      <c r="K208" s="149">
        <v>42644</v>
      </c>
      <c r="L208" s="508">
        <v>7.4018978169484009E-2</v>
      </c>
      <c r="M208" s="509">
        <v>6.4507349307862005E-2</v>
      </c>
      <c r="N208" s="132">
        <f t="shared" si="114"/>
        <v>0.29710854294764383</v>
      </c>
      <c r="O208" s="133">
        <f>VLOOKUP(K208,Inflation!$B$8:$C$266,2)</f>
        <v>1.5659184240109607</v>
      </c>
      <c r="P208" s="132"/>
      <c r="Q208" s="134">
        <f>VLOOKUP(K208,'Fuel Curve'!$B$11:$F$268,5)</f>
        <v>4.7553448275862067</v>
      </c>
      <c r="R208" s="238">
        <f>VLOOKUP(K208,'Fuel Curve Simulation'!$B$12:$J$258,9)</f>
        <v>4.7553448275862067</v>
      </c>
      <c r="S208" s="134">
        <f t="shared" si="120"/>
        <v>45.551448103448273</v>
      </c>
      <c r="T208" s="136"/>
      <c r="V208" s="135">
        <f>VLOOKUP(K208,PJM_01212000!$A$7:$C$259,3)</f>
        <v>31.575000381469728</v>
      </c>
      <c r="W208" s="486"/>
      <c r="X208" s="118">
        <f>'PJM Curve Simulation'!J208</f>
        <v>31.575000381469728</v>
      </c>
      <c r="Y208" s="512"/>
      <c r="Z208" s="137"/>
      <c r="AA208" s="78">
        <f t="shared" si="119"/>
        <v>315</v>
      </c>
      <c r="AB208" s="85">
        <f t="shared" si="121"/>
        <v>105840</v>
      </c>
      <c r="AC208" s="85">
        <f>VLOOKUP(K208,'Company Volumes'!$B$20:$C$259,2)</f>
        <v>2847.4520869137777</v>
      </c>
      <c r="AD208" s="153">
        <f t="shared" si="125"/>
        <v>0</v>
      </c>
      <c r="AE208" s="150"/>
      <c r="AF208" s="150">
        <v>0</v>
      </c>
      <c r="AG208" s="150">
        <v>0</v>
      </c>
      <c r="AH208" s="150">
        <f t="shared" si="126"/>
        <v>0</v>
      </c>
      <c r="AI208" s="150">
        <f t="shared" si="127"/>
        <v>0</v>
      </c>
      <c r="AJ208" s="150">
        <f t="shared" si="128"/>
        <v>0</v>
      </c>
      <c r="AK208" s="85">
        <f t="shared" si="129"/>
        <v>78295.921200548037</v>
      </c>
      <c r="AL208" s="85">
        <f t="shared" si="130"/>
        <v>199654.59906139749</v>
      </c>
      <c r="AM208" s="85">
        <f t="shared" si="122"/>
        <v>0</v>
      </c>
      <c r="AN208" s="85">
        <f t="shared" si="123"/>
        <v>179036.67314525315</v>
      </c>
      <c r="AO208" s="85">
        <f t="shared" si="131"/>
        <v>39147.960600274018</v>
      </c>
      <c r="AP208" s="85">
        <f t="shared" si="143"/>
        <v>46500.558215233643</v>
      </c>
      <c r="AQ208" s="84">
        <f t="shared" si="132"/>
        <v>542635.71222270641</v>
      </c>
      <c r="AR208" s="85">
        <f t="shared" si="133"/>
        <v>19573.980300137009</v>
      </c>
      <c r="AS208" s="84">
        <f t="shared" si="109"/>
        <v>30387.755000000001</v>
      </c>
      <c r="AT208" s="85">
        <f t="shared" si="134"/>
        <v>0</v>
      </c>
      <c r="AU208" s="84">
        <f t="shared" si="135"/>
        <v>592597.44752284337</v>
      </c>
      <c r="AV208" s="84">
        <f t="shared" si="124"/>
        <v>-592597.44752284337</v>
      </c>
      <c r="AW208" s="453"/>
      <c r="AX208" s="93">
        <f t="shared" si="118"/>
        <v>42644</v>
      </c>
      <c r="BA208" s="315"/>
      <c r="BB208" s="134">
        <f t="shared" si="136"/>
        <v>31.575000381469728</v>
      </c>
      <c r="BC208" s="134">
        <f>'Curve Analysis - Base Case'!D200</f>
        <v>48.683284951470192</v>
      </c>
      <c r="BD208" s="131">
        <f t="shared" si="137"/>
        <v>7.4018978169484009E-2</v>
      </c>
      <c r="BE208" s="131">
        <f t="shared" si="138"/>
        <v>7.4018978169484009E-2</v>
      </c>
      <c r="BF208" s="365">
        <f>PJM_01212000!X208</f>
        <v>6.8422524020529729E-2</v>
      </c>
      <c r="BG208" s="85">
        <f t="shared" si="139"/>
        <v>6070</v>
      </c>
      <c r="BH208" s="84">
        <f t="shared" si="140"/>
        <v>0</v>
      </c>
      <c r="BJ208" s="537">
        <f>_xll.EURO(BB208,BC208,BD208,BE208,BF208,BG208,1,0)*BH208</f>
        <v>0</v>
      </c>
      <c r="BK208" s="84">
        <f t="shared" si="141"/>
        <v>0</v>
      </c>
      <c r="BM208" s="84">
        <f t="shared" si="142"/>
        <v>0</v>
      </c>
    </row>
    <row r="209" spans="1:65">
      <c r="A209" s="78">
        <f t="shared" si="115"/>
        <v>203</v>
      </c>
      <c r="C209" s="78">
        <v>30</v>
      </c>
      <c r="D209" s="78" t="s">
        <v>71</v>
      </c>
      <c r="E209" s="113">
        <f t="shared" si="116"/>
        <v>42675</v>
      </c>
      <c r="F209" s="85">
        <f t="shared" si="112"/>
        <v>22</v>
      </c>
      <c r="G209" s="84">
        <f t="shared" si="113"/>
        <v>8</v>
      </c>
      <c r="H209" s="84"/>
      <c r="I209" s="84"/>
      <c r="J209" s="78">
        <f t="shared" si="117"/>
        <v>30</v>
      </c>
      <c r="K209" s="149">
        <v>42675</v>
      </c>
      <c r="L209" s="508">
        <v>7.4013804721266022E-2</v>
      </c>
      <c r="M209" s="509">
        <v>6.4518961546497014E-2</v>
      </c>
      <c r="N209" s="132">
        <f t="shared" si="114"/>
        <v>0.29530611133658613</v>
      </c>
      <c r="O209" s="133">
        <f>VLOOKUP(K209,Inflation!$B$8:$C$266,2)</f>
        <v>1.5693988770409044</v>
      </c>
      <c r="P209" s="132"/>
      <c r="Q209" s="134">
        <f>VLOOKUP(K209,'Fuel Curve'!$B$11:$F$268,5)</f>
        <v>4.8046551724137938</v>
      </c>
      <c r="R209" s="238">
        <f>VLOOKUP(K209,'Fuel Curve Simulation'!$B$12:$J$258,9)</f>
        <v>4.8046551724137938</v>
      </c>
      <c r="S209" s="134">
        <f t="shared" si="120"/>
        <v>46.023791896551728</v>
      </c>
      <c r="T209" s="136"/>
      <c r="V209" s="135">
        <f>VLOOKUP(K209,PJM_01212000!$A$7:$C$259,3)</f>
        <v>31.247499084472658</v>
      </c>
      <c r="W209" s="486"/>
      <c r="X209" s="118">
        <f>'PJM Curve Simulation'!J209</f>
        <v>31.247499084472658</v>
      </c>
      <c r="Y209" s="512"/>
      <c r="Z209" s="137"/>
      <c r="AA209" s="78">
        <f t="shared" si="119"/>
        <v>315</v>
      </c>
      <c r="AB209" s="85">
        <f t="shared" si="121"/>
        <v>110880</v>
      </c>
      <c r="AC209" s="85">
        <f>VLOOKUP(K209,'Company Volumes'!$B$20:$C$259,2)</f>
        <v>7520.6351461639979</v>
      </c>
      <c r="AD209" s="153">
        <f t="shared" si="125"/>
        <v>0</v>
      </c>
      <c r="AE209" s="150"/>
      <c r="AF209" s="150">
        <v>0</v>
      </c>
      <c r="AG209" s="150">
        <v>0</v>
      </c>
      <c r="AH209" s="150">
        <f t="shared" si="126"/>
        <v>0</v>
      </c>
      <c r="AI209" s="150">
        <f t="shared" si="127"/>
        <v>0</v>
      </c>
      <c r="AJ209" s="150">
        <f t="shared" si="128"/>
        <v>0</v>
      </c>
      <c r="AK209" s="85">
        <f t="shared" si="129"/>
        <v>78469.943852045224</v>
      </c>
      <c r="AL209" s="85">
        <f t="shared" si="130"/>
        <v>200098.35682271529</v>
      </c>
      <c r="AM209" s="85">
        <f t="shared" si="122"/>
        <v>0</v>
      </c>
      <c r="AN209" s="85">
        <f t="shared" si="123"/>
        <v>179434.60494167675</v>
      </c>
      <c r="AO209" s="85">
        <f t="shared" si="131"/>
        <v>39234.971926022612</v>
      </c>
      <c r="AP209" s="85">
        <f t="shared" si="143"/>
        <v>46500.558215233643</v>
      </c>
      <c r="AQ209" s="84">
        <f t="shared" si="132"/>
        <v>543738.43575769349</v>
      </c>
      <c r="AR209" s="85">
        <f t="shared" si="133"/>
        <v>19617.485963011306</v>
      </c>
      <c r="AS209" s="84">
        <f t="shared" si="109"/>
        <v>30387.755000000001</v>
      </c>
      <c r="AT209" s="85">
        <f t="shared" si="134"/>
        <v>0</v>
      </c>
      <c r="AU209" s="84">
        <f t="shared" si="135"/>
        <v>593743.67672070477</v>
      </c>
      <c r="AV209" s="84">
        <f t="shared" si="124"/>
        <v>-593743.67672070477</v>
      </c>
      <c r="AW209" s="453"/>
      <c r="AX209" s="93">
        <f t="shared" si="118"/>
        <v>42675</v>
      </c>
      <c r="BA209" s="315"/>
      <c r="BB209" s="134">
        <f t="shared" si="136"/>
        <v>31.247499084472658</v>
      </c>
      <c r="BC209" s="134">
        <f>'Curve Analysis - Base Case'!D201</f>
        <v>49.162589650633535</v>
      </c>
      <c r="BD209" s="131">
        <f t="shared" si="137"/>
        <v>7.4013804721266022E-2</v>
      </c>
      <c r="BE209" s="131">
        <f t="shared" si="138"/>
        <v>7.4013804721266022E-2</v>
      </c>
      <c r="BF209" s="365">
        <f>PJM_01212000!X209</f>
        <v>6.8422524020529729E-2</v>
      </c>
      <c r="BG209" s="85">
        <f t="shared" si="139"/>
        <v>6101</v>
      </c>
      <c r="BH209" s="84">
        <f t="shared" si="140"/>
        <v>0</v>
      </c>
      <c r="BJ209" s="537">
        <f>_xll.EURO(BB209,BC209,BD209,BE209,BF209,BG209,1,0)*BH209</f>
        <v>0</v>
      </c>
      <c r="BK209" s="84">
        <f t="shared" si="141"/>
        <v>0</v>
      </c>
      <c r="BM209" s="84">
        <f t="shared" si="142"/>
        <v>0</v>
      </c>
    </row>
    <row r="210" spans="1:65">
      <c r="A210" s="78">
        <f t="shared" si="115"/>
        <v>204</v>
      </c>
      <c r="C210" s="78">
        <v>31</v>
      </c>
      <c r="D210" s="78" t="s">
        <v>72</v>
      </c>
      <c r="E210" s="113">
        <f t="shared" si="116"/>
        <v>42705</v>
      </c>
      <c r="F210" s="85">
        <f t="shared" si="112"/>
        <v>23</v>
      </c>
      <c r="G210" s="84">
        <f t="shared" si="113"/>
        <v>8</v>
      </c>
      <c r="H210" s="84">
        <f>SUM(F199:G210)</f>
        <v>366</v>
      </c>
      <c r="I210" s="84"/>
      <c r="J210" s="78">
        <f t="shared" si="117"/>
        <v>31</v>
      </c>
      <c r="K210" s="149">
        <v>42705</v>
      </c>
      <c r="L210" s="508">
        <v>7.4008798158483005E-2</v>
      </c>
      <c r="M210" s="509">
        <v>6.4530199197684018E-2</v>
      </c>
      <c r="N210" s="132">
        <f t="shared" si="114"/>
        <v>0.29357247131203396</v>
      </c>
      <c r="O210" s="133">
        <f>VLOOKUP(K210,Inflation!$B$8:$C$266,2)</f>
        <v>1.5728870658207486</v>
      </c>
      <c r="P210" s="132"/>
      <c r="Q210" s="134">
        <f>VLOOKUP(K210,'Fuel Curve'!$B$11:$F$268,5)</f>
        <v>4.8474137931034491</v>
      </c>
      <c r="R210" s="238">
        <f>VLOOKUP(K210,'Fuel Curve Simulation'!$B$12:$J$258,9)</f>
        <v>4.8474137931034491</v>
      </c>
      <c r="S210" s="134">
        <f t="shared" si="120"/>
        <v>46.433376724137936</v>
      </c>
      <c r="T210" s="136"/>
      <c r="V210" s="135">
        <f>VLOOKUP(K210,PJM_01212000!$A$7:$C$259,3)</f>
        <v>32.999999618530275</v>
      </c>
      <c r="W210" s="486"/>
      <c r="X210" s="118">
        <f>'PJM Curve Simulation'!J210</f>
        <v>32.999999618530275</v>
      </c>
      <c r="Y210" s="512"/>
      <c r="Z210" s="137"/>
      <c r="AA210" s="78">
        <f t="shared" si="119"/>
        <v>315</v>
      </c>
      <c r="AB210" s="85">
        <f t="shared" si="121"/>
        <v>115920</v>
      </c>
      <c r="AC210" s="85">
        <f>VLOOKUP(K210,'Company Volumes'!$B$20:$C$259,2)</f>
        <v>7520.6351461639979</v>
      </c>
      <c r="AD210" s="153">
        <f t="shared" si="125"/>
        <v>0</v>
      </c>
      <c r="AE210" s="150"/>
      <c r="AF210" s="150">
        <v>0</v>
      </c>
      <c r="AG210" s="150">
        <v>0</v>
      </c>
      <c r="AH210" s="150">
        <f t="shared" si="126"/>
        <v>0</v>
      </c>
      <c r="AI210" s="150">
        <f t="shared" si="127"/>
        <v>0</v>
      </c>
      <c r="AJ210" s="150">
        <f t="shared" si="128"/>
        <v>0</v>
      </c>
      <c r="AK210" s="85">
        <f t="shared" si="129"/>
        <v>78644.35329103742</v>
      </c>
      <c r="AL210" s="85">
        <f t="shared" si="130"/>
        <v>200543.10089214545</v>
      </c>
      <c r="AM210" s="85">
        <f t="shared" si="122"/>
        <v>0</v>
      </c>
      <c r="AN210" s="85">
        <f t="shared" si="123"/>
        <v>179833.42119217225</v>
      </c>
      <c r="AO210" s="85">
        <f t="shared" si="131"/>
        <v>39322.17664551871</v>
      </c>
      <c r="AP210" s="85">
        <f t="shared" si="143"/>
        <v>46500.558215233643</v>
      </c>
      <c r="AQ210" s="84">
        <f t="shared" si="132"/>
        <v>544843.61023610749</v>
      </c>
      <c r="AR210" s="85">
        <f t="shared" si="133"/>
        <v>19661.088322759355</v>
      </c>
      <c r="AS210" s="84">
        <f t="shared" si="109"/>
        <v>30387.755000000001</v>
      </c>
      <c r="AT210" s="85">
        <f t="shared" si="134"/>
        <v>0</v>
      </c>
      <c r="AU210" s="84">
        <f t="shared" si="135"/>
        <v>594892.45355886675</v>
      </c>
      <c r="AV210" s="84">
        <f t="shared" si="124"/>
        <v>-594892.45355886675</v>
      </c>
      <c r="AW210" s="453"/>
      <c r="AX210" s="93">
        <f t="shared" si="118"/>
        <v>42705</v>
      </c>
      <c r="AY210" s="85">
        <f ca="1">'Debt Amortization'!X8</f>
        <v>8356131.0186134782</v>
      </c>
      <c r="AZ210" s="85">
        <f ca="1">AY210*N210</f>
        <v>2453130.0337415026</v>
      </c>
      <c r="BA210" s="315"/>
      <c r="BB210" s="134">
        <f t="shared" si="136"/>
        <v>32.999999618530275</v>
      </c>
      <c r="BC210" s="134">
        <f>'Curve Analysis - Base Case'!D202</f>
        <v>49.579150855779432</v>
      </c>
      <c r="BD210" s="131">
        <f t="shared" si="137"/>
        <v>7.4008798158483005E-2</v>
      </c>
      <c r="BE210" s="131">
        <f t="shared" si="138"/>
        <v>7.4008798158483005E-2</v>
      </c>
      <c r="BF210" s="365">
        <f>PJM_01212000!X210</f>
        <v>6.8422524020529729E-2</v>
      </c>
      <c r="BG210" s="85">
        <f t="shared" si="139"/>
        <v>6131</v>
      </c>
      <c r="BH210" s="84">
        <f t="shared" si="140"/>
        <v>0</v>
      </c>
      <c r="BJ210" s="537">
        <f>_xll.EURO(BB210,BC210,BD210,BE210,BF210,BG210,1,0)*BH210</f>
        <v>0</v>
      </c>
      <c r="BK210" s="84">
        <f t="shared" si="141"/>
        <v>0</v>
      </c>
      <c r="BM210" s="84">
        <f t="shared" si="142"/>
        <v>0</v>
      </c>
    </row>
    <row r="211" spans="1:65">
      <c r="A211" s="78">
        <f t="shared" si="115"/>
        <v>205</v>
      </c>
      <c r="C211" s="78">
        <v>31</v>
      </c>
      <c r="D211" s="78" t="s">
        <v>62</v>
      </c>
      <c r="E211" s="113">
        <f t="shared" si="116"/>
        <v>42736</v>
      </c>
      <c r="F211" s="85">
        <f t="shared" si="112"/>
        <v>23</v>
      </c>
      <c r="G211" s="84">
        <f>C211-F211</f>
        <v>8</v>
      </c>
      <c r="H211" s="84"/>
      <c r="I211" s="84"/>
      <c r="J211" s="78">
        <f t="shared" si="117"/>
        <v>31</v>
      </c>
      <c r="K211" s="149">
        <v>42736</v>
      </c>
      <c r="L211" s="508">
        <v>7.4003624710283017E-2</v>
      </c>
      <c r="M211" s="509">
        <v>6.4541811438167007E-2</v>
      </c>
      <c r="N211" s="132">
        <f t="shared" si="114"/>
        <v>0.29179197789887656</v>
      </c>
      <c r="O211" s="133">
        <f>VLOOKUP(K211,Inflation!$B$8:$C$266,2)</f>
        <v>1.5763830075441834</v>
      </c>
      <c r="P211" s="132"/>
      <c r="Q211" s="134">
        <f>VLOOKUP(K211,'Fuel Curve'!$B$11:$F$268,5)</f>
        <v>4.7901724137931048</v>
      </c>
      <c r="R211" s="238">
        <f>VLOOKUP(K211,'Fuel Curve Simulation'!$B$12:$J$258,9)</f>
        <v>4.7901724137931048</v>
      </c>
      <c r="S211" s="134">
        <f t="shared" si="120"/>
        <v>45.885061551724156</v>
      </c>
      <c r="T211" s="136"/>
      <c r="V211" s="135">
        <f>VLOOKUP(K211,PJM_01212000!$A$7:$C$259,3)</f>
        <v>41.574998474121088</v>
      </c>
      <c r="W211" s="486"/>
      <c r="X211" s="118">
        <f>'PJM Curve Simulation'!J211</f>
        <v>41.574998474121088</v>
      </c>
      <c r="Y211" s="512"/>
      <c r="Z211" s="137"/>
      <c r="AA211" s="78">
        <f t="shared" si="119"/>
        <v>315</v>
      </c>
      <c r="AB211" s="85">
        <f t="shared" si="121"/>
        <v>115920</v>
      </c>
      <c r="AC211" s="85">
        <f>VLOOKUP(K211,'Company Volumes'!$B$20:$C$259,2)</f>
        <v>14369.033868843107</v>
      </c>
      <c r="AD211" s="153">
        <f t="shared" si="125"/>
        <v>0</v>
      </c>
      <c r="AE211" s="150"/>
      <c r="AF211" s="150">
        <v>0</v>
      </c>
      <c r="AG211" s="150">
        <v>0</v>
      </c>
      <c r="AH211" s="150">
        <f t="shared" si="126"/>
        <v>0</v>
      </c>
      <c r="AI211" s="150">
        <f t="shared" si="127"/>
        <v>0</v>
      </c>
      <c r="AJ211" s="150">
        <f t="shared" si="128"/>
        <v>0</v>
      </c>
      <c r="AK211" s="85">
        <f t="shared" si="129"/>
        <v>78819.150377209167</v>
      </c>
      <c r="AL211" s="85">
        <f t="shared" si="130"/>
        <v>200988.83346188336</v>
      </c>
      <c r="AM211" s="85">
        <f t="shared" si="122"/>
        <v>0</v>
      </c>
      <c r="AN211" s="85">
        <f t="shared" si="123"/>
        <v>180233.12386255164</v>
      </c>
      <c r="AO211" s="85">
        <f t="shared" si="131"/>
        <v>39409.575188604584</v>
      </c>
      <c r="AP211" s="85">
        <f t="shared" si="143"/>
        <v>46500.558215233643</v>
      </c>
      <c r="AQ211" s="84">
        <f t="shared" si="132"/>
        <v>545951.24110548245</v>
      </c>
      <c r="AR211" s="85">
        <f t="shared" si="133"/>
        <v>19704.787594302292</v>
      </c>
      <c r="AS211" s="84">
        <f t="shared" si="109"/>
        <v>30387.755000000001</v>
      </c>
      <c r="AT211" s="85">
        <f t="shared" si="134"/>
        <v>0</v>
      </c>
      <c r="AU211" s="84">
        <f t="shared" si="135"/>
        <v>596043.78369978466</v>
      </c>
      <c r="AV211" s="84">
        <f t="shared" si="124"/>
        <v>-596043.78369978466</v>
      </c>
      <c r="AW211" s="453"/>
      <c r="AX211" s="93">
        <f t="shared" si="118"/>
        <v>42736</v>
      </c>
      <c r="BA211" s="315"/>
      <c r="BB211" s="134">
        <f t="shared" si="136"/>
        <v>41.574998474121088</v>
      </c>
      <c r="BC211" s="134">
        <f>'Curve Analysis - Base Case'!D203</f>
        <v>49.037827566812524</v>
      </c>
      <c r="BD211" s="131">
        <f t="shared" si="137"/>
        <v>7.4003624710283017E-2</v>
      </c>
      <c r="BE211" s="131">
        <f t="shared" si="138"/>
        <v>7.4003624710283017E-2</v>
      </c>
      <c r="BF211" s="365">
        <f>PJM_01212000!X211</f>
        <v>0.10509699689553371</v>
      </c>
      <c r="BG211" s="85">
        <f t="shared" si="139"/>
        <v>6162</v>
      </c>
      <c r="BH211" s="84">
        <f t="shared" si="140"/>
        <v>0</v>
      </c>
      <c r="BJ211" s="537">
        <f>_xll.EURO(BB211,BC211,BD211,BE211,BF211,BG211,1,0)*BH211</f>
        <v>0</v>
      </c>
      <c r="BK211" s="84">
        <f t="shared" si="141"/>
        <v>0</v>
      </c>
      <c r="BM211" s="84">
        <f t="shared" si="142"/>
        <v>0</v>
      </c>
    </row>
    <row r="212" spans="1:65">
      <c r="A212" s="78">
        <f t="shared" si="115"/>
        <v>206</v>
      </c>
      <c r="C212" s="78">
        <v>28</v>
      </c>
      <c r="D212" s="78" t="s">
        <v>63</v>
      </c>
      <c r="E212" s="113">
        <f t="shared" si="116"/>
        <v>42767</v>
      </c>
      <c r="F212" s="85">
        <f t="shared" si="112"/>
        <v>20</v>
      </c>
      <c r="G212" s="84">
        <f t="shared" ref="G212:G222" si="144">C212-F212</f>
        <v>8</v>
      </c>
      <c r="H212" s="84"/>
      <c r="I212" s="84"/>
      <c r="J212" s="78">
        <f t="shared" si="117"/>
        <v>28</v>
      </c>
      <c r="K212" s="149">
        <v>42767</v>
      </c>
      <c r="L212" s="508">
        <v>7.3998451262091008E-2</v>
      </c>
      <c r="M212" s="509">
        <v>6.455342367958801E-2</v>
      </c>
      <c r="N212" s="132">
        <f t="shared" si="114"/>
        <v>0.29002252869908596</v>
      </c>
      <c r="O212" s="133">
        <f>VLOOKUP(K212,Inflation!$B$8:$C$266,2)</f>
        <v>1.5798867194431119</v>
      </c>
      <c r="P212" s="132"/>
      <c r="Q212" s="134">
        <f>VLOOKUP(K212,'Fuel Curve'!$B$11:$F$268,5)</f>
        <v>4.6910344827586217</v>
      </c>
      <c r="R212" s="238">
        <f>VLOOKUP(K212,'Fuel Curve Simulation'!$B$12:$J$258,9)</f>
        <v>4.6910344827586217</v>
      </c>
      <c r="S212" s="134">
        <f t="shared" si="120"/>
        <v>44.935419310344834</v>
      </c>
      <c r="T212" s="136"/>
      <c r="V212" s="135">
        <f>VLOOKUP(K212,PJM_01212000!$A$7:$C$259,3)</f>
        <v>41.574998474121088</v>
      </c>
      <c r="W212" s="486"/>
      <c r="X212" s="118">
        <f>'PJM Curve Simulation'!J212</f>
        <v>41.574998474121088</v>
      </c>
      <c r="Y212" s="512"/>
      <c r="Z212" s="137"/>
      <c r="AA212" s="78">
        <f t="shared" si="119"/>
        <v>315</v>
      </c>
      <c r="AB212" s="85">
        <f t="shared" si="121"/>
        <v>100800</v>
      </c>
      <c r="AC212" s="85">
        <f>VLOOKUP(K212,'Company Volumes'!$B$20:$C$259,2)</f>
        <v>451.6582285288888</v>
      </c>
      <c r="AD212" s="153">
        <f t="shared" si="125"/>
        <v>0</v>
      </c>
      <c r="AE212" s="150"/>
      <c r="AF212" s="150">
        <v>0</v>
      </c>
      <c r="AG212" s="150">
        <v>0</v>
      </c>
      <c r="AH212" s="150">
        <f t="shared" si="126"/>
        <v>0</v>
      </c>
      <c r="AI212" s="150">
        <f t="shared" si="127"/>
        <v>0</v>
      </c>
      <c r="AJ212" s="150">
        <f t="shared" si="128"/>
        <v>0</v>
      </c>
      <c r="AK212" s="85">
        <f t="shared" si="129"/>
        <v>78994.33597215559</v>
      </c>
      <c r="AL212" s="85">
        <f t="shared" si="130"/>
        <v>201435.55672899677</v>
      </c>
      <c r="AM212" s="85">
        <f t="shared" si="122"/>
        <v>0</v>
      </c>
      <c r="AN212" s="85">
        <f t="shared" si="123"/>
        <v>180633.71492299577</v>
      </c>
      <c r="AO212" s="85">
        <f t="shared" si="131"/>
        <v>39497.167986077795</v>
      </c>
      <c r="AP212" s="85">
        <f t="shared" si="143"/>
        <v>46500.558215233643</v>
      </c>
      <c r="AQ212" s="84">
        <f t="shared" si="132"/>
        <v>547061.33382545959</v>
      </c>
      <c r="AR212" s="85">
        <f t="shared" si="133"/>
        <v>19748.583993038897</v>
      </c>
      <c r="AS212" s="84">
        <f t="shared" si="109"/>
        <v>30387.755000000001</v>
      </c>
      <c r="AT212" s="85">
        <f t="shared" si="134"/>
        <v>0</v>
      </c>
      <c r="AU212" s="84">
        <f t="shared" si="135"/>
        <v>597197.67281849834</v>
      </c>
      <c r="AV212" s="84">
        <f t="shared" si="124"/>
        <v>-597197.67281849834</v>
      </c>
      <c r="AW212" s="453"/>
      <c r="AX212" s="93">
        <f t="shared" si="118"/>
        <v>42767</v>
      </c>
      <c r="BA212" s="315"/>
      <c r="BB212" s="134">
        <f t="shared" si="136"/>
        <v>41.574998474121088</v>
      </c>
      <c r="BC212" s="134">
        <f>'Curve Analysis - Base Case'!D204</f>
        <v>48.09519274923106</v>
      </c>
      <c r="BD212" s="131">
        <f t="shared" si="137"/>
        <v>7.3998451262091008E-2</v>
      </c>
      <c r="BE212" s="131">
        <f t="shared" si="138"/>
        <v>7.3998451262091008E-2</v>
      </c>
      <c r="BF212" s="365">
        <f>PJM_01212000!X212</f>
        <v>0.10509699689553371</v>
      </c>
      <c r="BG212" s="85">
        <f t="shared" si="139"/>
        <v>6193</v>
      </c>
      <c r="BH212" s="84">
        <f t="shared" si="140"/>
        <v>0</v>
      </c>
      <c r="BJ212" s="537">
        <f>_xll.EURO(BB212,BC212,BD212,BE212,BF212,BG212,1,0)*BH212</f>
        <v>0</v>
      </c>
      <c r="BK212" s="84">
        <f t="shared" si="141"/>
        <v>0</v>
      </c>
      <c r="BM212" s="84">
        <f t="shared" si="142"/>
        <v>0</v>
      </c>
    </row>
    <row r="213" spans="1:65">
      <c r="A213" s="78">
        <f t="shared" si="115"/>
        <v>207</v>
      </c>
      <c r="C213" s="78">
        <v>31</v>
      </c>
      <c r="D213" s="78" t="s">
        <v>64</v>
      </c>
      <c r="E213" s="113">
        <f t="shared" si="116"/>
        <v>42795</v>
      </c>
      <c r="F213" s="85">
        <f t="shared" si="112"/>
        <v>22</v>
      </c>
      <c r="G213" s="84">
        <f t="shared" si="144"/>
        <v>9</v>
      </c>
      <c r="H213" s="84"/>
      <c r="I213" s="84"/>
      <c r="J213" s="78">
        <f t="shared" si="117"/>
        <v>31</v>
      </c>
      <c r="K213" s="149">
        <v>42795</v>
      </c>
      <c r="L213" s="508">
        <v>7.3993778470185012E-2</v>
      </c>
      <c r="M213" s="509">
        <v>6.4563912156518008E-2</v>
      </c>
      <c r="N213" s="132">
        <f t="shared" si="114"/>
        <v>0.28843375105362712</v>
      </c>
      <c r="O213" s="133">
        <f>VLOOKUP(K213,Inflation!$B$8:$C$266,2)</f>
        <v>1.5833982187877385</v>
      </c>
      <c r="P213" s="132"/>
      <c r="Q213" s="134">
        <f>VLOOKUP(K213,'Fuel Curve'!$B$11:$F$268,5)</f>
        <v>4.5939655172413802</v>
      </c>
      <c r="R213" s="238">
        <f>VLOOKUP(K213,'Fuel Curve Simulation'!$B$12:$J$258,9)</f>
        <v>4.5939655172413802</v>
      </c>
      <c r="S213" s="134">
        <f t="shared" si="120"/>
        <v>44.005595689655181</v>
      </c>
      <c r="T213" s="136"/>
      <c r="V213" s="135">
        <f>VLOOKUP(K213,PJM_01212000!$A$7:$C$259,3)</f>
        <v>31.300000762939455</v>
      </c>
      <c r="W213" s="486"/>
      <c r="X213" s="118">
        <f>'PJM Curve Simulation'!J213</f>
        <v>31.300000762939455</v>
      </c>
      <c r="Y213" s="512"/>
      <c r="Z213" s="137"/>
      <c r="AA213" s="78">
        <f t="shared" si="119"/>
        <v>315</v>
      </c>
      <c r="AB213" s="85">
        <f t="shared" si="121"/>
        <v>110880</v>
      </c>
      <c r="AC213" s="85">
        <f>VLOOKUP(K213,'Company Volumes'!$B$20:$C$259,2)</f>
        <v>451.6582285288888</v>
      </c>
      <c r="AD213" s="153">
        <f t="shared" si="125"/>
        <v>0</v>
      </c>
      <c r="AE213" s="150"/>
      <c r="AF213" s="150">
        <v>0</v>
      </c>
      <c r="AG213" s="150">
        <v>0</v>
      </c>
      <c r="AH213" s="150">
        <f t="shared" si="126"/>
        <v>0</v>
      </c>
      <c r="AI213" s="150">
        <f t="shared" si="127"/>
        <v>0</v>
      </c>
      <c r="AJ213" s="150">
        <f t="shared" si="128"/>
        <v>0</v>
      </c>
      <c r="AK213" s="85">
        <f t="shared" si="129"/>
        <v>79169.910939386915</v>
      </c>
      <c r="AL213" s="85">
        <f t="shared" si="130"/>
        <v>201883.27289543665</v>
      </c>
      <c r="AM213" s="85">
        <f t="shared" si="122"/>
        <v>0</v>
      </c>
      <c r="AN213" s="85">
        <f t="shared" si="123"/>
        <v>181035.19634806478</v>
      </c>
      <c r="AO213" s="85">
        <f t="shared" si="131"/>
        <v>39584.955469693457</v>
      </c>
      <c r="AP213" s="85">
        <f t="shared" si="143"/>
        <v>46500.558215233643</v>
      </c>
      <c r="AQ213" s="84">
        <f t="shared" si="132"/>
        <v>548173.8938678155</v>
      </c>
      <c r="AR213" s="85">
        <f t="shared" si="133"/>
        <v>19792.477734846729</v>
      </c>
      <c r="AS213" s="84">
        <f t="shared" si="109"/>
        <v>30387.755000000001</v>
      </c>
      <c r="AT213" s="85">
        <f t="shared" si="134"/>
        <v>0</v>
      </c>
      <c r="AU213" s="84">
        <f t="shared" si="135"/>
        <v>598354.12660266215</v>
      </c>
      <c r="AV213" s="84">
        <f t="shared" si="124"/>
        <v>-598354.12660266215</v>
      </c>
      <c r="AW213" s="453"/>
      <c r="AX213" s="93">
        <f t="shared" si="118"/>
        <v>42795</v>
      </c>
      <c r="BA213" s="315"/>
      <c r="BB213" s="134">
        <f t="shared" si="136"/>
        <v>31.300000762939455</v>
      </c>
      <c r="BC213" s="134">
        <f>'Curve Analysis - Base Case'!D205</f>
        <v>47.172392127230658</v>
      </c>
      <c r="BD213" s="131">
        <f t="shared" si="137"/>
        <v>7.3993778470185012E-2</v>
      </c>
      <c r="BE213" s="131">
        <f t="shared" si="138"/>
        <v>7.3993778470185012E-2</v>
      </c>
      <c r="BF213" s="365">
        <f>PJM_01212000!X213</f>
        <v>8.7580830746278066E-2</v>
      </c>
      <c r="BG213" s="85">
        <f t="shared" si="139"/>
        <v>6221</v>
      </c>
      <c r="BH213" s="84">
        <f t="shared" si="140"/>
        <v>0</v>
      </c>
      <c r="BJ213" s="537">
        <f>_xll.EURO(BB213,BC213,BD213,BE213,BF213,BG213,1,0)*BH213</f>
        <v>0</v>
      </c>
      <c r="BK213" s="84">
        <f t="shared" si="141"/>
        <v>0</v>
      </c>
      <c r="BM213" s="84">
        <f t="shared" si="142"/>
        <v>0</v>
      </c>
    </row>
    <row r="214" spans="1:65">
      <c r="A214" s="78">
        <f t="shared" si="115"/>
        <v>208</v>
      </c>
      <c r="C214" s="78">
        <v>30</v>
      </c>
      <c r="D214" s="78" t="s">
        <v>65</v>
      </c>
      <c r="E214" s="113">
        <f t="shared" si="116"/>
        <v>42826</v>
      </c>
      <c r="F214" s="85">
        <f t="shared" si="112"/>
        <v>21</v>
      </c>
      <c r="G214" s="84">
        <f t="shared" si="144"/>
        <v>9</v>
      </c>
      <c r="H214" s="84"/>
      <c r="I214" s="84"/>
      <c r="J214" s="78">
        <f t="shared" si="117"/>
        <v>30</v>
      </c>
      <c r="K214" s="149">
        <v>42826</v>
      </c>
      <c r="L214" s="508">
        <v>7.3988605022010004E-2</v>
      </c>
      <c r="M214" s="509">
        <v>6.4575524399727025E-2</v>
      </c>
      <c r="N214" s="132">
        <f t="shared" si="114"/>
        <v>0.28668512857831097</v>
      </c>
      <c r="O214" s="133">
        <f>VLOOKUP(K214,Inflation!$B$8:$C$266,2)</f>
        <v>1.5869175228866526</v>
      </c>
      <c r="P214" s="132"/>
      <c r="Q214" s="134">
        <f>VLOOKUP(K214,'Fuel Curve'!$B$11:$F$268,5)</f>
        <v>4.4939655172413797</v>
      </c>
      <c r="R214" s="238">
        <f>VLOOKUP(K214,'Fuel Curve Simulation'!$B$12:$J$258,9)</f>
        <v>4.4939655172413797</v>
      </c>
      <c r="S214" s="134">
        <f t="shared" si="120"/>
        <v>43.047695689655178</v>
      </c>
      <c r="T214" s="136"/>
      <c r="V214" s="135">
        <f>VLOOKUP(K214,PJM_01212000!$A$7:$C$259,3)</f>
        <v>31.075000762939453</v>
      </c>
      <c r="W214" s="486"/>
      <c r="X214" s="118">
        <f>'PJM Curve Simulation'!J214</f>
        <v>31.075000762939453</v>
      </c>
      <c r="Y214" s="512"/>
      <c r="Z214" s="137"/>
      <c r="AA214" s="78">
        <f t="shared" si="119"/>
        <v>315</v>
      </c>
      <c r="AB214" s="85">
        <f t="shared" si="121"/>
        <v>105840</v>
      </c>
      <c r="AC214" s="85">
        <f>VLOOKUP(K214,'Company Volumes'!$B$20:$C$259,2)</f>
        <v>6578.0621451097768</v>
      </c>
      <c r="AD214" s="153">
        <f t="shared" si="125"/>
        <v>0</v>
      </c>
      <c r="AE214" s="150"/>
      <c r="AF214" s="150">
        <v>0</v>
      </c>
      <c r="AG214" s="150">
        <v>0</v>
      </c>
      <c r="AH214" s="150">
        <f t="shared" si="126"/>
        <v>0</v>
      </c>
      <c r="AI214" s="150">
        <f t="shared" si="127"/>
        <v>0</v>
      </c>
      <c r="AJ214" s="150">
        <f t="shared" si="128"/>
        <v>0</v>
      </c>
      <c r="AK214" s="85">
        <f t="shared" si="129"/>
        <v>79345.876144332622</v>
      </c>
      <c r="AL214" s="85">
        <f t="shared" si="130"/>
        <v>202331.98416804822</v>
      </c>
      <c r="AM214" s="85">
        <f t="shared" si="122"/>
        <v>0</v>
      </c>
      <c r="AN214" s="85">
        <f t="shared" si="123"/>
        <v>181437.57011670727</v>
      </c>
      <c r="AO214" s="85">
        <f t="shared" si="131"/>
        <v>39672.938072166311</v>
      </c>
      <c r="AP214" s="85">
        <f t="shared" si="143"/>
        <v>46500.558215233643</v>
      </c>
      <c r="AQ214" s="84">
        <f t="shared" si="132"/>
        <v>549288.92671648797</v>
      </c>
      <c r="AR214" s="85">
        <f t="shared" si="133"/>
        <v>19836.469036083156</v>
      </c>
      <c r="AS214" s="84">
        <f t="shared" si="109"/>
        <v>30387.755000000001</v>
      </c>
      <c r="AT214" s="85">
        <f t="shared" si="134"/>
        <v>0</v>
      </c>
      <c r="AU214" s="84">
        <f t="shared" si="135"/>
        <v>599513.15075257106</v>
      </c>
      <c r="AV214" s="84">
        <f t="shared" si="124"/>
        <v>-599513.15075257106</v>
      </c>
      <c r="AW214" s="453"/>
      <c r="AX214" s="93">
        <f t="shared" si="118"/>
        <v>42826</v>
      </c>
      <c r="BA214" s="315"/>
      <c r="BB214" s="134">
        <f t="shared" si="136"/>
        <v>31.075000762939453</v>
      </c>
      <c r="BC214" s="134">
        <f>'Curve Analysis - Base Case'!D206</f>
        <v>46.22153073542848</v>
      </c>
      <c r="BD214" s="131">
        <f t="shared" si="137"/>
        <v>7.3988605022010004E-2</v>
      </c>
      <c r="BE214" s="131">
        <f t="shared" si="138"/>
        <v>7.3988605022010004E-2</v>
      </c>
      <c r="BF214" s="365">
        <f>PJM_01212000!X214</f>
        <v>8.3201789208964178E-2</v>
      </c>
      <c r="BG214" s="85">
        <f t="shared" si="139"/>
        <v>6252</v>
      </c>
      <c r="BH214" s="84">
        <f t="shared" si="140"/>
        <v>0</v>
      </c>
      <c r="BJ214" s="537">
        <f>_xll.EURO(BB214,BC214,BD214,BE214,BF214,BG214,1,0)*BH214</f>
        <v>0</v>
      </c>
      <c r="BK214" s="84">
        <f t="shared" si="141"/>
        <v>0</v>
      </c>
      <c r="BM214" s="84">
        <f t="shared" si="142"/>
        <v>0</v>
      </c>
    </row>
    <row r="215" spans="1:65">
      <c r="A215" s="78">
        <f t="shared" si="115"/>
        <v>209</v>
      </c>
      <c r="C215" s="78">
        <v>31</v>
      </c>
      <c r="D215" s="78" t="s">
        <v>38</v>
      </c>
      <c r="E215" s="113">
        <f t="shared" si="116"/>
        <v>42856</v>
      </c>
      <c r="F215" s="85">
        <f t="shared" si="112"/>
        <v>23</v>
      </c>
      <c r="G215" s="84">
        <f t="shared" si="144"/>
        <v>8</v>
      </c>
      <c r="H215" s="84"/>
      <c r="I215" s="84"/>
      <c r="J215" s="78">
        <f t="shared" si="117"/>
        <v>31</v>
      </c>
      <c r="K215" s="149">
        <v>42856</v>
      </c>
      <c r="L215" s="508">
        <v>7.3983598459267996E-2</v>
      </c>
      <c r="M215" s="509">
        <v>6.4586762055339017E-2</v>
      </c>
      <c r="N215" s="132">
        <f t="shared" si="114"/>
        <v>0.28500323734337329</v>
      </c>
      <c r="O215" s="133">
        <f>VLOOKUP(K215,Inflation!$B$8:$C$266,2)</f>
        <v>1.590444649086914</v>
      </c>
      <c r="P215" s="132"/>
      <c r="Q215" s="134">
        <f>VLOOKUP(K215,'Fuel Curve'!$B$11:$F$268,5)</f>
        <v>4.4267241379310347</v>
      </c>
      <c r="R215" s="238">
        <f>VLOOKUP(K215,'Fuel Curve Simulation'!$B$12:$J$258,9)</f>
        <v>4.4267241379310347</v>
      </c>
      <c r="S215" s="134">
        <f t="shared" si="120"/>
        <v>42.403590517241383</v>
      </c>
      <c r="T215" s="136"/>
      <c r="V215" s="135">
        <f>VLOOKUP(K215,PJM_01212000!$A$7:$C$259,3)</f>
        <v>39.075000000000003</v>
      </c>
      <c r="W215" s="486"/>
      <c r="X215" s="118">
        <f>'PJM Curve Simulation'!J215</f>
        <v>39.075000000000003</v>
      </c>
      <c r="Y215" s="512"/>
      <c r="Z215" s="137"/>
      <c r="AA215" s="78">
        <f t="shared" si="119"/>
        <v>315</v>
      </c>
      <c r="AB215" s="85">
        <f t="shared" si="121"/>
        <v>115920</v>
      </c>
      <c r="AC215" s="85">
        <f>VLOOKUP(K215,'Company Volumes'!$B$20:$C$259,2)</f>
        <v>17594.758442943108</v>
      </c>
      <c r="AD215" s="153">
        <f t="shared" si="125"/>
        <v>0</v>
      </c>
      <c r="AE215" s="150"/>
      <c r="AF215" s="150">
        <v>0</v>
      </c>
      <c r="AG215" s="150">
        <v>0</v>
      </c>
      <c r="AH215" s="150">
        <f t="shared" si="126"/>
        <v>0</v>
      </c>
      <c r="AI215" s="150">
        <f t="shared" si="127"/>
        <v>0</v>
      </c>
      <c r="AJ215" s="150">
        <f t="shared" si="128"/>
        <v>0</v>
      </c>
      <c r="AK215" s="85">
        <f t="shared" si="129"/>
        <v>79522.232454345693</v>
      </c>
      <c r="AL215" s="85">
        <f t="shared" si="130"/>
        <v>202781.69275858151</v>
      </c>
      <c r="AM215" s="85">
        <f t="shared" si="122"/>
        <v>0</v>
      </c>
      <c r="AN215" s="85">
        <f t="shared" si="123"/>
        <v>181840.83821227046</v>
      </c>
      <c r="AO215" s="85">
        <f t="shared" si="131"/>
        <v>39761.116227172846</v>
      </c>
      <c r="AP215" s="85">
        <f t="shared" si="143"/>
        <v>46500.558215233643</v>
      </c>
      <c r="AQ215" s="84">
        <f t="shared" si="132"/>
        <v>550406.4378676042</v>
      </c>
      <c r="AR215" s="85">
        <f t="shared" si="133"/>
        <v>19880.558113586423</v>
      </c>
      <c r="AS215" s="84">
        <f t="shared" si="109"/>
        <v>30387.755000000001</v>
      </c>
      <c r="AT215" s="85">
        <f t="shared" si="134"/>
        <v>0</v>
      </c>
      <c r="AU215" s="84">
        <f t="shared" si="135"/>
        <v>600674.75098119047</v>
      </c>
      <c r="AV215" s="84">
        <f t="shared" si="124"/>
        <v>-600674.75098119047</v>
      </c>
      <c r="AW215" s="453"/>
      <c r="AX215" s="93">
        <f t="shared" si="118"/>
        <v>42856</v>
      </c>
      <c r="BA215" s="315"/>
      <c r="BB215" s="134">
        <f t="shared" si="136"/>
        <v>39.075000000000003</v>
      </c>
      <c r="BC215" s="134">
        <f>'Curve Analysis - Base Case'!D207</f>
        <v>45.584479815415214</v>
      </c>
      <c r="BD215" s="131">
        <f t="shared" si="137"/>
        <v>7.3983598459267996E-2</v>
      </c>
      <c r="BE215" s="131">
        <f t="shared" si="138"/>
        <v>7.3983598459267996E-2</v>
      </c>
      <c r="BF215" s="365">
        <f>PJM_01212000!X215</f>
        <v>9.1959872283591967E-2</v>
      </c>
      <c r="BG215" s="85">
        <f t="shared" si="139"/>
        <v>6282</v>
      </c>
      <c r="BH215" s="84">
        <f t="shared" si="140"/>
        <v>0</v>
      </c>
      <c r="BJ215" s="537">
        <f>_xll.EURO(BB215,BC215,BD215,BE215,BF215,BG215,1,0)*BH215</f>
        <v>0</v>
      </c>
      <c r="BK215" s="84">
        <f t="shared" si="141"/>
        <v>0</v>
      </c>
      <c r="BM215" s="84">
        <f t="shared" si="142"/>
        <v>0</v>
      </c>
    </row>
    <row r="216" spans="1:65">
      <c r="A216" s="78">
        <f t="shared" si="115"/>
        <v>210</v>
      </c>
      <c r="C216" s="78">
        <v>30</v>
      </c>
      <c r="D216" s="78" t="s">
        <v>66</v>
      </c>
      <c r="E216" s="113">
        <f t="shared" si="116"/>
        <v>42887</v>
      </c>
      <c r="F216" s="85">
        <f t="shared" si="112"/>
        <v>21</v>
      </c>
      <c r="G216" s="84">
        <f t="shared" si="144"/>
        <v>9</v>
      </c>
      <c r="H216" s="84"/>
      <c r="I216" s="84"/>
      <c r="J216" s="78">
        <f t="shared" si="117"/>
        <v>30</v>
      </c>
      <c r="K216" s="149">
        <v>42887</v>
      </c>
      <c r="L216" s="508">
        <v>7.3978425011111015E-2</v>
      </c>
      <c r="M216" s="509">
        <v>6.4598374300394015E-2</v>
      </c>
      <c r="N216" s="132">
        <f t="shared" si="114"/>
        <v>0.28327588443666513</v>
      </c>
      <c r="O216" s="133">
        <f>VLOOKUP(K216,Inflation!$B$8:$C$266,2)</f>
        <v>1.5939796147741387</v>
      </c>
      <c r="P216" s="132"/>
      <c r="Q216" s="134">
        <f>VLOOKUP(K216,'Fuel Curve'!$B$11:$F$268,5)</f>
        <v>4.4201724137931047</v>
      </c>
      <c r="R216" s="238">
        <f>VLOOKUP(K216,'Fuel Curve Simulation'!$B$12:$J$258,9)</f>
        <v>4.4201724137931047</v>
      </c>
      <c r="S216" s="134">
        <f t="shared" si="120"/>
        <v>42.34083155172415</v>
      </c>
      <c r="T216" s="136"/>
      <c r="V216" s="135">
        <f>VLOOKUP(K216,PJM_01212000!$A$7:$C$259,3)</f>
        <v>67.599998474121094</v>
      </c>
      <c r="W216" s="486"/>
      <c r="X216" s="118">
        <f>'PJM Curve Simulation'!J216</f>
        <v>67.599998474121094</v>
      </c>
      <c r="Y216" s="512"/>
      <c r="Z216" s="137"/>
      <c r="AA216" s="78">
        <f t="shared" si="119"/>
        <v>315</v>
      </c>
      <c r="AB216" s="85">
        <f t="shared" si="121"/>
        <v>105840</v>
      </c>
      <c r="AC216" s="85">
        <f>VLOOKUP(K216,'Company Volumes'!$B$20:$C$259,2)</f>
        <v>33747.421158630663</v>
      </c>
      <c r="AD216" s="153">
        <f t="shared" si="125"/>
        <v>105840</v>
      </c>
      <c r="AE216" s="150"/>
      <c r="AF216" s="150">
        <v>0</v>
      </c>
      <c r="AG216" s="150">
        <v>0</v>
      </c>
      <c r="AH216" s="150">
        <f t="shared" si="126"/>
        <v>7154783.8385009766</v>
      </c>
      <c r="AI216" s="150">
        <f t="shared" si="127"/>
        <v>7154783.8385009766</v>
      </c>
      <c r="AJ216" s="150">
        <f t="shared" si="128"/>
        <v>4481353.6114344839</v>
      </c>
      <c r="AK216" s="85">
        <f t="shared" si="129"/>
        <v>79698.98073870693</v>
      </c>
      <c r="AL216" s="85">
        <f t="shared" si="130"/>
        <v>203232.40088370268</v>
      </c>
      <c r="AM216" s="85">
        <f t="shared" si="122"/>
        <v>337413.60485538968</v>
      </c>
      <c r="AN216" s="85">
        <f t="shared" si="123"/>
        <v>182245.00262250987</v>
      </c>
      <c r="AO216" s="85">
        <f t="shared" si="131"/>
        <v>39849.490369353465</v>
      </c>
      <c r="AP216" s="85">
        <f t="shared" si="143"/>
        <v>46500.558215233643</v>
      </c>
      <c r="AQ216" s="84">
        <f t="shared" si="132"/>
        <v>888940.03768489615</v>
      </c>
      <c r="AR216" s="85">
        <f t="shared" si="133"/>
        <v>19924.745184676733</v>
      </c>
      <c r="AS216" s="84">
        <f t="shared" si="109"/>
        <v>30387.755000000001</v>
      </c>
      <c r="AT216" s="85">
        <f t="shared" si="134"/>
        <v>68427.47752011611</v>
      </c>
      <c r="AU216" s="84">
        <f t="shared" si="135"/>
        <v>5489033.6268241722</v>
      </c>
      <c r="AV216" s="84">
        <f t="shared" si="124"/>
        <v>1665750.2116768043</v>
      </c>
      <c r="AW216" s="453"/>
      <c r="AX216" s="93">
        <f t="shared" si="118"/>
        <v>42887</v>
      </c>
      <c r="BA216" s="315"/>
      <c r="BB216" s="134">
        <f t="shared" si="136"/>
        <v>67.599998474121094</v>
      </c>
      <c r="BC216" s="134">
        <f>'Curve Analysis - Base Case'!D208</f>
        <v>45.528790781272427</v>
      </c>
      <c r="BD216" s="131">
        <f t="shared" si="137"/>
        <v>7.3978425011111015E-2</v>
      </c>
      <c r="BE216" s="131">
        <f t="shared" si="138"/>
        <v>7.3978425011111015E-2</v>
      </c>
      <c r="BF216" s="365">
        <f>PJM_01212000!X216</f>
        <v>0.11823412150747543</v>
      </c>
      <c r="BG216" s="85">
        <f t="shared" si="139"/>
        <v>6313</v>
      </c>
      <c r="BH216" s="84">
        <f t="shared" si="140"/>
        <v>105840</v>
      </c>
      <c r="BJ216" s="537">
        <f>_xll.EURO(BB216,BC216,BD216,BE216,BF216,BG216,1,0)*BH216</f>
        <v>744580.47864618339</v>
      </c>
      <c r="BK216" s="84">
        <f t="shared" si="141"/>
        <v>757318.31205197517</v>
      </c>
      <c r="BM216" s="84">
        <f t="shared" si="142"/>
        <v>-12737.833405791782</v>
      </c>
    </row>
    <row r="217" spans="1:65">
      <c r="A217" s="78">
        <f t="shared" si="115"/>
        <v>211</v>
      </c>
      <c r="C217" s="78">
        <v>31</v>
      </c>
      <c r="D217" s="78" t="s">
        <v>67</v>
      </c>
      <c r="E217" s="113">
        <f t="shared" si="116"/>
        <v>42917</v>
      </c>
      <c r="F217" s="85">
        <f t="shared" si="112"/>
        <v>22</v>
      </c>
      <c r="G217" s="84">
        <f t="shared" si="144"/>
        <v>9</v>
      </c>
      <c r="H217" s="84"/>
      <c r="I217" s="84"/>
      <c r="J217" s="78">
        <f t="shared" si="117"/>
        <v>31</v>
      </c>
      <c r="K217" s="149">
        <v>42917</v>
      </c>
      <c r="L217" s="508">
        <v>7.3973418448387021E-2</v>
      </c>
      <c r="M217" s="509">
        <v>6.4609611957794022E-2</v>
      </c>
      <c r="N217" s="132">
        <f t="shared" si="114"/>
        <v>0.28161444841669531</v>
      </c>
      <c r="O217" s="133">
        <f>VLOOKUP(K217,Inflation!$B$8:$C$266,2)</f>
        <v>1.5975224373725847</v>
      </c>
      <c r="P217" s="132"/>
      <c r="Q217" s="134">
        <f>VLOOKUP(K217,'Fuel Curve'!$B$11:$F$268,5)</f>
        <v>4.477413793103449</v>
      </c>
      <c r="R217" s="238">
        <f>VLOOKUP(K217,'Fuel Curve Simulation'!$B$12:$J$258,9)</f>
        <v>4.477413793103449</v>
      </c>
      <c r="S217" s="134">
        <f t="shared" si="120"/>
        <v>42.889146724137937</v>
      </c>
      <c r="T217" s="136"/>
      <c r="V217" s="135">
        <f>VLOOKUP(K217,PJM_01212000!$A$7:$C$259,3)</f>
        <v>122.69999694824219</v>
      </c>
      <c r="W217" s="486"/>
      <c r="X217" s="118">
        <f>'PJM Curve Simulation'!J217</f>
        <v>122.69999694824219</v>
      </c>
      <c r="Y217" s="512"/>
      <c r="Z217" s="137"/>
      <c r="AA217" s="78">
        <f t="shared" si="119"/>
        <v>315</v>
      </c>
      <c r="AB217" s="85">
        <f t="shared" si="121"/>
        <v>110880</v>
      </c>
      <c r="AC217" s="85">
        <f>VLOOKUP(K217,'Company Volumes'!$B$20:$C$259,2)</f>
        <v>51980.455053554215</v>
      </c>
      <c r="AD217" s="153">
        <f t="shared" si="125"/>
        <v>110880</v>
      </c>
      <c r="AE217" s="150"/>
      <c r="AF217" s="150">
        <v>0</v>
      </c>
      <c r="AG217" s="150">
        <v>0</v>
      </c>
      <c r="AH217" s="150">
        <f t="shared" si="126"/>
        <v>13604975.661621094</v>
      </c>
      <c r="AI217" s="150">
        <f t="shared" si="127"/>
        <v>13604975.661621094</v>
      </c>
      <c r="AJ217" s="150">
        <f t="shared" si="128"/>
        <v>4755548.5887724143</v>
      </c>
      <c r="AK217" s="85">
        <f t="shared" si="129"/>
        <v>79876.121868629227</v>
      </c>
      <c r="AL217" s="85">
        <f t="shared" si="130"/>
        <v>203684.11076500453</v>
      </c>
      <c r="AM217" s="85">
        <f t="shared" si="122"/>
        <v>354266.57571174437</v>
      </c>
      <c r="AN217" s="85">
        <f t="shared" si="123"/>
        <v>182650.06533959886</v>
      </c>
      <c r="AO217" s="85">
        <f t="shared" si="131"/>
        <v>39938.060934314613</v>
      </c>
      <c r="AP217" s="85">
        <f t="shared" si="143"/>
        <v>46500.558215233643</v>
      </c>
      <c r="AQ217" s="84">
        <f t="shared" si="132"/>
        <v>906915.49283452518</v>
      </c>
      <c r="AR217" s="85">
        <f t="shared" si="133"/>
        <v>19969.030467157307</v>
      </c>
      <c r="AS217" s="84">
        <f t="shared" si="109"/>
        <v>30387.755000000001</v>
      </c>
      <c r="AT217" s="85">
        <f t="shared" si="134"/>
        <v>130405.52327608575</v>
      </c>
      <c r="AU217" s="84">
        <f t="shared" si="135"/>
        <v>5843226.3903501816</v>
      </c>
      <c r="AV217" s="84">
        <f t="shared" si="124"/>
        <v>7761749.2712709121</v>
      </c>
      <c r="AW217" s="453"/>
      <c r="AX217" s="93">
        <f t="shared" si="118"/>
        <v>42917</v>
      </c>
      <c r="BA217" s="315"/>
      <c r="BB217" s="134">
        <f t="shared" si="136"/>
        <v>122.69999694824219</v>
      </c>
      <c r="BC217" s="134">
        <f>'Curve Analysis - Base Case'!D209</f>
        <v>46.084191598883109</v>
      </c>
      <c r="BD217" s="131">
        <f t="shared" si="137"/>
        <v>7.3973418448387021E-2</v>
      </c>
      <c r="BE217" s="131">
        <f t="shared" si="138"/>
        <v>7.3973418448387021E-2</v>
      </c>
      <c r="BF217" s="365">
        <f>PJM_01212000!X217</f>
        <v>0.14450837073135878</v>
      </c>
      <c r="BG217" s="85">
        <f t="shared" si="139"/>
        <v>6343</v>
      </c>
      <c r="BH217" s="84">
        <f t="shared" si="140"/>
        <v>110880</v>
      </c>
      <c r="BJ217" s="537">
        <f>_xll.EURO(BB217,BC217,BD217,BE217,BF217,BG217,1,0)*BH217</f>
        <v>2380402.6433326048</v>
      </c>
      <c r="BK217" s="84">
        <f t="shared" si="141"/>
        <v>2492126.5239240513</v>
      </c>
      <c r="BM217" s="84">
        <f t="shared" si="142"/>
        <v>-111723.88059144653</v>
      </c>
    </row>
    <row r="218" spans="1:65">
      <c r="A218" s="78">
        <f t="shared" si="115"/>
        <v>212</v>
      </c>
      <c r="C218" s="78">
        <v>31</v>
      </c>
      <c r="D218" s="78" t="s">
        <v>68</v>
      </c>
      <c r="E218" s="113">
        <f t="shared" si="116"/>
        <v>42948</v>
      </c>
      <c r="F218" s="85">
        <f t="shared" si="112"/>
        <v>23</v>
      </c>
      <c r="G218" s="84">
        <f t="shared" si="144"/>
        <v>8</v>
      </c>
      <c r="H218" s="84"/>
      <c r="I218" s="84"/>
      <c r="J218" s="78">
        <f t="shared" si="117"/>
        <v>31</v>
      </c>
      <c r="K218" s="149">
        <v>42948</v>
      </c>
      <c r="L218" s="508">
        <v>7.3968245000246E-2</v>
      </c>
      <c r="M218" s="509">
        <v>6.4621224204697014E-2</v>
      </c>
      <c r="N218" s="132">
        <f t="shared" si="114"/>
        <v>0.27990810089895013</v>
      </c>
      <c r="O218" s="133">
        <f>VLOOKUP(K218,Inflation!$B$8:$C$266,2)</f>
        <v>1.6010731343452371</v>
      </c>
      <c r="P218" s="132"/>
      <c r="Q218" s="134">
        <f>VLOOKUP(K218,'Fuel Curve'!$B$11:$F$268,5)</f>
        <v>4.5679310344827595</v>
      </c>
      <c r="R218" s="238">
        <f>VLOOKUP(K218,'Fuel Curve Simulation'!$B$12:$J$258,9)</f>
        <v>4.5679310344827595</v>
      </c>
      <c r="S218" s="134">
        <f t="shared" si="120"/>
        <v>43.756211379310358</v>
      </c>
      <c r="T218" s="136"/>
      <c r="V218" s="135">
        <f>VLOOKUP(K218,PJM_01212000!$A$7:$C$259,3)</f>
        <v>109.69999694824219</v>
      </c>
      <c r="W218" s="486"/>
      <c r="X218" s="118">
        <f>'PJM Curve Simulation'!J218</f>
        <v>109.69999694824219</v>
      </c>
      <c r="Y218" s="512"/>
      <c r="Z218" s="137"/>
      <c r="AA218" s="78">
        <f t="shared" si="119"/>
        <v>315</v>
      </c>
      <c r="AB218" s="85">
        <f t="shared" si="121"/>
        <v>115920</v>
      </c>
      <c r="AC218" s="85">
        <f>VLOOKUP(K218,'Company Volumes'!$B$20:$C$259,2)</f>
        <v>34653.636701711999</v>
      </c>
      <c r="AD218" s="153">
        <f t="shared" si="125"/>
        <v>115920</v>
      </c>
      <c r="AE218" s="150"/>
      <c r="AF218" s="150">
        <v>0</v>
      </c>
      <c r="AG218" s="150">
        <v>0</v>
      </c>
      <c r="AH218" s="150">
        <f t="shared" si="126"/>
        <v>12716423.646240234</v>
      </c>
      <c r="AI218" s="150">
        <f t="shared" si="127"/>
        <v>12716423.646240234</v>
      </c>
      <c r="AJ218" s="150">
        <f t="shared" si="128"/>
        <v>5072220.0230896557</v>
      </c>
      <c r="AK218" s="85">
        <f t="shared" si="129"/>
        <v>80053.656717261852</v>
      </c>
      <c r="AL218" s="85">
        <f t="shared" si="130"/>
        <v>204136.82462901773</v>
      </c>
      <c r="AM218" s="85">
        <f t="shared" si="122"/>
        <v>371192.79546659975</v>
      </c>
      <c r="AN218" s="85">
        <f t="shared" si="123"/>
        <v>183056.02836013873</v>
      </c>
      <c r="AO218" s="85">
        <f t="shared" si="131"/>
        <v>40026.828358630926</v>
      </c>
      <c r="AP218" s="85">
        <f t="shared" si="143"/>
        <v>46500.558215233643</v>
      </c>
      <c r="AQ218" s="84">
        <f t="shared" si="132"/>
        <v>924966.69174688263</v>
      </c>
      <c r="AR218" s="85">
        <f t="shared" si="133"/>
        <v>20013.414179315463</v>
      </c>
      <c r="AS218" s="84">
        <f t="shared" si="109"/>
        <v>30387.755000000001</v>
      </c>
      <c r="AT218" s="85">
        <f t="shared" si="134"/>
        <v>122159.54558968643</v>
      </c>
      <c r="AU218" s="84">
        <f t="shared" si="135"/>
        <v>6169747.4296055399</v>
      </c>
      <c r="AV218" s="84">
        <f t="shared" si="124"/>
        <v>6546676.2166346945</v>
      </c>
      <c r="AW218" s="453"/>
      <c r="AX218" s="93">
        <f t="shared" si="118"/>
        <v>42948</v>
      </c>
      <c r="BA218" s="315"/>
      <c r="BB218" s="134">
        <f t="shared" si="136"/>
        <v>109.69999694824219</v>
      </c>
      <c r="BC218" s="134">
        <f>'Curve Analysis - Base Case'!D210</f>
        <v>46.958357648000835</v>
      </c>
      <c r="BD218" s="131">
        <f t="shared" si="137"/>
        <v>7.3968245000246E-2</v>
      </c>
      <c r="BE218" s="131">
        <f t="shared" si="138"/>
        <v>7.3968245000246E-2</v>
      </c>
      <c r="BF218" s="365">
        <f>PJM_01212000!X218</f>
        <v>0.14450837073135878</v>
      </c>
      <c r="BG218" s="85">
        <f t="shared" si="139"/>
        <v>6374</v>
      </c>
      <c r="BH218" s="84">
        <f t="shared" si="140"/>
        <v>115920</v>
      </c>
      <c r="BJ218" s="537">
        <f>_xll.EURO(BB218,BC218,BD218,BE218,BF218,BG218,1,0)*BH218</f>
        <v>2048849.7764145306</v>
      </c>
      <c r="BK218" s="84">
        <f t="shared" si="141"/>
        <v>2139674.5190409524</v>
      </c>
      <c r="BM218" s="84">
        <f t="shared" si="142"/>
        <v>-90824.742626421852</v>
      </c>
    </row>
    <row r="219" spans="1:65">
      <c r="A219" s="78">
        <f t="shared" si="115"/>
        <v>213</v>
      </c>
      <c r="C219" s="78">
        <v>30</v>
      </c>
      <c r="D219" s="78" t="s">
        <v>69</v>
      </c>
      <c r="E219" s="113">
        <f t="shared" si="116"/>
        <v>42979</v>
      </c>
      <c r="F219" s="85">
        <f t="shared" si="112"/>
        <v>20</v>
      </c>
      <c r="G219" s="84">
        <f t="shared" si="144"/>
        <v>10</v>
      </c>
      <c r="H219" s="84"/>
      <c r="I219" s="84"/>
      <c r="J219" s="78">
        <f t="shared" si="117"/>
        <v>30</v>
      </c>
      <c r="K219" s="149">
        <v>42979</v>
      </c>
      <c r="L219" s="508">
        <v>7.3963071552115012E-2</v>
      </c>
      <c r="M219" s="509">
        <v>6.4632836452538006E-2</v>
      </c>
      <c r="N219" s="132">
        <f t="shared" si="114"/>
        <v>0.27821232808322865</v>
      </c>
      <c r="O219" s="133">
        <f>VLOOKUP(K219,Inflation!$B$8:$C$266,2)</f>
        <v>1.6046317231938947</v>
      </c>
      <c r="P219" s="132"/>
      <c r="Q219" s="134">
        <f>VLOOKUP(K219,'Fuel Curve'!$B$11:$F$268,5)</f>
        <v>4.6627586206896563</v>
      </c>
      <c r="R219" s="238">
        <f>VLOOKUP(K219,'Fuel Curve Simulation'!$B$12:$J$258,9)</f>
        <v>4.6627586206896563</v>
      </c>
      <c r="S219" s="134">
        <f t="shared" si="120"/>
        <v>44.664564827586219</v>
      </c>
      <c r="T219" s="136"/>
      <c r="V219" s="135">
        <f>VLOOKUP(K219,PJM_01212000!$A$7:$C$259,3)</f>
        <v>39.924998474121097</v>
      </c>
      <c r="W219" s="486"/>
      <c r="X219" s="118">
        <f>'PJM Curve Simulation'!J219</f>
        <v>39.924998474121097</v>
      </c>
      <c r="Y219" s="512"/>
      <c r="Z219" s="137"/>
      <c r="AA219" s="78">
        <f t="shared" si="119"/>
        <v>315</v>
      </c>
      <c r="AB219" s="85">
        <f t="shared" si="121"/>
        <v>100800</v>
      </c>
      <c r="AC219" s="85">
        <f>VLOOKUP(K219,'Company Volumes'!$B$20:$C$259,2)</f>
        <v>21504.704764473772</v>
      </c>
      <c r="AD219" s="153">
        <f t="shared" si="125"/>
        <v>0</v>
      </c>
      <c r="AE219" s="150"/>
      <c r="AF219" s="150">
        <v>0</v>
      </c>
      <c r="AG219" s="150">
        <v>0</v>
      </c>
      <c r="AH219" s="150">
        <f t="shared" si="126"/>
        <v>0</v>
      </c>
      <c r="AI219" s="150">
        <f t="shared" si="127"/>
        <v>0</v>
      </c>
      <c r="AJ219" s="150">
        <f t="shared" si="128"/>
        <v>0</v>
      </c>
      <c r="AK219" s="85">
        <f t="shared" si="129"/>
        <v>80231.586159694736</v>
      </c>
      <c r="AL219" s="85">
        <f t="shared" si="130"/>
        <v>204590.54470722156</v>
      </c>
      <c r="AM219" s="85">
        <f t="shared" si="122"/>
        <v>0</v>
      </c>
      <c r="AN219" s="85">
        <f t="shared" si="123"/>
        <v>183462.89368516864</v>
      </c>
      <c r="AO219" s="85">
        <f t="shared" si="131"/>
        <v>40115.793079847368</v>
      </c>
      <c r="AP219" s="85">
        <f t="shared" si="143"/>
        <v>46500.558215233643</v>
      </c>
      <c r="AQ219" s="84">
        <f t="shared" si="132"/>
        <v>554901.37584716594</v>
      </c>
      <c r="AR219" s="85">
        <f t="shared" si="133"/>
        <v>20057.896539923684</v>
      </c>
      <c r="AS219" s="84">
        <f t="shared" si="109"/>
        <v>30387.755000000001</v>
      </c>
      <c r="AT219" s="85">
        <f t="shared" si="134"/>
        <v>0</v>
      </c>
      <c r="AU219" s="84">
        <f t="shared" si="135"/>
        <v>605347.02738708956</v>
      </c>
      <c r="AV219" s="84">
        <f t="shared" si="124"/>
        <v>-605347.02738708956</v>
      </c>
      <c r="AW219" s="453"/>
      <c r="AX219" s="93">
        <f t="shared" si="118"/>
        <v>42979</v>
      </c>
      <c r="BA219" s="315"/>
      <c r="BB219" s="134">
        <f t="shared" si="136"/>
        <v>39.924998474121097</v>
      </c>
      <c r="BC219" s="134">
        <f>'Curve Analysis - Base Case'!D211</f>
        <v>47.873828273974006</v>
      </c>
      <c r="BD219" s="131">
        <f t="shared" si="137"/>
        <v>7.3963071552115012E-2</v>
      </c>
      <c r="BE219" s="131">
        <f t="shared" si="138"/>
        <v>7.3963071552115012E-2</v>
      </c>
      <c r="BF219" s="365">
        <f>PJM_01212000!X219</f>
        <v>9.2888759882416141E-2</v>
      </c>
      <c r="BG219" s="85">
        <f t="shared" si="139"/>
        <v>6405</v>
      </c>
      <c r="BH219" s="84">
        <f t="shared" si="140"/>
        <v>0</v>
      </c>
      <c r="BJ219" s="537">
        <f>_xll.EURO(BB219,BC219,BD219,BE219,BF219,BG219,1,0)*BH219</f>
        <v>0</v>
      </c>
      <c r="BK219" s="84">
        <f t="shared" si="141"/>
        <v>0</v>
      </c>
      <c r="BM219" s="84">
        <f t="shared" si="142"/>
        <v>0</v>
      </c>
    </row>
    <row r="220" spans="1:65">
      <c r="A220" s="78">
        <f t="shared" si="115"/>
        <v>214</v>
      </c>
      <c r="C220" s="78">
        <v>31</v>
      </c>
      <c r="D220" s="78" t="s">
        <v>70</v>
      </c>
      <c r="E220" s="113">
        <f t="shared" si="116"/>
        <v>43009</v>
      </c>
      <c r="F220" s="85">
        <f t="shared" si="112"/>
        <v>23</v>
      </c>
      <c r="G220" s="84">
        <f t="shared" si="144"/>
        <v>8</v>
      </c>
      <c r="H220" s="84"/>
      <c r="I220" s="84"/>
      <c r="J220" s="78">
        <f t="shared" si="117"/>
        <v>31</v>
      </c>
      <c r="K220" s="149">
        <v>43009</v>
      </c>
      <c r="L220" s="508">
        <v>7.3958064989417011E-2</v>
      </c>
      <c r="M220" s="509">
        <v>6.4644074112634009E-2</v>
      </c>
      <c r="N220" s="132">
        <f t="shared" si="114"/>
        <v>0.27658126309854381</v>
      </c>
      <c r="O220" s="133">
        <f>VLOOKUP(K220,Inflation!$B$8:$C$266,2)</f>
        <v>1.6081982214592567</v>
      </c>
      <c r="P220" s="132"/>
      <c r="Q220" s="134">
        <f>VLOOKUP(K220,'Fuel Curve'!$B$11:$F$268,5)</f>
        <v>4.7553448275862067</v>
      </c>
      <c r="R220" s="238">
        <f>VLOOKUP(K220,'Fuel Curve Simulation'!$B$12:$J$258,9)</f>
        <v>4.7553448275862067</v>
      </c>
      <c r="S220" s="134">
        <f t="shared" si="120"/>
        <v>45.551448103448273</v>
      </c>
      <c r="T220" s="136"/>
      <c r="V220" s="135">
        <f>VLOOKUP(K220,PJM_01212000!$A$7:$C$259,3)</f>
        <v>31.825000381469728</v>
      </c>
      <c r="W220" s="486"/>
      <c r="X220" s="118">
        <f>'PJM Curve Simulation'!J220</f>
        <v>31.825000381469728</v>
      </c>
      <c r="Y220" s="512"/>
      <c r="Z220" s="137"/>
      <c r="AA220" s="78">
        <f t="shared" si="119"/>
        <v>315</v>
      </c>
      <c r="AB220" s="85">
        <f t="shared" si="121"/>
        <v>115920</v>
      </c>
      <c r="AC220" s="85">
        <f>VLOOKUP(K220,'Company Volumes'!$B$20:$C$259,2)</f>
        <v>2945.6982172364442</v>
      </c>
      <c r="AD220" s="153">
        <f t="shared" si="125"/>
        <v>0</v>
      </c>
      <c r="AE220" s="150"/>
      <c r="AF220" s="150">
        <v>0</v>
      </c>
      <c r="AG220" s="150">
        <v>0</v>
      </c>
      <c r="AH220" s="150">
        <f t="shared" si="126"/>
        <v>0</v>
      </c>
      <c r="AI220" s="150">
        <f t="shared" si="127"/>
        <v>0</v>
      </c>
      <c r="AJ220" s="150">
        <f t="shared" si="128"/>
        <v>0</v>
      </c>
      <c r="AK220" s="85">
        <f t="shared" si="129"/>
        <v>80409.911072962845</v>
      </c>
      <c r="AL220" s="85">
        <f t="shared" si="130"/>
        <v>205045.27323605525</v>
      </c>
      <c r="AM220" s="85">
        <f t="shared" si="122"/>
        <v>0</v>
      </c>
      <c r="AN220" s="85">
        <f t="shared" si="123"/>
        <v>183870.66332017499</v>
      </c>
      <c r="AO220" s="85">
        <f t="shared" si="131"/>
        <v>40204.955536481422</v>
      </c>
      <c r="AP220" s="85">
        <f t="shared" si="143"/>
        <v>46500.558215233643</v>
      </c>
      <c r="AQ220" s="84">
        <f t="shared" si="132"/>
        <v>556031.36138090817</v>
      </c>
      <c r="AR220" s="85">
        <f t="shared" si="133"/>
        <v>20102.477768240711</v>
      </c>
      <c r="AS220" s="84">
        <f t="shared" si="109"/>
        <v>30387.755000000001</v>
      </c>
      <c r="AT220" s="85">
        <f t="shared" si="134"/>
        <v>0</v>
      </c>
      <c r="AU220" s="84">
        <f t="shared" si="135"/>
        <v>606521.59414914879</v>
      </c>
      <c r="AV220" s="84">
        <f t="shared" si="124"/>
        <v>-606521.59414914879</v>
      </c>
      <c r="AW220" s="453"/>
      <c r="AX220" s="93">
        <f t="shared" si="118"/>
        <v>43009</v>
      </c>
      <c r="BA220" s="315"/>
      <c r="BB220" s="134">
        <f t="shared" si="136"/>
        <v>31.825000381469728</v>
      </c>
      <c r="BC220" s="134">
        <f>'Curve Analysis - Base Case'!D212</f>
        <v>48.767844546366788</v>
      </c>
      <c r="BD220" s="131">
        <f t="shared" si="137"/>
        <v>7.3958064989417011E-2</v>
      </c>
      <c r="BE220" s="131">
        <f t="shared" si="138"/>
        <v>7.3958064989417011E-2</v>
      </c>
      <c r="BF220" s="365">
        <f>PJM_01212000!X220</f>
        <v>6.5685623059708542E-2</v>
      </c>
      <c r="BG220" s="85">
        <f t="shared" si="139"/>
        <v>6435</v>
      </c>
      <c r="BH220" s="84">
        <f t="shared" si="140"/>
        <v>0</v>
      </c>
      <c r="BJ220" s="537">
        <f>_xll.EURO(BB220,BC220,BD220,BE220,BF220,BG220,1,0)*BH220</f>
        <v>0</v>
      </c>
      <c r="BK220" s="84">
        <f t="shared" si="141"/>
        <v>0</v>
      </c>
      <c r="BM220" s="84">
        <f t="shared" si="142"/>
        <v>0</v>
      </c>
    </row>
    <row r="221" spans="1:65">
      <c r="A221" s="78">
        <f t="shared" si="115"/>
        <v>215</v>
      </c>
      <c r="C221" s="78">
        <v>30</v>
      </c>
      <c r="D221" s="78" t="s">
        <v>71</v>
      </c>
      <c r="E221" s="113">
        <f t="shared" si="116"/>
        <v>43040</v>
      </c>
      <c r="F221" s="85">
        <f t="shared" si="112"/>
        <v>22</v>
      </c>
      <c r="G221" s="84">
        <f t="shared" si="144"/>
        <v>8</v>
      </c>
      <c r="H221" s="84"/>
      <c r="I221" s="84"/>
      <c r="J221" s="78">
        <f t="shared" si="117"/>
        <v>30</v>
      </c>
      <c r="K221" s="149">
        <v>43040</v>
      </c>
      <c r="L221" s="508">
        <v>7.3952891541303009E-2</v>
      </c>
      <c r="M221" s="509">
        <v>6.4655686362322995E-2</v>
      </c>
      <c r="N221" s="132">
        <f t="shared" si="114"/>
        <v>0.27490610355232498</v>
      </c>
      <c r="O221" s="133">
        <f>VLOOKUP(K221,Inflation!$B$8:$C$266,2)</f>
        <v>1.6117726467210087</v>
      </c>
      <c r="P221" s="132"/>
      <c r="Q221" s="134">
        <f>VLOOKUP(K221,'Fuel Curve'!$B$11:$F$268,5)</f>
        <v>4.8046551724137938</v>
      </c>
      <c r="R221" s="238">
        <f>VLOOKUP(K221,'Fuel Curve Simulation'!$B$12:$J$258,9)</f>
        <v>4.8046551724137938</v>
      </c>
      <c r="S221" s="134">
        <f t="shared" si="120"/>
        <v>46.023791896551728</v>
      </c>
      <c r="T221" s="136"/>
      <c r="V221" s="135">
        <f>VLOOKUP(K221,PJM_01212000!$A$7:$C$259,3)</f>
        <v>31.497499084472658</v>
      </c>
      <c r="W221" s="486"/>
      <c r="X221" s="118">
        <f>'PJM Curve Simulation'!J221</f>
        <v>31.497499084472658</v>
      </c>
      <c r="Y221" s="512"/>
      <c r="Z221" s="137"/>
      <c r="AA221" s="78">
        <f t="shared" si="119"/>
        <v>315</v>
      </c>
      <c r="AB221" s="85">
        <f t="shared" si="121"/>
        <v>110880</v>
      </c>
      <c r="AC221" s="85">
        <f>VLOOKUP(K221,'Company Volumes'!$B$20:$C$259,2)</f>
        <v>7349.7116207199988</v>
      </c>
      <c r="AD221" s="153">
        <f t="shared" si="125"/>
        <v>0</v>
      </c>
      <c r="AE221" s="150"/>
      <c r="AF221" s="150">
        <v>0</v>
      </c>
      <c r="AG221" s="150">
        <v>0</v>
      </c>
      <c r="AH221" s="150">
        <f t="shared" si="126"/>
        <v>0</v>
      </c>
      <c r="AI221" s="150">
        <f t="shared" si="127"/>
        <v>0</v>
      </c>
      <c r="AJ221" s="150">
        <f t="shared" si="128"/>
        <v>0</v>
      </c>
      <c r="AK221" s="85">
        <f t="shared" si="129"/>
        <v>80588.632336050432</v>
      </c>
      <c r="AL221" s="85">
        <f t="shared" si="130"/>
        <v>205501.01245692861</v>
      </c>
      <c r="AM221" s="85">
        <f t="shared" si="122"/>
        <v>0</v>
      </c>
      <c r="AN221" s="85">
        <f t="shared" si="123"/>
        <v>184279.33927510201</v>
      </c>
      <c r="AO221" s="85">
        <f t="shared" si="131"/>
        <v>40294.316168025216</v>
      </c>
      <c r="AP221" s="85">
        <f t="shared" si="143"/>
        <v>46500.558215233643</v>
      </c>
      <c r="AQ221" s="84">
        <f t="shared" si="132"/>
        <v>557163.85845133988</v>
      </c>
      <c r="AR221" s="85">
        <f t="shared" si="133"/>
        <v>20147.158084012608</v>
      </c>
      <c r="AS221" s="84">
        <f t="shared" si="109"/>
        <v>30387.755000000001</v>
      </c>
      <c r="AT221" s="85">
        <f t="shared" si="134"/>
        <v>0</v>
      </c>
      <c r="AU221" s="84">
        <f t="shared" si="135"/>
        <v>607698.77153535234</v>
      </c>
      <c r="AV221" s="84">
        <f t="shared" si="124"/>
        <v>-607698.77153535234</v>
      </c>
      <c r="AW221" s="453"/>
      <c r="AX221" s="93">
        <f t="shared" si="118"/>
        <v>43040</v>
      </c>
      <c r="BA221" s="315"/>
      <c r="BB221" s="134">
        <f t="shared" si="136"/>
        <v>31.497499084472658</v>
      </c>
      <c r="BC221" s="134">
        <f>'Curve Analysis - Base Case'!D213</f>
        <v>49.247337189993743</v>
      </c>
      <c r="BD221" s="131">
        <f t="shared" si="137"/>
        <v>7.3952891541303009E-2</v>
      </c>
      <c r="BE221" s="131">
        <f t="shared" si="138"/>
        <v>7.3952891541303009E-2</v>
      </c>
      <c r="BF221" s="365">
        <f>PJM_01212000!X221</f>
        <v>6.5685623059708542E-2</v>
      </c>
      <c r="BG221" s="85">
        <f t="shared" si="139"/>
        <v>6466</v>
      </c>
      <c r="BH221" s="84">
        <f t="shared" si="140"/>
        <v>0</v>
      </c>
      <c r="BJ221" s="537">
        <f>_xll.EURO(BB221,BC221,BD221,BE221,BF221,BG221,1,0)*BH221</f>
        <v>0</v>
      </c>
      <c r="BK221" s="84">
        <f t="shared" si="141"/>
        <v>0</v>
      </c>
      <c r="BM221" s="84">
        <f t="shared" si="142"/>
        <v>0</v>
      </c>
    </row>
    <row r="222" spans="1:65">
      <c r="A222" s="78">
        <f t="shared" si="115"/>
        <v>216</v>
      </c>
      <c r="C222" s="78">
        <v>31</v>
      </c>
      <c r="D222" s="78" t="s">
        <v>72</v>
      </c>
      <c r="E222" s="113">
        <f t="shared" si="116"/>
        <v>43070</v>
      </c>
      <c r="F222" s="85">
        <f t="shared" si="112"/>
        <v>21</v>
      </c>
      <c r="G222" s="84">
        <f t="shared" si="144"/>
        <v>10</v>
      </c>
      <c r="H222" s="84">
        <f>SUM(F211:G222)</f>
        <v>365</v>
      </c>
      <c r="I222" s="84"/>
      <c r="J222" s="78">
        <f t="shared" si="117"/>
        <v>31</v>
      </c>
      <c r="K222" s="149">
        <v>43070</v>
      </c>
      <c r="L222" s="508">
        <v>7.3947884978619996E-2</v>
      </c>
      <c r="M222" s="509">
        <v>6.4666924024206013E-2</v>
      </c>
      <c r="N222" s="132">
        <f t="shared" si="114"/>
        <v>0.2732948626893707</v>
      </c>
      <c r="O222" s="133">
        <f>VLOOKUP(K222,Inflation!$B$8:$C$266,2)</f>
        <v>1.6153550165979087</v>
      </c>
      <c r="P222" s="132"/>
      <c r="Q222" s="134">
        <f>VLOOKUP(K222,'Fuel Curve'!$B$11:$F$268,5)</f>
        <v>4.8474137931034491</v>
      </c>
      <c r="R222" s="238">
        <f>VLOOKUP(K222,'Fuel Curve Simulation'!$B$12:$J$258,9)</f>
        <v>4.8474137931034491</v>
      </c>
      <c r="S222" s="134">
        <f t="shared" si="120"/>
        <v>46.433376724137936</v>
      </c>
      <c r="T222" s="136"/>
      <c r="V222" s="135">
        <f>VLOOKUP(K222,PJM_01212000!$A$7:$C$259,3)</f>
        <v>33.249999618530275</v>
      </c>
      <c r="W222" s="486"/>
      <c r="X222" s="118">
        <f>'PJM Curve Simulation'!J222</f>
        <v>33.249999618530275</v>
      </c>
      <c r="Y222" s="512"/>
      <c r="Z222" s="137"/>
      <c r="AA222" s="78">
        <f t="shared" si="119"/>
        <v>315</v>
      </c>
      <c r="AB222" s="85">
        <f t="shared" si="121"/>
        <v>105840</v>
      </c>
      <c r="AC222" s="85">
        <f>VLOOKUP(K222,'Company Volumes'!$B$20:$C$259,2)</f>
        <v>7349.7116207199988</v>
      </c>
      <c r="AD222" s="153">
        <f t="shared" si="125"/>
        <v>0</v>
      </c>
      <c r="AE222" s="150"/>
      <c r="AF222" s="150">
        <v>0</v>
      </c>
      <c r="AG222" s="150">
        <v>0</v>
      </c>
      <c r="AH222" s="150">
        <f t="shared" si="126"/>
        <v>0</v>
      </c>
      <c r="AI222" s="150">
        <f t="shared" si="127"/>
        <v>0</v>
      </c>
      <c r="AJ222" s="150">
        <f t="shared" si="128"/>
        <v>0</v>
      </c>
      <c r="AK222" s="85">
        <f t="shared" si="129"/>
        <v>80767.750829895434</v>
      </c>
      <c r="AL222" s="85">
        <f t="shared" si="130"/>
        <v>205957.76461623338</v>
      </c>
      <c r="AM222" s="85">
        <f t="shared" si="122"/>
        <v>0</v>
      </c>
      <c r="AN222" s="85">
        <f t="shared" si="123"/>
        <v>184688.92356436091</v>
      </c>
      <c r="AO222" s="85">
        <f t="shared" si="131"/>
        <v>40383.875414947717</v>
      </c>
      <c r="AP222" s="85">
        <f t="shared" si="143"/>
        <v>46500.558215233643</v>
      </c>
      <c r="AQ222" s="84">
        <f t="shared" si="132"/>
        <v>558298.87264067109</v>
      </c>
      <c r="AR222" s="85">
        <f t="shared" si="133"/>
        <v>20191.937707473859</v>
      </c>
      <c r="AS222" s="84">
        <f t="shared" si="109"/>
        <v>30387.755000000001</v>
      </c>
      <c r="AT222" s="85">
        <f t="shared" si="134"/>
        <v>0</v>
      </c>
      <c r="AU222" s="84">
        <f t="shared" si="135"/>
        <v>608878.56534814474</v>
      </c>
      <c r="AV222" s="84">
        <f t="shared" si="124"/>
        <v>-608878.56534814474</v>
      </c>
      <c r="AW222" s="453"/>
      <c r="AX222" s="93">
        <f t="shared" si="118"/>
        <v>43070</v>
      </c>
      <c r="AY222" s="85">
        <f ca="1">'Debt Amortization'!Y8</f>
        <v>9087221.4356940575</v>
      </c>
      <c r="AZ222" s="85">
        <f ca="1">AY222*N222</f>
        <v>2483490.9344959133</v>
      </c>
      <c r="BA222" s="315"/>
      <c r="BB222" s="134">
        <f t="shared" si="136"/>
        <v>33.249999618530275</v>
      </c>
      <c r="BC222" s="134">
        <f>'Curve Analysis - Base Case'!D214</f>
        <v>49.664086757333756</v>
      </c>
      <c r="BD222" s="131">
        <f t="shared" si="137"/>
        <v>7.3947884978619996E-2</v>
      </c>
      <c r="BE222" s="131">
        <f t="shared" si="138"/>
        <v>7.3947884978619996E-2</v>
      </c>
      <c r="BF222" s="365">
        <f>PJM_01212000!X222</f>
        <v>6.5685623059708542E-2</v>
      </c>
      <c r="BG222" s="85">
        <f t="shared" si="139"/>
        <v>6496</v>
      </c>
      <c r="BH222" s="84">
        <f t="shared" si="140"/>
        <v>0</v>
      </c>
      <c r="BJ222" s="537">
        <f>_xll.EURO(BB222,BC222,BD222,BE222,BF222,BG222,1,0)*BH222</f>
        <v>0</v>
      </c>
      <c r="BK222" s="84">
        <f t="shared" si="141"/>
        <v>0</v>
      </c>
      <c r="BM222" s="84">
        <f t="shared" si="142"/>
        <v>0</v>
      </c>
    </row>
    <row r="223" spans="1:65">
      <c r="A223" s="78">
        <f t="shared" si="115"/>
        <v>217</v>
      </c>
      <c r="C223" s="78">
        <v>31</v>
      </c>
      <c r="D223" s="78" t="s">
        <v>62</v>
      </c>
      <c r="E223" s="113">
        <f t="shared" si="116"/>
        <v>43101</v>
      </c>
      <c r="F223" s="85">
        <f t="shared" si="112"/>
        <v>23</v>
      </c>
      <c r="G223" s="84">
        <f>C223-F223</f>
        <v>8</v>
      </c>
      <c r="H223" s="84"/>
      <c r="I223" s="84"/>
      <c r="J223" s="78">
        <f t="shared" si="117"/>
        <v>31</v>
      </c>
      <c r="K223" s="149">
        <v>43101</v>
      </c>
      <c r="L223" s="508">
        <v>7.3942711530524022E-2</v>
      </c>
      <c r="M223" s="509">
        <v>6.4678536275743007E-2</v>
      </c>
      <c r="N223" s="132">
        <f t="shared" si="114"/>
        <v>0.27164006054469364</v>
      </c>
      <c r="O223" s="133">
        <f>VLOOKUP(K223,Inflation!$B$8:$C$266,2)</f>
        <v>1.6189453487478762</v>
      </c>
      <c r="P223" s="132"/>
      <c r="Q223" s="134">
        <f>VLOOKUP(K223,'Fuel Curve'!$B$11:$F$268,5)</f>
        <v>4.7901724137931048</v>
      </c>
      <c r="R223" s="238">
        <f>VLOOKUP(K223,'Fuel Curve Simulation'!$B$12:$J$258,9)</f>
        <v>4.7901724137931048</v>
      </c>
      <c r="S223" s="134">
        <f t="shared" si="120"/>
        <v>45.885061551724156</v>
      </c>
      <c r="T223" s="136"/>
      <c r="V223" s="135">
        <f>VLOOKUP(K223,PJM_01212000!$A$7:$C$259,3)</f>
        <v>41.824998474121088</v>
      </c>
      <c r="W223" s="486"/>
      <c r="X223" s="118">
        <f>'PJM Curve Simulation'!J223</f>
        <v>41.824998474121088</v>
      </c>
      <c r="Y223" s="512"/>
      <c r="Z223" s="137"/>
      <c r="AA223" s="78">
        <f t="shared" si="119"/>
        <v>315</v>
      </c>
      <c r="AB223" s="85">
        <f t="shared" si="121"/>
        <v>115920</v>
      </c>
      <c r="AC223" s="85">
        <f>VLOOKUP(K223,'Company Volumes'!$B$20:$C$259,2)</f>
        <v>14846.473856573333</v>
      </c>
      <c r="AD223" s="153">
        <f t="shared" si="125"/>
        <v>0</v>
      </c>
      <c r="AE223" s="150"/>
      <c r="AF223" s="150">
        <v>0</v>
      </c>
      <c r="AG223" s="150">
        <v>0</v>
      </c>
      <c r="AH223" s="150">
        <f t="shared" si="126"/>
        <v>0</v>
      </c>
      <c r="AI223" s="150">
        <f t="shared" si="127"/>
        <v>0</v>
      </c>
      <c r="AJ223" s="150">
        <f t="shared" si="128"/>
        <v>0</v>
      </c>
      <c r="AK223" s="85">
        <f t="shared" si="129"/>
        <v>80947.267437393806</v>
      </c>
      <c r="AL223" s="85">
        <f t="shared" si="130"/>
        <v>206415.53196535422</v>
      </c>
      <c r="AM223" s="85">
        <f t="shared" si="122"/>
        <v>0</v>
      </c>
      <c r="AN223" s="85">
        <f t="shared" si="123"/>
        <v>185099.41820684052</v>
      </c>
      <c r="AO223" s="85">
        <f t="shared" si="131"/>
        <v>40473.633718696903</v>
      </c>
      <c r="AP223" s="85">
        <f t="shared" si="143"/>
        <v>46500.558215233643</v>
      </c>
      <c r="AQ223" s="84">
        <f t="shared" si="132"/>
        <v>559436.40954351902</v>
      </c>
      <c r="AR223" s="85">
        <f t="shared" si="133"/>
        <v>20236.816859348452</v>
      </c>
      <c r="AS223" s="84">
        <f t="shared" si="109"/>
        <v>30387.755000000001</v>
      </c>
      <c r="AT223" s="85">
        <f t="shared" si="134"/>
        <v>0</v>
      </c>
      <c r="AU223" s="84">
        <f t="shared" si="135"/>
        <v>610060.98140286736</v>
      </c>
      <c r="AV223" s="84">
        <f t="shared" si="124"/>
        <v>-610060.98140286736</v>
      </c>
      <c r="AW223" s="453"/>
      <c r="AX223" s="93">
        <f t="shared" si="118"/>
        <v>43101</v>
      </c>
      <c r="BA223" s="315"/>
      <c r="BB223" s="134">
        <f t="shared" si="136"/>
        <v>41.824998474121088</v>
      </c>
      <c r="BC223" s="134">
        <f>'Curve Analysis - Base Case'!D215</f>
        <v>49.122952249219907</v>
      </c>
      <c r="BD223" s="131">
        <f t="shared" si="137"/>
        <v>7.3942711530524022E-2</v>
      </c>
      <c r="BE223" s="131">
        <f t="shared" si="138"/>
        <v>7.3942711530524022E-2</v>
      </c>
      <c r="BF223" s="365">
        <f>PJM_01212000!X223</f>
        <v>0.10089311701971236</v>
      </c>
      <c r="BG223" s="85">
        <f t="shared" si="139"/>
        <v>6527</v>
      </c>
      <c r="BH223" s="84">
        <f t="shared" si="140"/>
        <v>0</v>
      </c>
      <c r="BJ223" s="537">
        <f>_xll.EURO(BB223,BC223,BD223,BE223,BF223,BG223,1,0)*BH223</f>
        <v>0</v>
      </c>
      <c r="BK223" s="84">
        <f t="shared" si="141"/>
        <v>0</v>
      </c>
      <c r="BM223" s="84">
        <f t="shared" si="142"/>
        <v>0</v>
      </c>
    </row>
    <row r="224" spans="1:65">
      <c r="A224" s="78">
        <f t="shared" si="115"/>
        <v>218</v>
      </c>
      <c r="C224" s="78">
        <v>28</v>
      </c>
      <c r="D224" s="78" t="s">
        <v>63</v>
      </c>
      <c r="E224" s="113">
        <f t="shared" si="116"/>
        <v>43132</v>
      </c>
      <c r="F224" s="85">
        <f t="shared" si="112"/>
        <v>20</v>
      </c>
      <c r="G224" s="84">
        <f t="shared" ref="G224:G234" si="145">C224-F224</f>
        <v>8</v>
      </c>
      <c r="H224" s="84"/>
      <c r="I224" s="84"/>
      <c r="J224" s="78">
        <f t="shared" si="117"/>
        <v>28</v>
      </c>
      <c r="K224" s="149">
        <v>43132</v>
      </c>
      <c r="L224" s="508">
        <v>7.3937538082437013E-2</v>
      </c>
      <c r="M224" s="509">
        <v>6.4690148528218E-2</v>
      </c>
      <c r="N224" s="132">
        <f t="shared" si="114"/>
        <v>0.26999550694784635</v>
      </c>
      <c r="O224" s="133">
        <f>VLOOKUP(K224,Inflation!$B$8:$C$266,2)</f>
        <v>1.6225436608680759</v>
      </c>
      <c r="P224" s="132"/>
      <c r="Q224" s="134">
        <f>VLOOKUP(K224,'Fuel Curve'!$B$11:$F$268,5)</f>
        <v>4.6910344827586217</v>
      </c>
      <c r="R224" s="238">
        <f>VLOOKUP(K224,'Fuel Curve Simulation'!$B$12:$J$258,9)</f>
        <v>4.6910344827586217</v>
      </c>
      <c r="S224" s="134">
        <f t="shared" si="120"/>
        <v>44.935419310344834</v>
      </c>
      <c r="T224" s="136"/>
      <c r="V224" s="135">
        <f>VLOOKUP(K224,PJM_01212000!$A$7:$C$259,3)</f>
        <v>41.824998474121088</v>
      </c>
      <c r="W224" s="486"/>
      <c r="X224" s="118">
        <f>'PJM Curve Simulation'!J224</f>
        <v>41.824998474121088</v>
      </c>
      <c r="Y224" s="512"/>
      <c r="Z224" s="137"/>
      <c r="AA224" s="78">
        <f t="shared" si="119"/>
        <v>315</v>
      </c>
      <c r="AB224" s="85">
        <f t="shared" si="121"/>
        <v>100800</v>
      </c>
      <c r="AC224" s="85">
        <f>VLOOKUP(K224,'Company Volumes'!$B$20:$C$259,2)</f>
        <v>436.6979534151111</v>
      </c>
      <c r="AD224" s="153">
        <f t="shared" si="125"/>
        <v>0</v>
      </c>
      <c r="AE224" s="150"/>
      <c r="AF224" s="150">
        <v>0</v>
      </c>
      <c r="AG224" s="150">
        <v>0</v>
      </c>
      <c r="AH224" s="150">
        <f t="shared" si="126"/>
        <v>0</v>
      </c>
      <c r="AI224" s="150">
        <f t="shared" si="127"/>
        <v>0</v>
      </c>
      <c r="AJ224" s="150">
        <f t="shared" si="128"/>
        <v>0</v>
      </c>
      <c r="AK224" s="85">
        <f t="shared" si="129"/>
        <v>81127.183043403798</v>
      </c>
      <c r="AL224" s="85">
        <f t="shared" si="130"/>
        <v>206874.31676067968</v>
      </c>
      <c r="AM224" s="85">
        <f t="shared" si="122"/>
        <v>0</v>
      </c>
      <c r="AN224" s="85">
        <f t="shared" si="123"/>
        <v>185510.82522591669</v>
      </c>
      <c r="AO224" s="85">
        <f t="shared" si="131"/>
        <v>40563.591521701899</v>
      </c>
      <c r="AP224" s="85">
        <f t="shared" si="143"/>
        <v>46500.558215233643</v>
      </c>
      <c r="AQ224" s="84">
        <f t="shared" si="132"/>
        <v>560576.47476693569</v>
      </c>
      <c r="AR224" s="85">
        <f t="shared" si="133"/>
        <v>20281.79576085095</v>
      </c>
      <c r="AS224" s="84">
        <f t="shared" si="109"/>
        <v>30387.755000000001</v>
      </c>
      <c r="AT224" s="85">
        <f t="shared" si="134"/>
        <v>0</v>
      </c>
      <c r="AU224" s="84">
        <f t="shared" si="135"/>
        <v>611246.02552778646</v>
      </c>
      <c r="AV224" s="84">
        <f t="shared" si="124"/>
        <v>-611246.02552778646</v>
      </c>
      <c r="AW224" s="453"/>
      <c r="AX224" s="93">
        <f t="shared" si="118"/>
        <v>43132</v>
      </c>
      <c r="BA224" s="315"/>
      <c r="BB224" s="134">
        <f t="shared" si="136"/>
        <v>41.824998474121088</v>
      </c>
      <c r="BC224" s="134">
        <f>'Curve Analysis - Base Case'!D216</f>
        <v>48.180506632080984</v>
      </c>
      <c r="BD224" s="131">
        <f t="shared" si="137"/>
        <v>7.3937538082437013E-2</v>
      </c>
      <c r="BE224" s="131">
        <f t="shared" si="138"/>
        <v>7.3937538082437013E-2</v>
      </c>
      <c r="BF224" s="365">
        <f>PJM_01212000!X224</f>
        <v>0.10089311701971236</v>
      </c>
      <c r="BG224" s="85">
        <f t="shared" si="139"/>
        <v>6558</v>
      </c>
      <c r="BH224" s="84">
        <f t="shared" si="140"/>
        <v>0</v>
      </c>
      <c r="BJ224" s="537">
        <f>_xll.EURO(BB224,BC224,BD224,BE224,BF224,BG224,1,0)*BH224</f>
        <v>0</v>
      </c>
      <c r="BK224" s="84">
        <f t="shared" si="141"/>
        <v>0</v>
      </c>
      <c r="BM224" s="84">
        <f t="shared" si="142"/>
        <v>0</v>
      </c>
    </row>
    <row r="225" spans="1:65">
      <c r="A225" s="78">
        <f t="shared" si="115"/>
        <v>219</v>
      </c>
      <c r="C225" s="78">
        <v>31</v>
      </c>
      <c r="D225" s="78" t="s">
        <v>64</v>
      </c>
      <c r="E225" s="113">
        <f t="shared" si="116"/>
        <v>43160</v>
      </c>
      <c r="F225" s="85">
        <f t="shared" si="112"/>
        <v>21</v>
      </c>
      <c r="G225" s="84">
        <f t="shared" si="145"/>
        <v>10</v>
      </c>
      <c r="H225" s="84"/>
      <c r="I225" s="84"/>
      <c r="J225" s="78">
        <f t="shared" si="117"/>
        <v>31</v>
      </c>
      <c r="K225" s="149">
        <v>43160</v>
      </c>
      <c r="L225" s="508">
        <v>7.3932865290623012E-2</v>
      </c>
      <c r="M225" s="509">
        <v>6.4700637015131027E-2</v>
      </c>
      <c r="N225" s="132">
        <f t="shared" si="114"/>
        <v>0.26851885861647473</v>
      </c>
      <c r="O225" s="133">
        <f>VLOOKUP(K225,Inflation!$B$8:$C$266,2)</f>
        <v>1.6261499706950073</v>
      </c>
      <c r="P225" s="132"/>
      <c r="Q225" s="134">
        <f>VLOOKUP(K225,'Fuel Curve'!$B$11:$F$268,5)</f>
        <v>4.5939655172413802</v>
      </c>
      <c r="R225" s="238">
        <f>VLOOKUP(K225,'Fuel Curve Simulation'!$B$12:$J$258,9)</f>
        <v>4.5939655172413802</v>
      </c>
      <c r="S225" s="134">
        <f t="shared" si="120"/>
        <v>44.005595689655181</v>
      </c>
      <c r="T225" s="136"/>
      <c r="V225" s="135">
        <f>VLOOKUP(K225,PJM_01212000!$A$7:$C$259,3)</f>
        <v>31.550000762939455</v>
      </c>
      <c r="W225" s="486"/>
      <c r="X225" s="118">
        <f>'PJM Curve Simulation'!J225</f>
        <v>31.550000762939455</v>
      </c>
      <c r="Y225" s="512"/>
      <c r="Z225" s="137"/>
      <c r="AA225" s="78">
        <f t="shared" si="119"/>
        <v>315</v>
      </c>
      <c r="AB225" s="85">
        <f t="shared" si="121"/>
        <v>105840</v>
      </c>
      <c r="AC225" s="85">
        <f>VLOOKUP(K225,'Company Volumes'!$B$20:$C$259,2)</f>
        <v>436.6979534151111</v>
      </c>
      <c r="AD225" s="153">
        <f t="shared" si="125"/>
        <v>0</v>
      </c>
      <c r="AE225" s="150"/>
      <c r="AF225" s="150">
        <v>0</v>
      </c>
      <c r="AG225" s="150">
        <v>0</v>
      </c>
      <c r="AH225" s="150">
        <f t="shared" si="126"/>
        <v>0</v>
      </c>
      <c r="AI225" s="150">
        <f t="shared" si="127"/>
        <v>0</v>
      </c>
      <c r="AJ225" s="150">
        <f t="shared" si="128"/>
        <v>0</v>
      </c>
      <c r="AK225" s="85">
        <f t="shared" si="129"/>
        <v>81307.498534750368</v>
      </c>
      <c r="AL225" s="85">
        <f t="shared" si="130"/>
        <v>207334.12126361343</v>
      </c>
      <c r="AM225" s="85">
        <f t="shared" si="122"/>
        <v>0</v>
      </c>
      <c r="AN225" s="85">
        <f t="shared" si="123"/>
        <v>185923.14664946249</v>
      </c>
      <c r="AO225" s="85">
        <f t="shared" si="131"/>
        <v>40653.749267375184</v>
      </c>
      <c r="AP225" s="85">
        <f t="shared" si="143"/>
        <v>46500.558215233643</v>
      </c>
      <c r="AQ225" s="84">
        <f t="shared" si="132"/>
        <v>561719.07393043512</v>
      </c>
      <c r="AR225" s="85">
        <f t="shared" si="133"/>
        <v>20326.874633687592</v>
      </c>
      <c r="AS225" s="84">
        <f t="shared" si="109"/>
        <v>30387.755000000001</v>
      </c>
      <c r="AT225" s="85">
        <f t="shared" si="134"/>
        <v>0</v>
      </c>
      <c r="AU225" s="84">
        <f t="shared" si="135"/>
        <v>612433.70356412255</v>
      </c>
      <c r="AV225" s="84">
        <f t="shared" si="124"/>
        <v>-612433.70356412255</v>
      </c>
      <c r="AW225" s="453"/>
      <c r="AX225" s="93">
        <f t="shared" si="118"/>
        <v>43160</v>
      </c>
      <c r="BA225" s="315"/>
      <c r="BB225" s="134">
        <f t="shared" si="136"/>
        <v>31.550000762939455</v>
      </c>
      <c r="BC225" s="134">
        <f>'Curve Analysis - Base Case'!D217</f>
        <v>47.257895631045194</v>
      </c>
      <c r="BD225" s="131">
        <f t="shared" si="137"/>
        <v>7.3932865290623012E-2</v>
      </c>
      <c r="BE225" s="131">
        <f t="shared" si="138"/>
        <v>7.3932865290623012E-2</v>
      </c>
      <c r="BF225" s="365">
        <f>PJM_01212000!X225</f>
        <v>8.4077597516426933E-2</v>
      </c>
      <c r="BG225" s="85">
        <f t="shared" si="139"/>
        <v>6586</v>
      </c>
      <c r="BH225" s="84">
        <f t="shared" si="140"/>
        <v>0</v>
      </c>
      <c r="BJ225" s="537">
        <f>_xll.EURO(BB225,BC225,BD225,BE225,BF225,BG225,1,0)*BH225</f>
        <v>0</v>
      </c>
      <c r="BK225" s="84">
        <f t="shared" si="141"/>
        <v>0</v>
      </c>
      <c r="BM225" s="84">
        <f t="shared" si="142"/>
        <v>0</v>
      </c>
    </row>
    <row r="226" spans="1:65">
      <c r="A226" s="78">
        <f t="shared" si="115"/>
        <v>220</v>
      </c>
      <c r="C226" s="78">
        <v>30</v>
      </c>
      <c r="D226" s="78" t="s">
        <v>65</v>
      </c>
      <c r="E226" s="113">
        <f t="shared" si="116"/>
        <v>43191</v>
      </c>
      <c r="F226" s="85">
        <f t="shared" si="112"/>
        <v>22</v>
      </c>
      <c r="G226" s="84">
        <f t="shared" si="145"/>
        <v>8</v>
      </c>
      <c r="H226" s="84"/>
      <c r="I226" s="84"/>
      <c r="J226" s="78">
        <f t="shared" si="117"/>
        <v>30</v>
      </c>
      <c r="K226" s="149">
        <v>43191</v>
      </c>
      <c r="L226" s="508">
        <v>7.3927691842552018E-2</v>
      </c>
      <c r="M226" s="509">
        <v>6.4712249269393007E-2</v>
      </c>
      <c r="N226" s="132">
        <f t="shared" si="114"/>
        <v>0.26689363157793511</v>
      </c>
      <c r="O226" s="133">
        <f>VLOOKUP(K226,Inflation!$B$8:$C$266,2)</f>
        <v>1.6297642960045919</v>
      </c>
      <c r="P226" s="132"/>
      <c r="Q226" s="134">
        <f>VLOOKUP(K226,'Fuel Curve'!$B$11:$F$268,5)</f>
        <v>4.4939655172413797</v>
      </c>
      <c r="R226" s="238">
        <f>VLOOKUP(K226,'Fuel Curve Simulation'!$B$12:$J$258,9)</f>
        <v>4.4939655172413797</v>
      </c>
      <c r="S226" s="134">
        <f t="shared" si="120"/>
        <v>43.047695689655178</v>
      </c>
      <c r="T226" s="136"/>
      <c r="V226" s="135">
        <f>VLOOKUP(K226,PJM_01212000!$A$7:$C$259,3)</f>
        <v>31.325000762939453</v>
      </c>
      <c r="W226" s="486"/>
      <c r="X226" s="118">
        <f>'PJM Curve Simulation'!J226</f>
        <v>31.325000762939453</v>
      </c>
      <c r="Y226" s="512"/>
      <c r="Z226" s="137"/>
      <c r="AA226" s="78">
        <f t="shared" si="119"/>
        <v>315</v>
      </c>
      <c r="AB226" s="85">
        <f t="shared" si="121"/>
        <v>110880</v>
      </c>
      <c r="AC226" s="85">
        <f>VLOOKUP(K226,'Company Volumes'!$B$20:$C$259,2)</f>
        <v>6815.6151663817773</v>
      </c>
      <c r="AD226" s="153">
        <f t="shared" si="125"/>
        <v>0</v>
      </c>
      <c r="AE226" s="150"/>
      <c r="AF226" s="150">
        <v>0</v>
      </c>
      <c r="AG226" s="150">
        <v>0</v>
      </c>
      <c r="AH226" s="150">
        <f t="shared" si="126"/>
        <v>0</v>
      </c>
      <c r="AI226" s="150">
        <f t="shared" si="127"/>
        <v>0</v>
      </c>
      <c r="AJ226" s="150">
        <f t="shared" si="128"/>
        <v>0</v>
      </c>
      <c r="AK226" s="85">
        <f t="shared" si="129"/>
        <v>81488.214800229602</v>
      </c>
      <c r="AL226" s="85">
        <f t="shared" si="130"/>
        <v>207794.94774058546</v>
      </c>
      <c r="AM226" s="85">
        <f t="shared" si="122"/>
        <v>0</v>
      </c>
      <c r="AN226" s="85">
        <f t="shared" si="123"/>
        <v>186336.38450985836</v>
      </c>
      <c r="AO226" s="85">
        <f t="shared" si="131"/>
        <v>40744.107400114801</v>
      </c>
      <c r="AP226" s="85">
        <f t="shared" si="143"/>
        <v>46500.558215233643</v>
      </c>
      <c r="AQ226" s="84">
        <f t="shared" si="132"/>
        <v>562864.21266602189</v>
      </c>
      <c r="AR226" s="85">
        <f t="shared" si="133"/>
        <v>20372.0537000574</v>
      </c>
      <c r="AS226" s="84">
        <f t="shared" si="109"/>
        <v>30387.755000000001</v>
      </c>
      <c r="AT226" s="85">
        <f t="shared" si="134"/>
        <v>0</v>
      </c>
      <c r="AU226" s="84">
        <f t="shared" si="135"/>
        <v>613624.02136607911</v>
      </c>
      <c r="AV226" s="84">
        <f t="shared" si="124"/>
        <v>-613624.02136607911</v>
      </c>
      <c r="AW226" s="453"/>
      <c r="AX226" s="93">
        <f t="shared" si="118"/>
        <v>43191</v>
      </c>
      <c r="BA226" s="315"/>
      <c r="BB226" s="134">
        <f t="shared" si="136"/>
        <v>31.325000762939453</v>
      </c>
      <c r="BC226" s="134">
        <f>'Curve Analysis - Base Case'!D218</f>
        <v>46.307224281664361</v>
      </c>
      <c r="BD226" s="131">
        <f t="shared" si="137"/>
        <v>7.3927691842552018E-2</v>
      </c>
      <c r="BE226" s="131">
        <f t="shared" si="138"/>
        <v>7.3927691842552018E-2</v>
      </c>
      <c r="BF226" s="365">
        <f>PJM_01212000!X226</f>
        <v>7.9873717640605607E-2</v>
      </c>
      <c r="BG226" s="85">
        <f t="shared" si="139"/>
        <v>6617</v>
      </c>
      <c r="BH226" s="84">
        <f t="shared" si="140"/>
        <v>0</v>
      </c>
      <c r="BJ226" s="537">
        <f>_xll.EURO(BB226,BC226,BD226,BE226,BF226,BG226,1,0)*BH226</f>
        <v>0</v>
      </c>
      <c r="BK226" s="84">
        <f t="shared" si="141"/>
        <v>0</v>
      </c>
      <c r="BM226" s="84">
        <f t="shared" si="142"/>
        <v>0</v>
      </c>
    </row>
    <row r="227" spans="1:65">
      <c r="A227" s="78">
        <f t="shared" si="115"/>
        <v>221</v>
      </c>
      <c r="C227" s="78">
        <v>31</v>
      </c>
      <c r="D227" s="78" t="s">
        <v>38</v>
      </c>
      <c r="E227" s="113">
        <f t="shared" si="116"/>
        <v>43221</v>
      </c>
      <c r="F227" s="85">
        <f t="shared" si="112"/>
        <v>23</v>
      </c>
      <c r="G227" s="84">
        <f t="shared" si="145"/>
        <v>8</v>
      </c>
      <c r="H227" s="84"/>
      <c r="I227" s="84"/>
      <c r="J227" s="78">
        <f t="shared" si="117"/>
        <v>31</v>
      </c>
      <c r="K227" s="149">
        <v>43221</v>
      </c>
      <c r="L227" s="508">
        <v>7.3922685279911027E-2</v>
      </c>
      <c r="M227" s="509">
        <v>6.4723486935701E-2</v>
      </c>
      <c r="N227" s="132">
        <f t="shared" si="114"/>
        <v>0.26533041176271788</v>
      </c>
      <c r="O227" s="133">
        <f>VLOOKUP(K227,Inflation!$B$8:$C$266,2)</f>
        <v>1.6333866546122606</v>
      </c>
      <c r="P227" s="132"/>
      <c r="Q227" s="134">
        <f>VLOOKUP(K227,'Fuel Curve'!$B$11:$F$268,5)</f>
        <v>4.4267241379310347</v>
      </c>
      <c r="R227" s="238">
        <f>VLOOKUP(K227,'Fuel Curve Simulation'!$B$12:$J$258,9)</f>
        <v>4.4267241379310347</v>
      </c>
      <c r="S227" s="134">
        <f t="shared" si="120"/>
        <v>42.403590517241383</v>
      </c>
      <c r="T227" s="136"/>
      <c r="V227" s="135">
        <f>VLOOKUP(K227,PJM_01212000!$A$7:$C$259,3)</f>
        <v>39.325000000000003</v>
      </c>
      <c r="W227" s="486"/>
      <c r="X227" s="118">
        <f>'PJM Curve Simulation'!J227</f>
        <v>39.325000000000003</v>
      </c>
      <c r="Y227" s="512"/>
      <c r="Z227" s="137"/>
      <c r="AA227" s="78">
        <f t="shared" si="119"/>
        <v>315</v>
      </c>
      <c r="AB227" s="85">
        <f t="shared" si="121"/>
        <v>115920</v>
      </c>
      <c r="AC227" s="85">
        <f>VLOOKUP(K227,'Company Volumes'!$B$20:$C$259,2)</f>
        <v>17179.008032965328</v>
      </c>
      <c r="AD227" s="153">
        <f t="shared" si="125"/>
        <v>0</v>
      </c>
      <c r="AE227" s="150"/>
      <c r="AF227" s="150">
        <v>0</v>
      </c>
      <c r="AG227" s="150">
        <v>0</v>
      </c>
      <c r="AH227" s="150">
        <f t="shared" si="126"/>
        <v>0</v>
      </c>
      <c r="AI227" s="150">
        <f t="shared" si="127"/>
        <v>0</v>
      </c>
      <c r="AJ227" s="150">
        <f t="shared" si="128"/>
        <v>0</v>
      </c>
      <c r="AK227" s="85">
        <f t="shared" si="129"/>
        <v>81669.332730613023</v>
      </c>
      <c r="AL227" s="85">
        <f t="shared" si="130"/>
        <v>208256.79846306323</v>
      </c>
      <c r="AM227" s="85">
        <f t="shared" si="122"/>
        <v>0</v>
      </c>
      <c r="AN227" s="85">
        <f t="shared" si="123"/>
        <v>186750.54084400178</v>
      </c>
      <c r="AO227" s="85">
        <f t="shared" si="131"/>
        <v>40834.666365306512</v>
      </c>
      <c r="AP227" s="85">
        <f t="shared" si="143"/>
        <v>46500.558215233643</v>
      </c>
      <c r="AQ227" s="84">
        <f t="shared" si="132"/>
        <v>564011.89661821828</v>
      </c>
      <c r="AR227" s="85">
        <f t="shared" si="133"/>
        <v>20417.333182653256</v>
      </c>
      <c r="AS227" s="84">
        <f t="shared" si="109"/>
        <v>30387.755000000001</v>
      </c>
      <c r="AT227" s="85">
        <f t="shared" si="134"/>
        <v>0</v>
      </c>
      <c r="AU227" s="84">
        <f t="shared" si="135"/>
        <v>614816.98480087135</v>
      </c>
      <c r="AV227" s="84">
        <f t="shared" si="124"/>
        <v>-614816.98480087135</v>
      </c>
      <c r="AW227" s="453"/>
      <c r="AX227" s="93">
        <f t="shared" si="118"/>
        <v>43221</v>
      </c>
      <c r="BA227" s="315"/>
      <c r="BB227" s="134">
        <f t="shared" si="136"/>
        <v>39.325000000000003</v>
      </c>
      <c r="BC227" s="134">
        <f>'Curve Analysis - Base Case'!D219</f>
        <v>45.670363826465902</v>
      </c>
      <c r="BD227" s="131">
        <f t="shared" si="137"/>
        <v>7.3922685279911027E-2</v>
      </c>
      <c r="BE227" s="131">
        <f t="shared" si="138"/>
        <v>7.3922685279911027E-2</v>
      </c>
      <c r="BF227" s="365">
        <f>PJM_01212000!X227</f>
        <v>8.8281477392248286E-2</v>
      </c>
      <c r="BG227" s="85">
        <f t="shared" si="139"/>
        <v>6647</v>
      </c>
      <c r="BH227" s="84">
        <f t="shared" si="140"/>
        <v>0</v>
      </c>
      <c r="BJ227" s="537">
        <f>_xll.EURO(BB227,BC227,BD227,BE227,BF227,BG227,1,0)*BH227</f>
        <v>0</v>
      </c>
      <c r="BK227" s="84">
        <f t="shared" si="141"/>
        <v>0</v>
      </c>
      <c r="BM227" s="84">
        <f t="shared" si="142"/>
        <v>0</v>
      </c>
    </row>
    <row r="228" spans="1:65">
      <c r="A228" s="78">
        <f t="shared" si="115"/>
        <v>222</v>
      </c>
      <c r="C228" s="78">
        <v>30</v>
      </c>
      <c r="D228" s="78" t="s">
        <v>66</v>
      </c>
      <c r="E228" s="113">
        <f t="shared" si="116"/>
        <v>43252</v>
      </c>
      <c r="F228" s="85">
        <f t="shared" si="112"/>
        <v>20</v>
      </c>
      <c r="G228" s="84">
        <f t="shared" si="145"/>
        <v>10</v>
      </c>
      <c r="H228" s="84"/>
      <c r="I228" s="84"/>
      <c r="J228" s="78">
        <f t="shared" si="117"/>
        <v>30</v>
      </c>
      <c r="K228" s="149">
        <v>43252</v>
      </c>
      <c r="L228" s="508">
        <v>7.3917511831858004E-2</v>
      </c>
      <c r="M228" s="509">
        <v>6.4735099191810003E-2</v>
      </c>
      <c r="N228" s="132">
        <f t="shared" si="114"/>
        <v>0.26372492259240987</v>
      </c>
      <c r="O228" s="133">
        <f>VLOOKUP(K228,Inflation!$B$8:$C$266,2)</f>
        <v>1.6370170643730404</v>
      </c>
      <c r="P228" s="132"/>
      <c r="Q228" s="134">
        <f>VLOOKUP(K228,'Fuel Curve'!$B$11:$F$268,5)</f>
        <v>4.4201724137931047</v>
      </c>
      <c r="R228" s="238">
        <f>VLOOKUP(K228,'Fuel Curve Simulation'!$B$12:$J$258,9)</f>
        <v>4.4201724137931047</v>
      </c>
      <c r="S228" s="134">
        <f t="shared" si="120"/>
        <v>42.34083155172415</v>
      </c>
      <c r="T228" s="136"/>
      <c r="V228" s="135">
        <f>VLOOKUP(K228,PJM_01212000!$A$7:$C$259,3)</f>
        <v>68.349998474121094</v>
      </c>
      <c r="W228" s="486"/>
      <c r="X228" s="118">
        <f>'PJM Curve Simulation'!J228</f>
        <v>68.349998474121094</v>
      </c>
      <c r="Y228" s="512"/>
      <c r="Z228" s="137"/>
      <c r="AA228" s="78">
        <f t="shared" si="119"/>
        <v>315</v>
      </c>
      <c r="AB228" s="85">
        <f t="shared" si="121"/>
        <v>100800</v>
      </c>
      <c r="AC228" s="85">
        <f>VLOOKUP(K228,'Company Volumes'!$B$20:$C$259,2)</f>
        <v>32295.255862834219</v>
      </c>
      <c r="AD228" s="153">
        <f t="shared" si="125"/>
        <v>100800</v>
      </c>
      <c r="AE228" s="150"/>
      <c r="AF228" s="150">
        <v>0</v>
      </c>
      <c r="AG228" s="150">
        <v>0</v>
      </c>
      <c r="AH228" s="150">
        <f t="shared" si="126"/>
        <v>6889679.8461914063</v>
      </c>
      <c r="AI228" s="150">
        <f t="shared" si="127"/>
        <v>6889679.8461914063</v>
      </c>
      <c r="AJ228" s="150">
        <f t="shared" si="128"/>
        <v>4267955.8204137944</v>
      </c>
      <c r="AK228" s="85">
        <f t="shared" si="129"/>
        <v>81850.853218652017</v>
      </c>
      <c r="AL228" s="85">
        <f t="shared" si="130"/>
        <v>208719.67570756262</v>
      </c>
      <c r="AM228" s="85">
        <f t="shared" si="122"/>
        <v>330022.64017760492</v>
      </c>
      <c r="AN228" s="85">
        <f t="shared" si="123"/>
        <v>187165.61769331762</v>
      </c>
      <c r="AO228" s="85">
        <f t="shared" si="131"/>
        <v>40925.426609326008</v>
      </c>
      <c r="AP228" s="85">
        <f t="shared" si="143"/>
        <v>46500.558215233643</v>
      </c>
      <c r="AQ228" s="84">
        <f t="shared" si="132"/>
        <v>895184.77162169688</v>
      </c>
      <c r="AR228" s="85">
        <f t="shared" si="133"/>
        <v>20462.713304663004</v>
      </c>
      <c r="AS228" s="84">
        <f t="shared" si="109"/>
        <v>30387.755000000001</v>
      </c>
      <c r="AT228" s="85">
        <f t="shared" si="134"/>
        <v>67671.140857694147</v>
      </c>
      <c r="AU228" s="84">
        <f t="shared" si="135"/>
        <v>5281662.2011978487</v>
      </c>
      <c r="AV228" s="84">
        <f t="shared" si="124"/>
        <v>1608017.6449935576</v>
      </c>
      <c r="AW228" s="453"/>
      <c r="AX228" s="93">
        <f t="shared" si="118"/>
        <v>43252</v>
      </c>
      <c r="BA228" s="315"/>
      <c r="BB228" s="134">
        <f t="shared" si="136"/>
        <v>68.349998474121094</v>
      </c>
      <c r="BC228" s="134">
        <f>'Curve Analysis - Base Case'!D220</f>
        <v>45.614865680470231</v>
      </c>
      <c r="BD228" s="131">
        <f t="shared" si="137"/>
        <v>7.3917511831858004E-2</v>
      </c>
      <c r="BE228" s="131">
        <f t="shared" si="138"/>
        <v>7.3917511831858004E-2</v>
      </c>
      <c r="BF228" s="365">
        <f>PJM_01212000!X228</f>
        <v>0.11350475664717641</v>
      </c>
      <c r="BG228" s="85">
        <f t="shared" si="139"/>
        <v>6678</v>
      </c>
      <c r="BH228" s="84">
        <f t="shared" si="140"/>
        <v>100800</v>
      </c>
      <c r="BJ228" s="537">
        <f>_xll.EURO(BB228,BC228,BD228,BE228,BF228,BG228,1,0)*BH228</f>
        <v>671968.97518870165</v>
      </c>
      <c r="BK228" s="84">
        <f t="shared" si="141"/>
        <v>691413.96575686184</v>
      </c>
      <c r="BM228" s="84">
        <f t="shared" si="142"/>
        <v>-19444.990568160196</v>
      </c>
    </row>
    <row r="229" spans="1:65">
      <c r="A229" s="78">
        <f t="shared" si="115"/>
        <v>223</v>
      </c>
      <c r="C229" s="78">
        <v>31</v>
      </c>
      <c r="D229" s="78" t="s">
        <v>67</v>
      </c>
      <c r="E229" s="113">
        <f t="shared" si="116"/>
        <v>43282</v>
      </c>
      <c r="F229" s="85">
        <f t="shared" si="112"/>
        <v>23</v>
      </c>
      <c r="G229" s="84">
        <f t="shared" si="145"/>
        <v>8</v>
      </c>
      <c r="H229" s="84"/>
      <c r="I229" s="84"/>
      <c r="J229" s="78">
        <f t="shared" si="117"/>
        <v>31</v>
      </c>
      <c r="K229" s="149">
        <v>43282</v>
      </c>
      <c r="L229" s="508">
        <v>7.3912505269234999E-2</v>
      </c>
      <c r="M229" s="509">
        <v>6.4746336859906009E-2</v>
      </c>
      <c r="N229" s="132">
        <f t="shared" si="114"/>
        <v>0.26218068511448367</v>
      </c>
      <c r="O229" s="133">
        <f>VLOOKUP(K229,Inflation!$B$8:$C$266,2)</f>
        <v>1.6406555431816443</v>
      </c>
      <c r="P229" s="132"/>
      <c r="Q229" s="134">
        <f>VLOOKUP(K229,'Fuel Curve'!$B$11:$F$268,5)</f>
        <v>4.477413793103449</v>
      </c>
      <c r="R229" s="238">
        <f>VLOOKUP(K229,'Fuel Curve Simulation'!$B$12:$J$258,9)</f>
        <v>4.477413793103449</v>
      </c>
      <c r="S229" s="134">
        <f t="shared" si="120"/>
        <v>42.889146724137937</v>
      </c>
      <c r="T229" s="136"/>
      <c r="V229" s="135">
        <f>VLOOKUP(K229,PJM_01212000!$A$7:$C$259,3)</f>
        <v>124.94999694824219</v>
      </c>
      <c r="W229" s="486"/>
      <c r="X229" s="118">
        <f>'PJM Curve Simulation'!J229</f>
        <v>124.94999694824219</v>
      </c>
      <c r="Y229" s="512"/>
      <c r="Z229" s="137"/>
      <c r="AA229" s="78">
        <f t="shared" si="119"/>
        <v>315</v>
      </c>
      <c r="AB229" s="85">
        <f t="shared" si="121"/>
        <v>115920</v>
      </c>
      <c r="AC229" s="85">
        <f>VLOOKUP(K229,'Company Volumes'!$B$20:$C$259,2)</f>
        <v>53178.437641077777</v>
      </c>
      <c r="AD229" s="153">
        <f t="shared" si="125"/>
        <v>115920</v>
      </c>
      <c r="AE229" s="150"/>
      <c r="AF229" s="150">
        <v>0</v>
      </c>
      <c r="AG229" s="150">
        <v>0</v>
      </c>
      <c r="AH229" s="150">
        <f t="shared" si="126"/>
        <v>14484203.646240234</v>
      </c>
      <c r="AI229" s="150">
        <f t="shared" si="127"/>
        <v>14484203.646240234</v>
      </c>
      <c r="AJ229" s="150">
        <f t="shared" si="128"/>
        <v>4971709.8882620698</v>
      </c>
      <c r="AK229" s="85">
        <f t="shared" si="129"/>
        <v>82032.777159082223</v>
      </c>
      <c r="AL229" s="85">
        <f t="shared" si="130"/>
        <v>209183.58175565966</v>
      </c>
      <c r="AM229" s="85">
        <f t="shared" si="122"/>
        <v>380369.58113123244</v>
      </c>
      <c r="AN229" s="85">
        <f t="shared" si="123"/>
        <v>187581.61710376802</v>
      </c>
      <c r="AO229" s="85">
        <f t="shared" si="131"/>
        <v>41016.388579541112</v>
      </c>
      <c r="AP229" s="85">
        <f t="shared" si="143"/>
        <v>46500.558215233643</v>
      </c>
      <c r="AQ229" s="84">
        <f t="shared" si="132"/>
        <v>946684.50394451711</v>
      </c>
      <c r="AR229" s="85">
        <f t="shared" si="133"/>
        <v>20508.194289770556</v>
      </c>
      <c r="AS229" s="84">
        <f t="shared" si="109"/>
        <v>30387.755000000001</v>
      </c>
      <c r="AT229" s="85">
        <f t="shared" si="134"/>
        <v>142581.53400465494</v>
      </c>
      <c r="AU229" s="84">
        <f t="shared" si="135"/>
        <v>6111871.8755010115</v>
      </c>
      <c r="AV229" s="84">
        <f t="shared" si="124"/>
        <v>8372331.7707392229</v>
      </c>
      <c r="AW229" s="453"/>
      <c r="AX229" s="93">
        <f t="shared" si="118"/>
        <v>43282</v>
      </c>
      <c r="BA229" s="315"/>
      <c r="BB229" s="134">
        <f t="shared" si="136"/>
        <v>124.94999694824219</v>
      </c>
      <c r="BC229" s="134">
        <f>'Curve Analysis - Base Case'!D221</f>
        <v>46.170457810501226</v>
      </c>
      <c r="BD229" s="131">
        <f t="shared" si="137"/>
        <v>7.3912505269234999E-2</v>
      </c>
      <c r="BE229" s="131">
        <f t="shared" si="138"/>
        <v>7.3912505269234999E-2</v>
      </c>
      <c r="BF229" s="365">
        <f>PJM_01212000!X229</f>
        <v>0.13872803590210442</v>
      </c>
      <c r="BG229" s="85">
        <f t="shared" si="139"/>
        <v>6708</v>
      </c>
      <c r="BH229" s="84">
        <f t="shared" si="140"/>
        <v>115920</v>
      </c>
      <c r="BJ229" s="537">
        <f>_xll.EURO(BB229,BC229,BD229,BE229,BF229,BG229,1,0)*BH229</f>
        <v>2375214.5071492502</v>
      </c>
      <c r="BK229" s="84">
        <f t="shared" si="141"/>
        <v>2493992.1306139645</v>
      </c>
      <c r="BM229" s="84">
        <f t="shared" si="142"/>
        <v>-118777.62346471427</v>
      </c>
    </row>
    <row r="230" spans="1:65">
      <c r="A230" s="78">
        <f t="shared" si="115"/>
        <v>224</v>
      </c>
      <c r="C230" s="78">
        <v>31</v>
      </c>
      <c r="D230" s="78" t="s">
        <v>68</v>
      </c>
      <c r="E230" s="113">
        <f t="shared" si="116"/>
        <v>43313</v>
      </c>
      <c r="F230" s="85">
        <f t="shared" si="112"/>
        <v>22</v>
      </c>
      <c r="G230" s="84">
        <f t="shared" si="145"/>
        <v>9</v>
      </c>
      <c r="H230" s="84"/>
      <c r="I230" s="84"/>
      <c r="J230" s="78">
        <f t="shared" si="117"/>
        <v>31</v>
      </c>
      <c r="K230" s="93">
        <f>E230</f>
        <v>43313</v>
      </c>
      <c r="L230" s="508">
        <v>7.3907331821199018E-2</v>
      </c>
      <c r="M230" s="509">
        <v>6.4757949117862007E-2</v>
      </c>
      <c r="N230" s="132">
        <f t="shared" si="114"/>
        <v>0.26059468902303268</v>
      </c>
      <c r="O230" s="133">
        <f>VLOOKUP(K230,Inflation!$B$8:$C$266,2)</f>
        <v>1.6443021089725582</v>
      </c>
      <c r="P230" s="132"/>
      <c r="Q230" s="134">
        <f>VLOOKUP(K230,'Fuel Curve'!$B$11:$F$268,5)</f>
        <v>4.5679310344827595</v>
      </c>
      <c r="R230" s="238">
        <f>VLOOKUP(K230,'Fuel Curve Simulation'!$B$12:$J$258,9)</f>
        <v>4.5679310344827595</v>
      </c>
      <c r="S230" s="134">
        <f t="shared" si="120"/>
        <v>43.756211379310358</v>
      </c>
      <c r="T230" s="136"/>
      <c r="V230" s="142">
        <f>V218</f>
        <v>109.69999694824219</v>
      </c>
      <c r="W230" s="486"/>
      <c r="X230" s="118">
        <f>'PJM Curve Simulation'!J230</f>
        <v>111.94999694824219</v>
      </c>
      <c r="Y230" s="512"/>
      <c r="Z230" s="137"/>
      <c r="AA230" s="78">
        <f t="shared" ref="AA230:AA258" si="146">AA229</f>
        <v>315</v>
      </c>
      <c r="AB230" s="85">
        <f t="shared" si="121"/>
        <v>110880</v>
      </c>
      <c r="AC230" s="85">
        <f>VLOOKUP(K230,'Company Volumes'!$B$20:$C$259,2)</f>
        <v>35452.291761376</v>
      </c>
      <c r="AD230" s="153">
        <f t="shared" si="125"/>
        <v>110880</v>
      </c>
      <c r="AE230" s="150"/>
      <c r="AF230" s="150">
        <v>0</v>
      </c>
      <c r="AG230" s="150">
        <v>0</v>
      </c>
      <c r="AH230" s="150">
        <f t="shared" si="126"/>
        <v>12413015.661621094</v>
      </c>
      <c r="AI230" s="150">
        <f t="shared" si="127"/>
        <v>12413015.661621094</v>
      </c>
      <c r="AJ230" s="150">
        <f t="shared" si="128"/>
        <v>4851688.7177379318</v>
      </c>
      <c r="AK230" s="85">
        <f t="shared" si="129"/>
        <v>82215.105448627917</v>
      </c>
      <c r="AL230" s="85">
        <f t="shared" si="130"/>
        <v>209648.51889400117</v>
      </c>
      <c r="AM230" s="85">
        <f t="shared" si="122"/>
        <v>364640.43568575452</v>
      </c>
      <c r="AN230" s="85">
        <f t="shared" si="123"/>
        <v>187998.54112586248</v>
      </c>
      <c r="AO230" s="85">
        <f t="shared" si="131"/>
        <v>41107.552724313959</v>
      </c>
      <c r="AP230" s="85">
        <f t="shared" si="143"/>
        <v>46500.558215233643</v>
      </c>
      <c r="AQ230" s="84">
        <f t="shared" si="132"/>
        <v>932110.71209379367</v>
      </c>
      <c r="AR230" s="85">
        <f t="shared" si="133"/>
        <v>20553.776362156979</v>
      </c>
      <c r="AS230" s="84">
        <f t="shared" si="109"/>
        <v>30387.755000000001</v>
      </c>
      <c r="AT230" s="85">
        <f t="shared" si="134"/>
        <v>122464.48698667774</v>
      </c>
      <c r="AU230" s="84">
        <f t="shared" si="135"/>
        <v>5957205.448180561</v>
      </c>
      <c r="AV230" s="84">
        <f t="shared" si="124"/>
        <v>6455810.2134405328</v>
      </c>
      <c r="AW230" s="453"/>
      <c r="AX230" s="93">
        <f t="shared" si="118"/>
        <v>43313</v>
      </c>
      <c r="BA230" s="315"/>
      <c r="BB230" s="134">
        <f t="shared" si="136"/>
        <v>111.94999694824219</v>
      </c>
      <c r="BC230" s="134">
        <f>'Curve Analysis - Base Case'!D222</f>
        <v>47.044815597255472</v>
      </c>
      <c r="BD230" s="131">
        <f t="shared" si="137"/>
        <v>7.3907331821199018E-2</v>
      </c>
      <c r="BE230" s="131">
        <f t="shared" si="138"/>
        <v>7.3907331821199018E-2</v>
      </c>
      <c r="BF230" s="365">
        <f>PJM_01212000!X230</f>
        <v>0.13872803590210442</v>
      </c>
      <c r="BG230" s="85">
        <f t="shared" si="139"/>
        <v>6739</v>
      </c>
      <c r="BH230" s="84">
        <f t="shared" si="140"/>
        <v>110880</v>
      </c>
      <c r="BJ230" s="537">
        <f>_xll.EURO(BB230,BC230,BD230,BE230,BF230,BG230,1,0)*BH230</f>
        <v>1878990.9737526842</v>
      </c>
      <c r="BK230" s="84">
        <f t="shared" si="141"/>
        <v>1970441.6435427107</v>
      </c>
      <c r="BM230" s="84">
        <f t="shared" si="142"/>
        <v>-91450.669790026499</v>
      </c>
    </row>
    <row r="231" spans="1:65">
      <c r="A231" s="78">
        <f t="shared" si="115"/>
        <v>225</v>
      </c>
      <c r="C231" s="78">
        <v>30</v>
      </c>
      <c r="D231" s="78" t="s">
        <v>69</v>
      </c>
      <c r="E231" s="113">
        <f t="shared" si="116"/>
        <v>43344</v>
      </c>
      <c r="F231" s="85">
        <f t="shared" si="112"/>
        <v>21</v>
      </c>
      <c r="G231" s="84">
        <f t="shared" si="145"/>
        <v>9</v>
      </c>
      <c r="H231" s="84"/>
      <c r="I231" s="84"/>
      <c r="J231" s="78">
        <f t="shared" si="117"/>
        <v>30</v>
      </c>
      <c r="K231" s="93">
        <f t="shared" ref="K231:K294" si="147">E231</f>
        <v>43344</v>
      </c>
      <c r="L231" s="508">
        <v>7.3902158373172017E-2</v>
      </c>
      <c r="M231" s="509">
        <v>6.4769561376757004E-2</v>
      </c>
      <c r="N231" s="132">
        <f t="shared" si="114"/>
        <v>0.25901850643326846</v>
      </c>
      <c r="O231" s="133">
        <f>VLOOKUP(K231,Inflation!$B$8:$C$266,2)</f>
        <v>1.6479567797201295</v>
      </c>
      <c r="P231" s="132"/>
      <c r="Q231" s="134">
        <f>VLOOKUP(K231,'Fuel Curve'!$B$11:$F$268,5)</f>
        <v>4.6627586206896563</v>
      </c>
      <c r="R231" s="238">
        <f>VLOOKUP(K231,'Fuel Curve Simulation'!$B$12:$J$258,9)</f>
        <v>4.6627586206896563</v>
      </c>
      <c r="S231" s="134">
        <f t="shared" si="120"/>
        <v>44.664564827586219</v>
      </c>
      <c r="T231" s="136"/>
      <c r="V231" s="143">
        <f>V219</f>
        <v>39.924998474121097</v>
      </c>
      <c r="W231" s="486"/>
      <c r="X231" s="118">
        <f>'PJM Curve Simulation'!J231</f>
        <v>39.924998474121097</v>
      </c>
      <c r="Y231" s="512"/>
      <c r="Z231" s="137"/>
      <c r="AA231" s="78">
        <f t="shared" si="146"/>
        <v>315</v>
      </c>
      <c r="AB231" s="85">
        <f t="shared" si="121"/>
        <v>105840</v>
      </c>
      <c r="AC231" s="85">
        <f>VLOOKUP(K231,'Company Volumes'!$B$20:$C$259,2)</f>
        <v>20996.565374281774</v>
      </c>
      <c r="AD231" s="153">
        <f t="shared" si="125"/>
        <v>0</v>
      </c>
      <c r="AE231" s="150"/>
      <c r="AF231" s="150">
        <v>0</v>
      </c>
      <c r="AG231" s="150">
        <v>0</v>
      </c>
      <c r="AH231" s="150">
        <f t="shared" si="126"/>
        <v>0</v>
      </c>
      <c r="AI231" s="150">
        <f t="shared" si="127"/>
        <v>0</v>
      </c>
      <c r="AJ231" s="150">
        <f t="shared" si="128"/>
        <v>0</v>
      </c>
      <c r="AK231" s="85">
        <f t="shared" si="129"/>
        <v>82397.838986006478</v>
      </c>
      <c r="AL231" s="85">
        <f t="shared" si="130"/>
        <v>210114.48941431651</v>
      </c>
      <c r="AM231" s="85">
        <f t="shared" si="122"/>
        <v>0</v>
      </c>
      <c r="AN231" s="85">
        <f t="shared" si="123"/>
        <v>188416.39181466814</v>
      </c>
      <c r="AO231" s="85">
        <f t="shared" si="131"/>
        <v>41198.919493003239</v>
      </c>
      <c r="AP231" s="85">
        <f t="shared" si="143"/>
        <v>46500.558215233643</v>
      </c>
      <c r="AQ231" s="84">
        <f t="shared" si="132"/>
        <v>568628.19792322803</v>
      </c>
      <c r="AR231" s="85">
        <f t="shared" si="133"/>
        <v>20599.45974650162</v>
      </c>
      <c r="AS231" s="84">
        <f t="shared" si="109"/>
        <v>30387.755000000001</v>
      </c>
      <c r="AT231" s="85">
        <f t="shared" si="134"/>
        <v>0</v>
      </c>
      <c r="AU231" s="84">
        <f t="shared" si="135"/>
        <v>619615.41266972956</v>
      </c>
      <c r="AV231" s="84">
        <f t="shared" si="124"/>
        <v>-619615.41266972956</v>
      </c>
      <c r="AW231" s="453"/>
      <c r="AX231" s="93">
        <f t="shared" si="118"/>
        <v>43344</v>
      </c>
      <c r="BA231" s="315"/>
      <c r="BB231" s="134">
        <f t="shared" si="136"/>
        <v>39.924998474121097</v>
      </c>
      <c r="BC231" s="134">
        <f>'Curve Analysis - Base Case'!D223</f>
        <v>47.960478387026477</v>
      </c>
      <c r="BD231" s="131">
        <f t="shared" si="137"/>
        <v>7.3902158373172017E-2</v>
      </c>
      <c r="BE231" s="131">
        <f t="shared" si="138"/>
        <v>7.3902158373172017E-2</v>
      </c>
      <c r="BF231" s="365">
        <f>BF219</f>
        <v>9.2888759882416141E-2</v>
      </c>
      <c r="BG231" s="85">
        <f t="shared" si="139"/>
        <v>6770</v>
      </c>
      <c r="BH231" s="84">
        <f t="shared" si="140"/>
        <v>0</v>
      </c>
      <c r="BJ231" s="537">
        <f>_xll.EURO(BB231,BC231,BD231,BE231,BF231,BG231,1,0)*BH231</f>
        <v>0</v>
      </c>
      <c r="BK231" s="84">
        <f t="shared" si="141"/>
        <v>0</v>
      </c>
      <c r="BM231" s="84">
        <f t="shared" si="142"/>
        <v>0</v>
      </c>
    </row>
    <row r="232" spans="1:65">
      <c r="A232" s="78">
        <f t="shared" si="115"/>
        <v>226</v>
      </c>
      <c r="C232" s="78">
        <v>31</v>
      </c>
      <c r="D232" s="78" t="s">
        <v>70</v>
      </c>
      <c r="E232" s="113">
        <f t="shared" si="116"/>
        <v>43374</v>
      </c>
      <c r="F232" s="85">
        <f t="shared" si="112"/>
        <v>23</v>
      </c>
      <c r="G232" s="84">
        <f t="shared" si="145"/>
        <v>8</v>
      </c>
      <c r="H232" s="84"/>
      <c r="I232" s="84"/>
      <c r="J232" s="78">
        <f t="shared" si="117"/>
        <v>31</v>
      </c>
      <c r="K232" s="93">
        <f t="shared" si="147"/>
        <v>43374</v>
      </c>
      <c r="L232" s="508">
        <v>7.3897151810572992E-2</v>
      </c>
      <c r="M232" s="509">
        <v>6.478079904754902E-2</v>
      </c>
      <c r="N232" s="132">
        <f t="shared" si="114"/>
        <v>0.25750245378680087</v>
      </c>
      <c r="O232" s="133">
        <f>VLOOKUP(K232,Inflation!$B$8:$C$266,2)</f>
        <v>1.6516195734386565</v>
      </c>
      <c r="P232" s="132"/>
      <c r="Q232" s="134">
        <f>VLOOKUP(K232,'Fuel Curve'!$B$11:$F$268,5)</f>
        <v>4.7553448275862067</v>
      </c>
      <c r="R232" s="238">
        <f>VLOOKUP(K232,'Fuel Curve Simulation'!$B$12:$J$258,9)</f>
        <v>4.7553448275862067</v>
      </c>
      <c r="S232" s="134">
        <f t="shared" si="120"/>
        <v>45.551448103448273</v>
      </c>
      <c r="T232" s="136"/>
      <c r="V232" s="143">
        <f t="shared" ref="V232:V258" si="148">V220</f>
        <v>31.825000381469728</v>
      </c>
      <c r="W232" s="486"/>
      <c r="X232" s="118">
        <f>'PJM Curve Simulation'!J232</f>
        <v>31.825000381469728</v>
      </c>
      <c r="Y232" s="512"/>
      <c r="Z232" s="137"/>
      <c r="AA232" s="78">
        <f t="shared" si="146"/>
        <v>315</v>
      </c>
      <c r="AB232" s="85">
        <f t="shared" si="121"/>
        <v>115920</v>
      </c>
      <c r="AC232" s="85">
        <f>VLOOKUP(K232,'Company Volumes'!$B$20:$C$259,2)</f>
        <v>3064.9533809657773</v>
      </c>
      <c r="AD232" s="153">
        <f t="shared" si="125"/>
        <v>0</v>
      </c>
      <c r="AE232" s="150"/>
      <c r="AF232" s="150">
        <v>0</v>
      </c>
      <c r="AG232" s="150">
        <v>0</v>
      </c>
      <c r="AH232" s="150">
        <f t="shared" si="126"/>
        <v>0</v>
      </c>
      <c r="AI232" s="150">
        <f t="shared" si="127"/>
        <v>0</v>
      </c>
      <c r="AJ232" s="150">
        <f t="shared" si="128"/>
        <v>0</v>
      </c>
      <c r="AK232" s="85">
        <f t="shared" si="129"/>
        <v>82580.978671932826</v>
      </c>
      <c r="AL232" s="85">
        <f t="shared" si="130"/>
        <v>210581.49561342868</v>
      </c>
      <c r="AM232" s="85">
        <f t="shared" si="122"/>
        <v>0</v>
      </c>
      <c r="AN232" s="85">
        <f t="shared" si="123"/>
        <v>188835.17122981971</v>
      </c>
      <c r="AO232" s="85">
        <f t="shared" si="131"/>
        <v>41290.489335966413</v>
      </c>
      <c r="AP232" s="85">
        <f t="shared" si="143"/>
        <v>46500.558215233643</v>
      </c>
      <c r="AQ232" s="84">
        <f t="shared" si="132"/>
        <v>569788.69306638127</v>
      </c>
      <c r="AR232" s="85">
        <f t="shared" si="133"/>
        <v>20645.244667983206</v>
      </c>
      <c r="AS232" s="84">
        <f t="shared" si="109"/>
        <v>30387.755000000001</v>
      </c>
      <c r="AT232" s="85">
        <f t="shared" si="134"/>
        <v>0</v>
      </c>
      <c r="AU232" s="84">
        <f t="shared" si="135"/>
        <v>620821.6927343643</v>
      </c>
      <c r="AV232" s="84">
        <f t="shared" si="124"/>
        <v>-620821.6927343643</v>
      </c>
      <c r="AW232" s="453"/>
      <c r="AX232" s="93">
        <f t="shared" si="118"/>
        <v>43374</v>
      </c>
      <c r="BA232" s="315"/>
      <c r="BB232" s="134">
        <f t="shared" si="136"/>
        <v>31.825000381469728</v>
      </c>
      <c r="BC232" s="134">
        <f>'Curve Analysis - Base Case'!D224</f>
        <v>48.854687250325583</v>
      </c>
      <c r="BD232" s="131">
        <f t="shared" si="137"/>
        <v>7.3897151810572992E-2</v>
      </c>
      <c r="BE232" s="131">
        <f t="shared" si="138"/>
        <v>7.3897151810572992E-2</v>
      </c>
      <c r="BF232" s="365">
        <f t="shared" ref="BF232:BF258" si="149">BF220</f>
        <v>6.5685623059708542E-2</v>
      </c>
      <c r="BG232" s="85">
        <f t="shared" si="139"/>
        <v>6800</v>
      </c>
      <c r="BH232" s="84">
        <f t="shared" si="140"/>
        <v>0</v>
      </c>
      <c r="BJ232" s="537">
        <f>_xll.EURO(BB232,BC232,BD232,BE232,BF232,BG232,1,0)*BH232</f>
        <v>0</v>
      </c>
      <c r="BK232" s="84">
        <f t="shared" si="141"/>
        <v>0</v>
      </c>
      <c r="BM232" s="84">
        <f t="shared" si="142"/>
        <v>0</v>
      </c>
    </row>
    <row r="233" spans="1:65">
      <c r="A233" s="78">
        <f t="shared" si="115"/>
        <v>227</v>
      </c>
      <c r="C233" s="78">
        <v>30</v>
      </c>
      <c r="D233" s="78" t="s">
        <v>71</v>
      </c>
      <c r="E233" s="113">
        <f t="shared" si="116"/>
        <v>43405</v>
      </c>
      <c r="F233" s="85">
        <f t="shared" si="112"/>
        <v>21</v>
      </c>
      <c r="G233" s="84">
        <f t="shared" si="145"/>
        <v>9</v>
      </c>
      <c r="H233" s="84"/>
      <c r="I233" s="84"/>
      <c r="J233" s="78">
        <f t="shared" si="117"/>
        <v>30</v>
      </c>
      <c r="K233" s="93">
        <f t="shared" si="147"/>
        <v>43405</v>
      </c>
      <c r="L233" s="508">
        <v>7.3891978362564018E-2</v>
      </c>
      <c r="M233" s="509">
        <v>6.4792411308291012E-2</v>
      </c>
      <c r="N233" s="132">
        <f t="shared" si="114"/>
        <v>0.25594540092886636</v>
      </c>
      <c r="O233" s="133">
        <f>VLOOKUP(K233,Inflation!$B$8:$C$266,2)</f>
        <v>1.6552905081824758</v>
      </c>
      <c r="P233" s="132"/>
      <c r="Q233" s="134">
        <f>VLOOKUP(K233,'Fuel Curve'!$B$11:$F$268,5)</f>
        <v>4.8046551724137938</v>
      </c>
      <c r="R233" s="238">
        <f>VLOOKUP(K233,'Fuel Curve Simulation'!$B$12:$J$258,9)</f>
        <v>4.8046551724137938</v>
      </c>
      <c r="S233" s="134">
        <f t="shared" si="120"/>
        <v>46.023791896551728</v>
      </c>
      <c r="T233" s="136"/>
      <c r="V233" s="143">
        <f t="shared" si="148"/>
        <v>31.497499084472658</v>
      </c>
      <c r="W233" s="486"/>
      <c r="X233" s="118">
        <f>'PJM Curve Simulation'!J233</f>
        <v>31.497499084472658</v>
      </c>
      <c r="Y233" s="512"/>
      <c r="Z233" s="137"/>
      <c r="AA233" s="78">
        <f t="shared" si="146"/>
        <v>315</v>
      </c>
      <c r="AB233" s="85">
        <f t="shared" si="121"/>
        <v>105840</v>
      </c>
      <c r="AC233" s="85">
        <f>VLOOKUP(K233,'Company Volumes'!$B$20:$C$259,2)</f>
        <v>7342.8675639511112</v>
      </c>
      <c r="AD233" s="153">
        <f t="shared" si="125"/>
        <v>0</v>
      </c>
      <c r="AE233" s="150"/>
      <c r="AF233" s="150">
        <v>0</v>
      </c>
      <c r="AG233" s="150">
        <v>0</v>
      </c>
      <c r="AH233" s="150">
        <f t="shared" si="126"/>
        <v>0</v>
      </c>
      <c r="AI233" s="150">
        <f t="shared" si="127"/>
        <v>0</v>
      </c>
      <c r="AJ233" s="150">
        <f t="shared" si="128"/>
        <v>0</v>
      </c>
      <c r="AK233" s="85">
        <f t="shared" si="129"/>
        <v>82764.525409123788</v>
      </c>
      <c r="AL233" s="85">
        <f t="shared" si="130"/>
        <v>211049.53979326566</v>
      </c>
      <c r="AM233" s="85">
        <f t="shared" si="122"/>
        <v>0</v>
      </c>
      <c r="AN233" s="85">
        <f t="shared" si="123"/>
        <v>189254.88143552974</v>
      </c>
      <c r="AO233" s="85">
        <f t="shared" si="131"/>
        <v>41382.262704561894</v>
      </c>
      <c r="AP233" s="85">
        <f t="shared" si="143"/>
        <v>46500.558215233643</v>
      </c>
      <c r="AQ233" s="84">
        <f t="shared" si="132"/>
        <v>570951.76755771472</v>
      </c>
      <c r="AR233" s="85">
        <f t="shared" si="133"/>
        <v>20691.131352280947</v>
      </c>
      <c r="AS233" s="84">
        <f t="shared" si="109"/>
        <v>30387.755000000001</v>
      </c>
      <c r="AT233" s="85">
        <f t="shared" si="134"/>
        <v>0</v>
      </c>
      <c r="AU233" s="84">
        <f t="shared" si="135"/>
        <v>622030.65390999557</v>
      </c>
      <c r="AV233" s="84">
        <f t="shared" si="124"/>
        <v>-622030.65390999557</v>
      </c>
      <c r="AW233" s="453"/>
      <c r="AX233" s="93">
        <f t="shared" si="118"/>
        <v>43405</v>
      </c>
      <c r="BA233" s="315"/>
      <c r="BB233" s="134">
        <f t="shared" si="136"/>
        <v>31.497499084472658</v>
      </c>
      <c r="BC233" s="134">
        <f>'Curve Analysis - Base Case'!D225</f>
        <v>49.334372912916677</v>
      </c>
      <c r="BD233" s="131">
        <f t="shared" si="137"/>
        <v>7.3891978362564018E-2</v>
      </c>
      <c r="BE233" s="131">
        <f t="shared" si="138"/>
        <v>7.3891978362564018E-2</v>
      </c>
      <c r="BF233" s="365">
        <f t="shared" si="149"/>
        <v>6.5685623059708542E-2</v>
      </c>
      <c r="BG233" s="85">
        <f t="shared" si="139"/>
        <v>6831</v>
      </c>
      <c r="BH233" s="84">
        <f t="shared" si="140"/>
        <v>0</v>
      </c>
      <c r="BJ233" s="537">
        <f>_xll.EURO(BB233,BC233,BD233,BE233,BF233,BG233,1,0)*BH233</f>
        <v>0</v>
      </c>
      <c r="BK233" s="84">
        <f t="shared" si="141"/>
        <v>0</v>
      </c>
      <c r="BM233" s="84">
        <f t="shared" si="142"/>
        <v>0</v>
      </c>
    </row>
    <row r="234" spans="1:65">
      <c r="A234" s="78">
        <f t="shared" si="115"/>
        <v>228</v>
      </c>
      <c r="C234" s="78">
        <v>31</v>
      </c>
      <c r="D234" s="78" t="s">
        <v>72</v>
      </c>
      <c r="E234" s="113">
        <f t="shared" si="116"/>
        <v>43435</v>
      </c>
      <c r="F234" s="85">
        <f t="shared" si="112"/>
        <v>22</v>
      </c>
      <c r="G234" s="84">
        <f t="shared" si="145"/>
        <v>9</v>
      </c>
      <c r="H234" s="84">
        <f>SUM(F223:G234)</f>
        <v>365</v>
      </c>
      <c r="I234" s="84"/>
      <c r="J234" s="78">
        <f t="shared" si="117"/>
        <v>31</v>
      </c>
      <c r="K234" s="93">
        <f t="shared" si="147"/>
        <v>43435</v>
      </c>
      <c r="L234" s="508">
        <v>7.3886971799982021E-2</v>
      </c>
      <c r="M234" s="509">
        <v>6.4803648980870016E-2</v>
      </c>
      <c r="N234" s="132">
        <f t="shared" si="114"/>
        <v>0.25444774583402968</v>
      </c>
      <c r="O234" s="133">
        <f>VLOOKUP(K234,Inflation!$B$8:$C$266,2)</f>
        <v>1.6589696020460523</v>
      </c>
      <c r="P234" s="132"/>
      <c r="Q234" s="134">
        <f>VLOOKUP(K234,'Fuel Curve'!$B$11:$F$268,5)</f>
        <v>4.8474137931034491</v>
      </c>
      <c r="R234" s="238">
        <f>VLOOKUP(K234,'Fuel Curve Simulation'!$B$12:$J$258,9)</f>
        <v>4.8474137931034491</v>
      </c>
      <c r="S234" s="134">
        <f t="shared" si="120"/>
        <v>46.433376724137936</v>
      </c>
      <c r="T234" s="136"/>
      <c r="V234" s="143">
        <f t="shared" si="148"/>
        <v>33.249999618530275</v>
      </c>
      <c r="W234" s="486"/>
      <c r="X234" s="118">
        <f>'PJM Curve Simulation'!J234</f>
        <v>33.249999618530275</v>
      </c>
      <c r="Y234" s="512"/>
      <c r="Z234" s="137"/>
      <c r="AA234" s="78">
        <f t="shared" si="146"/>
        <v>315</v>
      </c>
      <c r="AB234" s="85">
        <f t="shared" si="121"/>
        <v>110880</v>
      </c>
      <c r="AC234" s="85">
        <f>VLOOKUP(K234,'Company Volumes'!$B$20:$C$259,2)</f>
        <v>7342.8675639511112</v>
      </c>
      <c r="AD234" s="153">
        <f t="shared" si="125"/>
        <v>0</v>
      </c>
      <c r="AE234" s="150"/>
      <c r="AF234" s="150">
        <v>0</v>
      </c>
      <c r="AG234" s="150">
        <v>0</v>
      </c>
      <c r="AH234" s="150">
        <f t="shared" si="126"/>
        <v>0</v>
      </c>
      <c r="AI234" s="150">
        <f t="shared" si="127"/>
        <v>0</v>
      </c>
      <c r="AJ234" s="150">
        <f t="shared" si="128"/>
        <v>0</v>
      </c>
      <c r="AK234" s="85">
        <f t="shared" si="129"/>
        <v>82948.480102302608</v>
      </c>
      <c r="AL234" s="85">
        <f t="shared" si="130"/>
        <v>211518.62426087167</v>
      </c>
      <c r="AM234" s="85">
        <f t="shared" si="122"/>
        <v>0</v>
      </c>
      <c r="AN234" s="85">
        <f t="shared" si="123"/>
        <v>189675.52450059861</v>
      </c>
      <c r="AO234" s="85">
        <f t="shared" si="131"/>
        <v>41474.240051151304</v>
      </c>
      <c r="AP234" s="85">
        <f t="shared" si="143"/>
        <v>46500.558215233643</v>
      </c>
      <c r="AQ234" s="84">
        <f t="shared" si="132"/>
        <v>572117.42713015783</v>
      </c>
      <c r="AR234" s="85">
        <f t="shared" si="133"/>
        <v>20737.120025575652</v>
      </c>
      <c r="AS234" s="84">
        <f t="shared" si="109"/>
        <v>30387.755000000001</v>
      </c>
      <c r="AT234" s="85">
        <f t="shared" si="134"/>
        <v>0</v>
      </c>
      <c r="AU234" s="84">
        <f t="shared" si="135"/>
        <v>623242.30215573334</v>
      </c>
      <c r="AV234" s="84">
        <f t="shared" si="124"/>
        <v>-623242.30215573334</v>
      </c>
      <c r="AW234" s="453"/>
      <c r="AX234" s="93">
        <f t="shared" si="118"/>
        <v>43435</v>
      </c>
      <c r="AY234" s="85">
        <f ca="1">'Debt Amortization'!Z8</f>
        <v>9882276.0482565444</v>
      </c>
      <c r="AZ234" s="85">
        <f ca="1">AY234*N234</f>
        <v>2514522.8641885007</v>
      </c>
      <c r="BA234" s="315"/>
      <c r="BB234" s="134">
        <f t="shared" si="136"/>
        <v>33.249999618530275</v>
      </c>
      <c r="BC234" s="134">
        <f>'Curve Analysis - Base Case'!D226</f>
        <v>49.751315928230042</v>
      </c>
      <c r="BD234" s="131">
        <f t="shared" si="137"/>
        <v>7.3886971799982021E-2</v>
      </c>
      <c r="BE234" s="131">
        <f t="shared" si="138"/>
        <v>7.3886971799982021E-2</v>
      </c>
      <c r="BF234" s="365">
        <f t="shared" si="149"/>
        <v>6.5685623059708542E-2</v>
      </c>
      <c r="BG234" s="85">
        <f t="shared" si="139"/>
        <v>6861</v>
      </c>
      <c r="BH234" s="84">
        <f t="shared" si="140"/>
        <v>0</v>
      </c>
      <c r="BJ234" s="537">
        <f>_xll.EURO(BB234,BC234,BD234,BE234,BF234,BG234,1,0)*BH234</f>
        <v>0</v>
      </c>
      <c r="BK234" s="84">
        <f t="shared" si="141"/>
        <v>0</v>
      </c>
      <c r="BM234" s="84">
        <f t="shared" si="142"/>
        <v>0</v>
      </c>
    </row>
    <row r="235" spans="1:65">
      <c r="A235" s="78">
        <f t="shared" si="115"/>
        <v>229</v>
      </c>
      <c r="C235" s="78">
        <v>31</v>
      </c>
      <c r="D235" s="78" t="s">
        <v>62</v>
      </c>
      <c r="E235" s="113">
        <f t="shared" si="116"/>
        <v>43466</v>
      </c>
      <c r="F235" s="85">
        <f t="shared" si="112"/>
        <v>23</v>
      </c>
      <c r="G235" s="84">
        <f>C235-F235</f>
        <v>8</v>
      </c>
      <c r="H235" s="84"/>
      <c r="I235" s="84"/>
      <c r="J235" s="78">
        <f t="shared" si="117"/>
        <v>31</v>
      </c>
      <c r="K235" s="93">
        <f t="shared" si="147"/>
        <v>43466</v>
      </c>
      <c r="L235" s="508">
        <v>7.3881798351999997E-2</v>
      </c>
      <c r="M235" s="509">
        <v>6.4815261243459016E-2</v>
      </c>
      <c r="N235" s="132">
        <f t="shared" si="114"/>
        <v>0.25290958560919641</v>
      </c>
      <c r="O235" s="133">
        <f>VLOOKUP(K235,Inflation!$B$8:$C$266,2)</f>
        <v>1.6626568731640685</v>
      </c>
      <c r="P235" s="132"/>
      <c r="Q235" s="134">
        <f>VLOOKUP(K235,'Fuel Curve'!$B$11:$F$268,5)</f>
        <v>4.7901724137931048</v>
      </c>
      <c r="R235" s="238">
        <f>VLOOKUP(K235,'Fuel Curve Simulation'!$B$12:$J$258,9)</f>
        <v>4.7901724137931048</v>
      </c>
      <c r="S235" s="134">
        <f t="shared" si="120"/>
        <v>45.885061551724156</v>
      </c>
      <c r="T235" s="136"/>
      <c r="V235" s="143">
        <f t="shared" si="148"/>
        <v>41.824998474121088</v>
      </c>
      <c r="W235" s="486"/>
      <c r="X235" s="118">
        <f>'PJM Curve Simulation'!J235</f>
        <v>41.824998474121088</v>
      </c>
      <c r="Y235" s="512"/>
      <c r="Z235" s="137"/>
      <c r="AA235" s="78">
        <f t="shared" si="146"/>
        <v>315</v>
      </c>
      <c r="AB235" s="85">
        <f t="shared" si="121"/>
        <v>115920</v>
      </c>
      <c r="AC235" s="85">
        <f>VLOOKUP(K235,'Company Volumes'!$B$20:$C$259,2)</f>
        <v>14724.461522225774</v>
      </c>
      <c r="AD235" s="153">
        <f t="shared" si="125"/>
        <v>0</v>
      </c>
      <c r="AE235" s="150"/>
      <c r="AF235" s="150">
        <v>0</v>
      </c>
      <c r="AG235" s="150">
        <v>0</v>
      </c>
      <c r="AH235" s="150">
        <f t="shared" si="126"/>
        <v>0</v>
      </c>
      <c r="AI235" s="150">
        <f t="shared" si="127"/>
        <v>0</v>
      </c>
      <c r="AJ235" s="150">
        <f t="shared" si="128"/>
        <v>0</v>
      </c>
      <c r="AK235" s="85">
        <f t="shared" si="129"/>
        <v>83132.843658203419</v>
      </c>
      <c r="AL235" s="85">
        <f t="shared" si="130"/>
        <v>211988.75132841873</v>
      </c>
      <c r="AM235" s="85">
        <f t="shared" si="122"/>
        <v>0</v>
      </c>
      <c r="AN235" s="85">
        <f t="shared" si="123"/>
        <v>190097.10249842517</v>
      </c>
      <c r="AO235" s="85">
        <f t="shared" si="131"/>
        <v>41566.42182910171</v>
      </c>
      <c r="AP235" s="85">
        <f t="shared" si="143"/>
        <v>46500.558215233643</v>
      </c>
      <c r="AQ235" s="84">
        <f t="shared" si="132"/>
        <v>573285.67752938264</v>
      </c>
      <c r="AR235" s="85">
        <f t="shared" si="133"/>
        <v>20783.210914550855</v>
      </c>
      <c r="AS235" s="84">
        <f t="shared" si="109"/>
        <v>30387.755000000001</v>
      </c>
      <c r="AT235" s="85">
        <f t="shared" si="134"/>
        <v>0</v>
      </c>
      <c r="AU235" s="84">
        <f t="shared" si="135"/>
        <v>624456.64344393334</v>
      </c>
      <c r="AV235" s="84">
        <f t="shared" si="124"/>
        <v>-624456.64344393334</v>
      </c>
      <c r="AW235" s="453"/>
      <c r="AX235" s="93">
        <f t="shared" si="118"/>
        <v>43466</v>
      </c>
      <c r="BA235" s="315"/>
      <c r="BB235" s="134">
        <f t="shared" si="136"/>
        <v>41.824998474121088</v>
      </c>
      <c r="BC235" s="134">
        <f>'Curve Analysis - Base Case'!D227</f>
        <v>49.210375298052291</v>
      </c>
      <c r="BD235" s="131">
        <f t="shared" si="137"/>
        <v>7.3881798351999997E-2</v>
      </c>
      <c r="BE235" s="131">
        <f t="shared" si="138"/>
        <v>7.3881798351999997E-2</v>
      </c>
      <c r="BF235" s="365">
        <f t="shared" si="149"/>
        <v>0.10089311701971236</v>
      </c>
      <c r="BG235" s="85">
        <f t="shared" si="139"/>
        <v>6892</v>
      </c>
      <c r="BH235" s="84">
        <f t="shared" si="140"/>
        <v>0</v>
      </c>
      <c r="BJ235" s="537">
        <f>_xll.EURO(BB235,BC235,BD235,BE235,BF235,BG235,1,0)*BH235</f>
        <v>0</v>
      </c>
      <c r="BK235" s="84">
        <f t="shared" si="141"/>
        <v>0</v>
      </c>
      <c r="BM235" s="84">
        <f t="shared" si="142"/>
        <v>0</v>
      </c>
    </row>
    <row r="236" spans="1:65">
      <c r="A236" s="78">
        <f t="shared" si="115"/>
        <v>230</v>
      </c>
      <c r="C236" s="78">
        <v>28</v>
      </c>
      <c r="D236" s="78" t="s">
        <v>63</v>
      </c>
      <c r="E236" s="113">
        <f t="shared" si="116"/>
        <v>43497</v>
      </c>
      <c r="F236" s="85">
        <f t="shared" si="112"/>
        <v>20</v>
      </c>
      <c r="G236" s="84">
        <f t="shared" ref="G236:G246" si="150">C236-F236</f>
        <v>8</v>
      </c>
      <c r="H236" s="84"/>
      <c r="I236" s="84"/>
      <c r="J236" s="78">
        <f t="shared" si="117"/>
        <v>28</v>
      </c>
      <c r="K236" s="93">
        <f t="shared" si="147"/>
        <v>43497</v>
      </c>
      <c r="L236" s="508">
        <v>7.3876624904006025E-2</v>
      </c>
      <c r="M236" s="509">
        <v>6.4826873506987001E-2</v>
      </c>
      <c r="N236" s="132">
        <f t="shared" si="114"/>
        <v>0.25138093665711003</v>
      </c>
      <c r="O236" s="133">
        <f>VLOOKUP(K236,Inflation!$B$8:$C$266,2)</f>
        <v>1.6663523397115136</v>
      </c>
      <c r="P236" s="132"/>
      <c r="Q236" s="134">
        <f>VLOOKUP(K236,'Fuel Curve'!$B$11:$F$268,5)</f>
        <v>4.6910344827586217</v>
      </c>
      <c r="R236" s="238">
        <f>VLOOKUP(K236,'Fuel Curve Simulation'!$B$12:$J$258,9)</f>
        <v>4.6910344827586217</v>
      </c>
      <c r="S236" s="134">
        <f t="shared" si="120"/>
        <v>44.935419310344834</v>
      </c>
      <c r="T236" s="136"/>
      <c r="V236" s="143">
        <f t="shared" si="148"/>
        <v>41.824998474121088</v>
      </c>
      <c r="W236" s="486"/>
      <c r="X236" s="118">
        <f>'PJM Curve Simulation'!J236</f>
        <v>41.824998474121088</v>
      </c>
      <c r="Y236" s="512"/>
      <c r="Z236" s="137"/>
      <c r="AA236" s="78">
        <f t="shared" si="146"/>
        <v>315</v>
      </c>
      <c r="AB236" s="85">
        <f t="shared" si="121"/>
        <v>100800</v>
      </c>
      <c r="AC236" s="85">
        <f>VLOOKUP(K236,'Company Volumes'!$B$20:$C$259,2)</f>
        <v>421.95075555733325</v>
      </c>
      <c r="AD236" s="153">
        <f t="shared" si="125"/>
        <v>0</v>
      </c>
      <c r="AE236" s="150"/>
      <c r="AF236" s="150">
        <v>0</v>
      </c>
      <c r="AG236" s="150">
        <v>0</v>
      </c>
      <c r="AH236" s="150">
        <f t="shared" si="126"/>
        <v>0</v>
      </c>
      <c r="AI236" s="150">
        <f t="shared" si="127"/>
        <v>0</v>
      </c>
      <c r="AJ236" s="150">
        <f t="shared" si="128"/>
        <v>0</v>
      </c>
      <c r="AK236" s="85">
        <f t="shared" si="129"/>
        <v>83317.616985575689</v>
      </c>
      <c r="AL236" s="85">
        <f t="shared" si="130"/>
        <v>212459.92331321797</v>
      </c>
      <c r="AM236" s="85">
        <f t="shared" si="122"/>
        <v>0</v>
      </c>
      <c r="AN236" s="85">
        <f t="shared" si="123"/>
        <v>190519.61750701637</v>
      </c>
      <c r="AO236" s="85">
        <f t="shared" si="131"/>
        <v>41658.808492787844</v>
      </c>
      <c r="AP236" s="85">
        <f t="shared" si="143"/>
        <v>46500.558215233643</v>
      </c>
      <c r="AQ236" s="84">
        <f t="shared" si="132"/>
        <v>574456.52451383148</v>
      </c>
      <c r="AR236" s="85">
        <f t="shared" si="133"/>
        <v>20829.404246393922</v>
      </c>
      <c r="AS236" s="84">
        <f t="shared" si="109"/>
        <v>30387.755000000001</v>
      </c>
      <c r="AT236" s="85">
        <f t="shared" si="134"/>
        <v>0</v>
      </c>
      <c r="AU236" s="84">
        <f t="shared" si="135"/>
        <v>625673.68376022519</v>
      </c>
      <c r="AV236" s="84">
        <f t="shared" si="124"/>
        <v>-625673.68376022519</v>
      </c>
      <c r="AW236" s="453"/>
      <c r="AX236" s="93">
        <f t="shared" si="118"/>
        <v>43497</v>
      </c>
      <c r="BA236" s="315"/>
      <c r="BB236" s="134">
        <f t="shared" si="136"/>
        <v>41.824998474121088</v>
      </c>
      <c r="BC236" s="134">
        <f>'Curve Analysis - Base Case'!D228</f>
        <v>48.268123989767858</v>
      </c>
      <c r="BD236" s="131">
        <f t="shared" si="137"/>
        <v>7.3876624904006025E-2</v>
      </c>
      <c r="BE236" s="131">
        <f t="shared" si="138"/>
        <v>7.3876624904006025E-2</v>
      </c>
      <c r="BF236" s="365">
        <f t="shared" si="149"/>
        <v>0.10089311701971236</v>
      </c>
      <c r="BG236" s="85">
        <f t="shared" si="139"/>
        <v>6923</v>
      </c>
      <c r="BH236" s="84">
        <f t="shared" si="140"/>
        <v>0</v>
      </c>
      <c r="BJ236" s="537">
        <f>_xll.EURO(BB236,BC236,BD236,BE236,BF236,BG236,1,0)*BH236</f>
        <v>0</v>
      </c>
      <c r="BK236" s="84">
        <f t="shared" si="141"/>
        <v>0</v>
      </c>
      <c r="BM236" s="84">
        <f t="shared" si="142"/>
        <v>0</v>
      </c>
    </row>
    <row r="237" spans="1:65">
      <c r="A237" s="78">
        <f t="shared" si="115"/>
        <v>231</v>
      </c>
      <c r="C237" s="78">
        <v>31</v>
      </c>
      <c r="D237" s="78" t="s">
        <v>64</v>
      </c>
      <c r="E237" s="113">
        <f t="shared" si="116"/>
        <v>43525</v>
      </c>
      <c r="F237" s="85">
        <f t="shared" si="112"/>
        <v>21</v>
      </c>
      <c r="G237" s="84">
        <f t="shared" si="150"/>
        <v>10</v>
      </c>
      <c r="H237" s="84"/>
      <c r="I237" s="84"/>
      <c r="J237" s="78">
        <f t="shared" si="117"/>
        <v>31</v>
      </c>
      <c r="K237" s="93">
        <f t="shared" si="147"/>
        <v>43525</v>
      </c>
      <c r="L237" s="508">
        <v>7.3871952112287018E-2</v>
      </c>
      <c r="M237" s="509">
        <v>6.4837362003883001E-2</v>
      </c>
      <c r="N237" s="132">
        <f t="shared" si="114"/>
        <v>0.25000834664270966</v>
      </c>
      <c r="O237" s="133">
        <f>VLOOKUP(K237,Inflation!$B$8:$C$266,2)</f>
        <v>1.6700560199037724</v>
      </c>
      <c r="P237" s="132"/>
      <c r="Q237" s="134">
        <f>VLOOKUP(K237,'Fuel Curve'!$B$11:$F$268,5)</f>
        <v>4.5939655172413802</v>
      </c>
      <c r="R237" s="238">
        <f>VLOOKUP(K237,'Fuel Curve Simulation'!$B$12:$J$258,9)</f>
        <v>4.5939655172413802</v>
      </c>
      <c r="S237" s="134">
        <f t="shared" si="120"/>
        <v>44.005595689655181</v>
      </c>
      <c r="T237" s="136"/>
      <c r="V237" s="143">
        <f t="shared" si="148"/>
        <v>31.550000762939455</v>
      </c>
      <c r="W237" s="486"/>
      <c r="X237" s="118">
        <f>'PJM Curve Simulation'!J237</f>
        <v>31.550000762939455</v>
      </c>
      <c r="Y237" s="512"/>
      <c r="Z237" s="137"/>
      <c r="AA237" s="78">
        <f t="shared" si="146"/>
        <v>315</v>
      </c>
      <c r="AB237" s="85">
        <f t="shared" si="121"/>
        <v>105840</v>
      </c>
      <c r="AC237" s="85">
        <f>VLOOKUP(K237,'Company Volumes'!$B$20:$C$259,2)</f>
        <v>421.95075555733325</v>
      </c>
      <c r="AD237" s="153">
        <f t="shared" si="125"/>
        <v>0</v>
      </c>
      <c r="AE237" s="150"/>
      <c r="AF237" s="150">
        <v>0</v>
      </c>
      <c r="AG237" s="150">
        <v>0</v>
      </c>
      <c r="AH237" s="150">
        <f t="shared" si="126"/>
        <v>0</v>
      </c>
      <c r="AI237" s="150">
        <f t="shared" si="127"/>
        <v>0</v>
      </c>
      <c r="AJ237" s="150">
        <f t="shared" si="128"/>
        <v>0</v>
      </c>
      <c r="AK237" s="85">
        <f t="shared" si="129"/>
        <v>83502.80099518862</v>
      </c>
      <c r="AL237" s="85">
        <f t="shared" si="130"/>
        <v>212932.14253773098</v>
      </c>
      <c r="AM237" s="85">
        <f t="shared" si="122"/>
        <v>0</v>
      </c>
      <c r="AN237" s="85">
        <f t="shared" si="123"/>
        <v>190943.07160899797</v>
      </c>
      <c r="AO237" s="85">
        <f t="shared" si="131"/>
        <v>41751.40049759431</v>
      </c>
      <c r="AP237" s="85">
        <f t="shared" si="143"/>
        <v>46500.558215233643</v>
      </c>
      <c r="AQ237" s="84">
        <f t="shared" si="132"/>
        <v>575629.97385474551</v>
      </c>
      <c r="AR237" s="85">
        <f t="shared" si="133"/>
        <v>20875.700248797155</v>
      </c>
      <c r="AS237" s="84">
        <f t="shared" ref="AS237:AS258" si="151">AS236</f>
        <v>30387.755000000001</v>
      </c>
      <c r="AT237" s="85">
        <f t="shared" si="134"/>
        <v>0</v>
      </c>
      <c r="AU237" s="84">
        <f t="shared" si="135"/>
        <v>626893.42910354258</v>
      </c>
      <c r="AV237" s="84">
        <f t="shared" si="124"/>
        <v>-626893.42910354258</v>
      </c>
      <c r="AW237" s="453"/>
      <c r="AX237" s="93">
        <f t="shared" si="118"/>
        <v>43525</v>
      </c>
      <c r="BA237" s="315"/>
      <c r="BB237" s="134">
        <f t="shared" si="136"/>
        <v>31.550000762939455</v>
      </c>
      <c r="BC237" s="134">
        <f>'Curve Analysis - Base Case'!D229</f>
        <v>47.345707729462724</v>
      </c>
      <c r="BD237" s="131">
        <f t="shared" si="137"/>
        <v>7.3871952112287018E-2</v>
      </c>
      <c r="BE237" s="131">
        <f t="shared" si="138"/>
        <v>7.3871952112287018E-2</v>
      </c>
      <c r="BF237" s="365">
        <f t="shared" si="149"/>
        <v>8.4077597516426933E-2</v>
      </c>
      <c r="BG237" s="85">
        <f t="shared" si="139"/>
        <v>6951</v>
      </c>
      <c r="BH237" s="84">
        <f t="shared" si="140"/>
        <v>0</v>
      </c>
      <c r="BJ237" s="537">
        <f>_xll.EURO(BB237,BC237,BD237,BE237,BF237,BG237,1,0)*BH237</f>
        <v>0</v>
      </c>
      <c r="BK237" s="84">
        <f t="shared" si="141"/>
        <v>0</v>
      </c>
      <c r="BM237" s="84">
        <f t="shared" si="142"/>
        <v>0</v>
      </c>
    </row>
    <row r="238" spans="1:65">
      <c r="A238" s="78">
        <f t="shared" si="115"/>
        <v>232</v>
      </c>
      <c r="C238" s="78">
        <v>30</v>
      </c>
      <c r="D238" s="78" t="s">
        <v>65</v>
      </c>
      <c r="E238" s="113">
        <f t="shared" si="116"/>
        <v>43556</v>
      </c>
      <c r="F238" s="85">
        <f t="shared" si="112"/>
        <v>22</v>
      </c>
      <c r="G238" s="84">
        <f t="shared" si="150"/>
        <v>8</v>
      </c>
      <c r="H238" s="84"/>
      <c r="I238" s="84"/>
      <c r="J238" s="78">
        <f t="shared" si="117"/>
        <v>30</v>
      </c>
      <c r="K238" s="93">
        <f t="shared" si="147"/>
        <v>43556</v>
      </c>
      <c r="L238" s="508">
        <v>7.386677866432001E-2</v>
      </c>
      <c r="M238" s="509">
        <v>6.4848974269198015E-2</v>
      </c>
      <c r="N238" s="132">
        <f t="shared" si="114"/>
        <v>0.24849763415436113</v>
      </c>
      <c r="O238" s="133">
        <f>VLOOKUP(K238,Inflation!$B$8:$C$266,2)</f>
        <v>1.6737679319967158</v>
      </c>
      <c r="P238" s="132"/>
      <c r="Q238" s="134">
        <f>VLOOKUP(K238,'Fuel Curve'!$B$11:$F$268,5)</f>
        <v>4.4939655172413797</v>
      </c>
      <c r="R238" s="238">
        <f>VLOOKUP(K238,'Fuel Curve Simulation'!$B$12:$J$258,9)</f>
        <v>4.4939655172413797</v>
      </c>
      <c r="S238" s="134">
        <f t="shared" si="120"/>
        <v>43.047695689655178</v>
      </c>
      <c r="T238" s="136"/>
      <c r="V238" s="143">
        <f t="shared" si="148"/>
        <v>31.325000762939453</v>
      </c>
      <c r="W238" s="486"/>
      <c r="X238" s="118">
        <f>'PJM Curve Simulation'!J238</f>
        <v>31.325000762939453</v>
      </c>
      <c r="Y238" s="512"/>
      <c r="Z238" s="137"/>
      <c r="AA238" s="78">
        <f t="shared" si="146"/>
        <v>315</v>
      </c>
      <c r="AB238" s="85">
        <f t="shared" si="121"/>
        <v>110880</v>
      </c>
      <c r="AC238" s="85">
        <f>VLOOKUP(K238,'Company Volumes'!$B$20:$C$259,2)</f>
        <v>7063.139749375111</v>
      </c>
      <c r="AD238" s="153">
        <f t="shared" si="125"/>
        <v>0</v>
      </c>
      <c r="AE238" s="150"/>
      <c r="AF238" s="150">
        <v>0</v>
      </c>
      <c r="AG238" s="150">
        <v>0</v>
      </c>
      <c r="AH238" s="150">
        <f t="shared" si="126"/>
        <v>0</v>
      </c>
      <c r="AI238" s="150">
        <f t="shared" si="127"/>
        <v>0</v>
      </c>
      <c r="AJ238" s="150">
        <f t="shared" si="128"/>
        <v>0</v>
      </c>
      <c r="AK238" s="85">
        <f t="shared" si="129"/>
        <v>83688.396599835789</v>
      </c>
      <c r="AL238" s="85">
        <f t="shared" si="130"/>
        <v>213405.41132958126</v>
      </c>
      <c r="AM238" s="85">
        <f t="shared" si="122"/>
        <v>0</v>
      </c>
      <c r="AN238" s="85">
        <f t="shared" si="123"/>
        <v>191367.4668916245</v>
      </c>
      <c r="AO238" s="85">
        <f t="shared" si="131"/>
        <v>41844.198299917894</v>
      </c>
      <c r="AP238" s="85">
        <f t="shared" si="143"/>
        <v>46500.558215233643</v>
      </c>
      <c r="AQ238" s="84">
        <f t="shared" si="132"/>
        <v>576806.03133619309</v>
      </c>
      <c r="AR238" s="85">
        <f t="shared" si="133"/>
        <v>20922.099149958947</v>
      </c>
      <c r="AS238" s="84">
        <f t="shared" si="151"/>
        <v>30387.755000000001</v>
      </c>
      <c r="AT238" s="85">
        <f t="shared" si="134"/>
        <v>0</v>
      </c>
      <c r="AU238" s="84">
        <f t="shared" si="135"/>
        <v>628115.88548615191</v>
      </c>
      <c r="AV238" s="84">
        <f t="shared" si="124"/>
        <v>-628115.88548615191</v>
      </c>
      <c r="AW238" s="453"/>
      <c r="AX238" s="93">
        <f t="shared" si="118"/>
        <v>43556</v>
      </c>
      <c r="BA238" s="315"/>
      <c r="BB238" s="134">
        <f t="shared" si="136"/>
        <v>31.325000762939453</v>
      </c>
      <c r="BC238" s="134">
        <f>'Curve Analysis - Base Case'!D230</f>
        <v>46.395231553648607</v>
      </c>
      <c r="BD238" s="131">
        <f t="shared" si="137"/>
        <v>7.386677866432001E-2</v>
      </c>
      <c r="BE238" s="131">
        <f t="shared" si="138"/>
        <v>7.386677866432001E-2</v>
      </c>
      <c r="BF238" s="365">
        <f t="shared" si="149"/>
        <v>7.9873717640605607E-2</v>
      </c>
      <c r="BG238" s="85">
        <f t="shared" si="139"/>
        <v>6982</v>
      </c>
      <c r="BH238" s="84">
        <f t="shared" si="140"/>
        <v>0</v>
      </c>
      <c r="BJ238" s="537">
        <f>_xll.EURO(BB238,BC238,BD238,BE238,BF238,BG238,1,0)*BH238</f>
        <v>0</v>
      </c>
      <c r="BK238" s="84">
        <f t="shared" si="141"/>
        <v>0</v>
      </c>
      <c r="BM238" s="84">
        <f t="shared" si="142"/>
        <v>0</v>
      </c>
    </row>
    <row r="239" spans="1:65">
      <c r="A239" s="78">
        <f t="shared" si="115"/>
        <v>233</v>
      </c>
      <c r="C239" s="78">
        <v>31</v>
      </c>
      <c r="D239" s="78" t="s">
        <v>38</v>
      </c>
      <c r="E239" s="113">
        <f t="shared" si="116"/>
        <v>43586</v>
      </c>
      <c r="F239" s="85">
        <f t="shared" si="112"/>
        <v>22</v>
      </c>
      <c r="G239" s="84">
        <f t="shared" si="150"/>
        <v>9</v>
      </c>
      <c r="H239" s="84"/>
      <c r="I239" s="84"/>
      <c r="J239" s="78">
        <f t="shared" si="117"/>
        <v>31</v>
      </c>
      <c r="K239" s="93">
        <f t="shared" si="147"/>
        <v>43586</v>
      </c>
      <c r="L239" s="508">
        <v>7.3861772101780007E-2</v>
      </c>
      <c r="M239" s="509">
        <v>6.4860211946202007E-2</v>
      </c>
      <c r="N239" s="132">
        <f t="shared" si="114"/>
        <v>0.24704454589740477</v>
      </c>
      <c r="O239" s="133">
        <f>VLOOKUP(K239,Inflation!$B$8:$C$266,2)</f>
        <v>1.6774880942867916</v>
      </c>
      <c r="P239" s="132"/>
      <c r="Q239" s="134">
        <f>VLOOKUP(K239,'Fuel Curve'!$B$11:$F$268,5)</f>
        <v>4.4267241379310347</v>
      </c>
      <c r="R239" s="238">
        <f>VLOOKUP(K239,'Fuel Curve Simulation'!$B$12:$J$258,9)</f>
        <v>4.4267241379310347</v>
      </c>
      <c r="S239" s="134">
        <f t="shared" si="120"/>
        <v>42.403590517241383</v>
      </c>
      <c r="T239" s="136"/>
      <c r="V239" s="143">
        <f t="shared" si="148"/>
        <v>39.325000000000003</v>
      </c>
      <c r="W239" s="486"/>
      <c r="X239" s="118">
        <f>'PJM Curve Simulation'!J239</f>
        <v>39.325000000000003</v>
      </c>
      <c r="Y239" s="512"/>
      <c r="Z239" s="137"/>
      <c r="AA239" s="78">
        <f t="shared" si="146"/>
        <v>315</v>
      </c>
      <c r="AB239" s="85">
        <f t="shared" si="121"/>
        <v>110880</v>
      </c>
      <c r="AC239" s="85">
        <f>VLOOKUP(K239,'Company Volumes'!$B$20:$C$259,2)</f>
        <v>16567.654377571111</v>
      </c>
      <c r="AD239" s="153">
        <f t="shared" si="125"/>
        <v>0</v>
      </c>
      <c r="AE239" s="150"/>
      <c r="AF239" s="150">
        <v>0</v>
      </c>
      <c r="AG239" s="150">
        <v>0</v>
      </c>
      <c r="AH239" s="150">
        <f t="shared" si="126"/>
        <v>0</v>
      </c>
      <c r="AI239" s="150">
        <f t="shared" si="127"/>
        <v>0</v>
      </c>
      <c r="AJ239" s="150">
        <f t="shared" si="128"/>
        <v>0</v>
      </c>
      <c r="AK239" s="85">
        <f t="shared" si="129"/>
        <v>83874.404714339573</v>
      </c>
      <c r="AL239" s="85">
        <f t="shared" si="130"/>
        <v>213879.73202156593</v>
      </c>
      <c r="AM239" s="85">
        <f t="shared" si="122"/>
        <v>0</v>
      </c>
      <c r="AN239" s="85">
        <f t="shared" si="123"/>
        <v>191792.80544678983</v>
      </c>
      <c r="AO239" s="85">
        <f t="shared" si="131"/>
        <v>41937.202357169786</v>
      </c>
      <c r="AP239" s="85">
        <f t="shared" si="143"/>
        <v>46500.558215233643</v>
      </c>
      <c r="AQ239" s="84">
        <f t="shared" si="132"/>
        <v>577984.7027550987</v>
      </c>
      <c r="AR239" s="85">
        <f t="shared" si="133"/>
        <v>20968.601178584893</v>
      </c>
      <c r="AS239" s="84">
        <f t="shared" si="151"/>
        <v>30387.755000000001</v>
      </c>
      <c r="AT239" s="85">
        <f t="shared" si="134"/>
        <v>0</v>
      </c>
      <c r="AU239" s="84">
        <f t="shared" si="135"/>
        <v>629341.05893368344</v>
      </c>
      <c r="AV239" s="84">
        <f t="shared" si="124"/>
        <v>-629341.05893368344</v>
      </c>
      <c r="AW239" s="453"/>
      <c r="AX239" s="93">
        <f t="shared" si="118"/>
        <v>43586</v>
      </c>
      <c r="BA239" s="315"/>
      <c r="BB239" s="134">
        <f t="shared" si="136"/>
        <v>39.325000000000003</v>
      </c>
      <c r="BC239" s="134">
        <f>'Curve Analysis - Base Case'!D231</f>
        <v>45.758566705814964</v>
      </c>
      <c r="BD239" s="131">
        <f t="shared" si="137"/>
        <v>7.3861772101780007E-2</v>
      </c>
      <c r="BE239" s="131">
        <f t="shared" si="138"/>
        <v>7.3861772101780007E-2</v>
      </c>
      <c r="BF239" s="365">
        <f t="shared" si="149"/>
        <v>8.8281477392248286E-2</v>
      </c>
      <c r="BG239" s="85">
        <f t="shared" si="139"/>
        <v>7012</v>
      </c>
      <c r="BH239" s="84">
        <f t="shared" si="140"/>
        <v>0</v>
      </c>
      <c r="BJ239" s="537">
        <f>_xll.EURO(BB239,BC239,BD239,BE239,BF239,BG239,1,0)*BH239</f>
        <v>0</v>
      </c>
      <c r="BK239" s="84">
        <f t="shared" si="141"/>
        <v>0</v>
      </c>
      <c r="BM239" s="84">
        <f t="shared" si="142"/>
        <v>0</v>
      </c>
    </row>
    <row r="240" spans="1:65">
      <c r="A240" s="78">
        <f t="shared" si="115"/>
        <v>234</v>
      </c>
      <c r="C240" s="78">
        <v>30</v>
      </c>
      <c r="D240" s="78" t="s">
        <v>66</v>
      </c>
      <c r="E240" s="113">
        <f t="shared" si="116"/>
        <v>43617</v>
      </c>
      <c r="F240" s="85">
        <f t="shared" si="112"/>
        <v>21</v>
      </c>
      <c r="G240" s="84">
        <f t="shared" si="150"/>
        <v>9</v>
      </c>
      <c r="H240" s="84"/>
      <c r="I240" s="84"/>
      <c r="J240" s="78">
        <f t="shared" si="117"/>
        <v>30</v>
      </c>
      <c r="K240" s="93">
        <f t="shared" si="147"/>
        <v>43617</v>
      </c>
      <c r="L240" s="508">
        <v>7.3856598653831013E-2</v>
      </c>
      <c r="M240" s="509">
        <v>6.4871824213363002E-2</v>
      </c>
      <c r="N240" s="132">
        <f t="shared" si="114"/>
        <v>0.24555215193662452</v>
      </c>
      <c r="O240" s="133">
        <f>VLOOKUP(K240,Inflation!$B$8:$C$266,2)</f>
        <v>1.6812165251111124</v>
      </c>
      <c r="P240" s="132"/>
      <c r="Q240" s="134">
        <f>VLOOKUP(K240,'Fuel Curve'!$B$11:$F$268,5)</f>
        <v>4.4201724137931047</v>
      </c>
      <c r="R240" s="238">
        <f>VLOOKUP(K240,'Fuel Curve Simulation'!$B$12:$J$258,9)</f>
        <v>4.4201724137931047</v>
      </c>
      <c r="S240" s="134">
        <f t="shared" si="120"/>
        <v>42.34083155172415</v>
      </c>
      <c r="T240" s="136"/>
      <c r="V240" s="143">
        <f t="shared" si="148"/>
        <v>68.349998474121094</v>
      </c>
      <c r="W240" s="486"/>
      <c r="X240" s="118">
        <f>'PJM Curve Simulation'!J240</f>
        <v>68.349998474121094</v>
      </c>
      <c r="Y240" s="512"/>
      <c r="Z240" s="137"/>
      <c r="AA240" s="78">
        <f t="shared" si="146"/>
        <v>315</v>
      </c>
      <c r="AB240" s="85">
        <f t="shared" si="121"/>
        <v>105840</v>
      </c>
      <c r="AC240" s="85">
        <f>VLOOKUP(K240,'Company Volumes'!$B$20:$C$259,2)</f>
        <v>29151.958772611109</v>
      </c>
      <c r="AD240" s="153">
        <f t="shared" si="125"/>
        <v>105840</v>
      </c>
      <c r="AE240" s="150"/>
      <c r="AF240" s="150">
        <v>0</v>
      </c>
      <c r="AG240" s="150">
        <v>0</v>
      </c>
      <c r="AH240" s="150">
        <f t="shared" si="126"/>
        <v>7234163.8385009766</v>
      </c>
      <c r="AI240" s="150">
        <f t="shared" si="127"/>
        <v>7234163.8385009766</v>
      </c>
      <c r="AJ240" s="150">
        <f t="shared" si="128"/>
        <v>4481353.6114344839</v>
      </c>
      <c r="AK240" s="85">
        <f t="shared" si="129"/>
        <v>84060.826255555628</v>
      </c>
      <c r="AL240" s="85">
        <f t="shared" si="130"/>
        <v>214355.10695166685</v>
      </c>
      <c r="AM240" s="85">
        <f t="shared" si="122"/>
        <v>355879.91403552028</v>
      </c>
      <c r="AN240" s="85">
        <f t="shared" si="123"/>
        <v>192219.08937103717</v>
      </c>
      <c r="AO240" s="85">
        <f t="shared" si="131"/>
        <v>42030.413127777814</v>
      </c>
      <c r="AP240" s="85">
        <f t="shared" si="143"/>
        <v>46500.558215233643</v>
      </c>
      <c r="AQ240" s="84">
        <f t="shared" si="132"/>
        <v>935045.90795679146</v>
      </c>
      <c r="AR240" s="85">
        <f t="shared" si="133"/>
        <v>21015.206563888907</v>
      </c>
      <c r="AS240" s="84">
        <f t="shared" si="151"/>
        <v>30387.755000000001</v>
      </c>
      <c r="AT240" s="85">
        <f t="shared" si="134"/>
        <v>72973.174743894459</v>
      </c>
      <c r="AU240" s="84">
        <f t="shared" si="135"/>
        <v>5540775.6556990584</v>
      </c>
      <c r="AV240" s="84">
        <f t="shared" si="124"/>
        <v>1693388.1828019181</v>
      </c>
      <c r="AW240" s="453"/>
      <c r="AX240" s="93">
        <f t="shared" si="118"/>
        <v>43617</v>
      </c>
      <c r="BA240" s="315"/>
      <c r="BB240" s="134">
        <f t="shared" si="136"/>
        <v>68.349998474121094</v>
      </c>
      <c r="BC240" s="134">
        <f>'Curve Analysis - Base Case'!D232</f>
        <v>45.703264601946373</v>
      </c>
      <c r="BD240" s="131">
        <f t="shared" si="137"/>
        <v>7.3856598653831013E-2</v>
      </c>
      <c r="BE240" s="131">
        <f t="shared" si="138"/>
        <v>7.3856598653831013E-2</v>
      </c>
      <c r="BF240" s="365">
        <f t="shared" si="149"/>
        <v>0.11350475664717641</v>
      </c>
      <c r="BG240" s="85">
        <f t="shared" si="139"/>
        <v>7043</v>
      </c>
      <c r="BH240" s="84">
        <f t="shared" si="140"/>
        <v>105840</v>
      </c>
      <c r="BJ240" s="537">
        <f>_xll.EURO(BB240,BC240,BD240,BE240,BF240,BG240,1,0)*BH240</f>
        <v>659632.68393972074</v>
      </c>
      <c r="BK240" s="84">
        <f t="shared" si="141"/>
        <v>675958.47512932529</v>
      </c>
      <c r="BL240" s="84"/>
      <c r="BM240" s="84">
        <f t="shared" si="142"/>
        <v>-16325.791189604555</v>
      </c>
    </row>
    <row r="241" spans="1:65">
      <c r="A241" s="78">
        <f t="shared" si="115"/>
        <v>235</v>
      </c>
      <c r="C241" s="78">
        <v>31</v>
      </c>
      <c r="D241" s="78" t="s">
        <v>67</v>
      </c>
      <c r="E241" s="113">
        <f t="shared" si="116"/>
        <v>43647</v>
      </c>
      <c r="F241" s="85">
        <f t="shared" si="112"/>
        <v>23</v>
      </c>
      <c r="G241" s="84">
        <f t="shared" si="150"/>
        <v>8</v>
      </c>
      <c r="H241" s="84"/>
      <c r="I241" s="84"/>
      <c r="J241" s="78">
        <f t="shared" si="117"/>
        <v>31</v>
      </c>
      <c r="K241" s="93">
        <f t="shared" si="147"/>
        <v>43647</v>
      </c>
      <c r="L241" s="508">
        <v>7.3851592091307025E-2</v>
      </c>
      <c r="M241" s="509">
        <v>6.4883061892155022E-2</v>
      </c>
      <c r="N241" s="132">
        <f t="shared" si="114"/>
        <v>0.24411668117143231</v>
      </c>
      <c r="O241" s="133">
        <f>VLOOKUP(K241,Inflation!$B$8:$C$266,2)</f>
        <v>1.6849532428475487</v>
      </c>
      <c r="P241" s="132"/>
      <c r="Q241" s="134">
        <f>VLOOKUP(K241,'Fuel Curve'!$B$11:$F$268,5)</f>
        <v>4.477413793103449</v>
      </c>
      <c r="R241" s="238">
        <f>VLOOKUP(K241,'Fuel Curve Simulation'!$B$12:$J$258,9)</f>
        <v>4.477413793103449</v>
      </c>
      <c r="S241" s="134">
        <f t="shared" si="120"/>
        <v>42.889146724137937</v>
      </c>
      <c r="T241" s="136"/>
      <c r="V241" s="143">
        <f t="shared" si="148"/>
        <v>124.94999694824219</v>
      </c>
      <c r="W241" s="486"/>
      <c r="X241" s="118">
        <f>'PJM Curve Simulation'!J241</f>
        <v>124.94999694824219</v>
      </c>
      <c r="Y241" s="512"/>
      <c r="Z241" s="137"/>
      <c r="AA241" s="78">
        <f t="shared" si="146"/>
        <v>315</v>
      </c>
      <c r="AB241" s="85">
        <f t="shared" si="121"/>
        <v>115920</v>
      </c>
      <c r="AC241" s="85">
        <f>VLOOKUP(K241,'Company Volumes'!$B$20:$C$259,2)</f>
        <v>51855.341118367105</v>
      </c>
      <c r="AD241" s="153">
        <f t="shared" si="125"/>
        <v>115920</v>
      </c>
      <c r="AE241" s="150"/>
      <c r="AF241" s="150">
        <v>0</v>
      </c>
      <c r="AG241" s="150">
        <v>0</v>
      </c>
      <c r="AH241" s="150">
        <f t="shared" si="126"/>
        <v>14484203.646240234</v>
      </c>
      <c r="AI241" s="150">
        <f t="shared" si="127"/>
        <v>14484203.646240234</v>
      </c>
      <c r="AJ241" s="150">
        <f t="shared" si="128"/>
        <v>4971709.8882620698</v>
      </c>
      <c r="AK241" s="85">
        <f t="shared" si="129"/>
        <v>84247.662142377434</v>
      </c>
      <c r="AL241" s="85">
        <f t="shared" si="130"/>
        <v>214831.53846306246</v>
      </c>
      <c r="AM241" s="85">
        <f t="shared" si="122"/>
        <v>390639.55982177571</v>
      </c>
      <c r="AN241" s="85">
        <f t="shared" si="123"/>
        <v>192646.32076556972</v>
      </c>
      <c r="AO241" s="85">
        <f t="shared" si="131"/>
        <v>42123.831071188717</v>
      </c>
      <c r="AP241" s="85">
        <f t="shared" si="143"/>
        <v>46500.558215233643</v>
      </c>
      <c r="AQ241" s="84">
        <f t="shared" si="132"/>
        <v>970989.47047920758</v>
      </c>
      <c r="AR241" s="85">
        <f t="shared" si="133"/>
        <v>21061.915535594359</v>
      </c>
      <c r="AS241" s="84">
        <f t="shared" si="151"/>
        <v>30387.755000000001</v>
      </c>
      <c r="AT241" s="85">
        <f t="shared" si="134"/>
        <v>146431.23542278062</v>
      </c>
      <c r="AU241" s="84">
        <f t="shared" si="135"/>
        <v>6140580.2646996528</v>
      </c>
      <c r="AV241" s="84">
        <f t="shared" si="124"/>
        <v>8343623.3815405816</v>
      </c>
      <c r="AW241" s="453"/>
      <c r="AX241" s="93">
        <f t="shared" si="118"/>
        <v>43647</v>
      </c>
      <c r="BA241" s="315"/>
      <c r="BB241" s="134">
        <f t="shared" si="136"/>
        <v>124.94999694824219</v>
      </c>
      <c r="BC241" s="134">
        <f>'Curve Analysis - Base Case'!D233</f>
        <v>46.259053209833034</v>
      </c>
      <c r="BD241" s="131">
        <f t="shared" si="137"/>
        <v>7.3851592091307025E-2</v>
      </c>
      <c r="BE241" s="131">
        <f t="shared" si="138"/>
        <v>7.3851592091307025E-2</v>
      </c>
      <c r="BF241" s="365">
        <f t="shared" si="149"/>
        <v>0.13872803590210442</v>
      </c>
      <c r="BG241" s="85">
        <f t="shared" si="139"/>
        <v>7073</v>
      </c>
      <c r="BH241" s="84">
        <f t="shared" si="140"/>
        <v>115920</v>
      </c>
      <c r="BJ241" s="537">
        <f>_xll.EURO(BB241,BC241,BD241,BE241,BF241,BG241,1,0)*BH241</f>
        <v>2209746.3465179806</v>
      </c>
      <c r="BK241" s="84">
        <f t="shared" si="141"/>
        <v>2322158.4058615952</v>
      </c>
      <c r="BM241" s="84">
        <f t="shared" si="142"/>
        <v>-112412.05934361462</v>
      </c>
    </row>
    <row r="242" spans="1:65">
      <c r="A242" s="78">
        <f t="shared" si="115"/>
        <v>236</v>
      </c>
      <c r="C242" s="78">
        <v>31</v>
      </c>
      <c r="D242" s="78" t="s">
        <v>68</v>
      </c>
      <c r="E242" s="113">
        <f t="shared" si="116"/>
        <v>43678</v>
      </c>
      <c r="F242" s="85">
        <f t="shared" si="112"/>
        <v>21</v>
      </c>
      <c r="G242" s="84">
        <f t="shared" si="150"/>
        <v>10</v>
      </c>
      <c r="H242" s="84"/>
      <c r="I242" s="84"/>
      <c r="J242" s="78">
        <f t="shared" si="117"/>
        <v>31</v>
      </c>
      <c r="K242" s="93">
        <f t="shared" si="147"/>
        <v>43678</v>
      </c>
      <c r="L242" s="508">
        <v>7.3846418643376002E-2</v>
      </c>
      <c r="M242" s="509">
        <v>6.4894674161163013E-2</v>
      </c>
      <c r="N242" s="132">
        <f t="shared" si="114"/>
        <v>0.24264237889092974</v>
      </c>
      <c r="O242" s="133">
        <f>VLOOKUP(K242,Inflation!$B$8:$C$266,2)</f>
        <v>1.6886982659148173</v>
      </c>
      <c r="P242" s="132"/>
      <c r="Q242" s="134">
        <f>VLOOKUP(K242,'Fuel Curve'!$B$11:$F$268,5)</f>
        <v>4.5679310344827595</v>
      </c>
      <c r="R242" s="238">
        <f>VLOOKUP(K242,'Fuel Curve Simulation'!$B$12:$J$258,9)</f>
        <v>4.5679310344827595</v>
      </c>
      <c r="S242" s="134">
        <f t="shared" si="120"/>
        <v>43.756211379310358</v>
      </c>
      <c r="T242" s="136"/>
      <c r="V242" s="143">
        <f t="shared" si="148"/>
        <v>109.69999694824219</v>
      </c>
      <c r="W242" s="486"/>
      <c r="X242" s="118">
        <f>'PJM Curve Simulation'!J242</f>
        <v>111.94999694824219</v>
      </c>
      <c r="Y242" s="512"/>
      <c r="Z242" s="137"/>
      <c r="AA242" s="78">
        <f t="shared" si="146"/>
        <v>315</v>
      </c>
      <c r="AB242" s="85">
        <f t="shared" si="121"/>
        <v>105840</v>
      </c>
      <c r="AC242" s="85">
        <f>VLOOKUP(K242,'Company Volumes'!$B$20:$C$259,2)</f>
        <v>34570.227411915999</v>
      </c>
      <c r="AD242" s="153">
        <f t="shared" si="125"/>
        <v>105840</v>
      </c>
      <c r="AE242" s="150"/>
      <c r="AF242" s="150">
        <v>0</v>
      </c>
      <c r="AG242" s="150">
        <v>0</v>
      </c>
      <c r="AH242" s="150">
        <f t="shared" si="126"/>
        <v>11848787.677001953</v>
      </c>
      <c r="AI242" s="150">
        <f t="shared" si="127"/>
        <v>11848787.677001953</v>
      </c>
      <c r="AJ242" s="150">
        <f t="shared" si="128"/>
        <v>4631157.4123862078</v>
      </c>
      <c r="AK242" s="85">
        <f t="shared" si="129"/>
        <v>84434.913295740858</v>
      </c>
      <c r="AL242" s="85">
        <f t="shared" si="130"/>
        <v>215309.02890413921</v>
      </c>
      <c r="AM242" s="85">
        <f t="shared" si="122"/>
        <v>357463.6489288485</v>
      </c>
      <c r="AN242" s="85">
        <f t="shared" si="123"/>
        <v>193074.50173626075</v>
      </c>
      <c r="AO242" s="85">
        <f t="shared" si="131"/>
        <v>42217.456647870429</v>
      </c>
      <c r="AP242" s="85">
        <f t="shared" si="143"/>
        <v>46500.558215233643</v>
      </c>
      <c r="AQ242" s="84">
        <f t="shared" si="132"/>
        <v>939000.1077280934</v>
      </c>
      <c r="AR242" s="85">
        <f t="shared" si="133"/>
        <v>21108.728323935215</v>
      </c>
      <c r="AS242" s="84">
        <f t="shared" si="151"/>
        <v>30387.755000000001</v>
      </c>
      <c r="AT242" s="85">
        <f t="shared" si="134"/>
        <v>120054.16322007633</v>
      </c>
      <c r="AU242" s="84">
        <f t="shared" si="135"/>
        <v>5741708.1666583121</v>
      </c>
      <c r="AV242" s="84">
        <f t="shared" si="124"/>
        <v>6107079.510343641</v>
      </c>
      <c r="AW242" s="453"/>
      <c r="AX242" s="93">
        <f t="shared" si="118"/>
        <v>43678</v>
      </c>
      <c r="BA242" s="315"/>
      <c r="BB242" s="134">
        <f t="shared" si="136"/>
        <v>111.94999694824219</v>
      </c>
      <c r="BC242" s="134">
        <f>'Curve Analysis - Base Case'!D234</f>
        <v>47.13360791113999</v>
      </c>
      <c r="BD242" s="131">
        <f t="shared" si="137"/>
        <v>7.3846418643376002E-2</v>
      </c>
      <c r="BE242" s="131">
        <f t="shared" si="138"/>
        <v>7.3846418643376002E-2</v>
      </c>
      <c r="BF242" s="365">
        <f t="shared" si="149"/>
        <v>0.13872803590210442</v>
      </c>
      <c r="BG242" s="85">
        <f t="shared" si="139"/>
        <v>7104</v>
      </c>
      <c r="BH242" s="84">
        <f t="shared" si="140"/>
        <v>105840</v>
      </c>
      <c r="BJ242" s="537">
        <f>_xll.EURO(BB242,BC242,BD242,BE242,BF242,BG242,1,0)*BH242</f>
        <v>1669881.7771680076</v>
      </c>
      <c r="BK242" s="84">
        <f t="shared" si="141"/>
        <v>1751302.9773615352</v>
      </c>
      <c r="BM242" s="84">
        <f t="shared" si="142"/>
        <v>-81421.20019352762</v>
      </c>
    </row>
    <row r="243" spans="1:65">
      <c r="A243" s="78">
        <f t="shared" si="115"/>
        <v>237</v>
      </c>
      <c r="C243" s="78">
        <v>30</v>
      </c>
      <c r="D243" s="78" t="s">
        <v>69</v>
      </c>
      <c r="E243" s="113">
        <f t="shared" si="116"/>
        <v>43709</v>
      </c>
      <c r="F243" s="85">
        <f t="shared" si="112"/>
        <v>22</v>
      </c>
      <c r="G243" s="84">
        <f t="shared" si="150"/>
        <v>8</v>
      </c>
      <c r="H243" s="84"/>
      <c r="I243" s="84"/>
      <c r="J243" s="78">
        <f t="shared" si="117"/>
        <v>30</v>
      </c>
      <c r="K243" s="93">
        <f t="shared" si="147"/>
        <v>43709</v>
      </c>
      <c r="L243" s="508">
        <v>7.3841245195453001E-2</v>
      </c>
      <c r="M243" s="509">
        <v>6.4906286431110016E-2</v>
      </c>
      <c r="N243" s="132">
        <f t="shared" si="114"/>
        <v>0.24117718472774979</v>
      </c>
      <c r="O243" s="133">
        <f>VLOOKUP(K243,Inflation!$B$8:$C$266,2)</f>
        <v>1.6924516127725728</v>
      </c>
      <c r="P243" s="132"/>
      <c r="Q243" s="134">
        <f>VLOOKUP(K243,'Fuel Curve'!$B$11:$F$268,5)</f>
        <v>4.6627586206896563</v>
      </c>
      <c r="R243" s="238">
        <f>VLOOKUP(K243,'Fuel Curve Simulation'!$B$12:$J$258,9)</f>
        <v>4.6627586206896563</v>
      </c>
      <c r="S243" s="134">
        <f t="shared" si="120"/>
        <v>44.664564827586219</v>
      </c>
      <c r="T243" s="136"/>
      <c r="V243" s="143">
        <f t="shared" si="148"/>
        <v>39.924998474121097</v>
      </c>
      <c r="W243" s="486"/>
      <c r="X243" s="118">
        <f>'PJM Curve Simulation'!J243</f>
        <v>39.924998474121097</v>
      </c>
      <c r="Y243" s="512"/>
      <c r="Z243" s="137"/>
      <c r="AA243" s="78">
        <f t="shared" si="146"/>
        <v>315</v>
      </c>
      <c r="AB243" s="85">
        <f t="shared" si="121"/>
        <v>110880</v>
      </c>
      <c r="AC243" s="85">
        <f>VLOOKUP(K243,'Company Volumes'!$B$20:$C$259,2)</f>
        <v>20249.355351241335</v>
      </c>
      <c r="AD243" s="153">
        <f t="shared" si="125"/>
        <v>0</v>
      </c>
      <c r="AE243" s="150"/>
      <c r="AF243" s="150">
        <v>0</v>
      </c>
      <c r="AG243" s="150">
        <v>0</v>
      </c>
      <c r="AH243" s="150">
        <f t="shared" si="126"/>
        <v>0</v>
      </c>
      <c r="AI243" s="150">
        <f t="shared" si="127"/>
        <v>0</v>
      </c>
      <c r="AJ243" s="150">
        <f t="shared" si="128"/>
        <v>0</v>
      </c>
      <c r="AK243" s="85">
        <f t="shared" si="129"/>
        <v>84622.580638628642</v>
      </c>
      <c r="AL243" s="85">
        <f t="shared" si="130"/>
        <v>215787.58062850303</v>
      </c>
      <c r="AM243" s="85">
        <f t="shared" si="122"/>
        <v>0</v>
      </c>
      <c r="AN243" s="85">
        <f t="shared" si="123"/>
        <v>193503.63439366414</v>
      </c>
      <c r="AO243" s="85">
        <f t="shared" si="131"/>
        <v>42311.290319314321</v>
      </c>
      <c r="AP243" s="85">
        <f t="shared" si="143"/>
        <v>46500.558215233643</v>
      </c>
      <c r="AQ243" s="84">
        <f t="shared" si="132"/>
        <v>582725.64419534372</v>
      </c>
      <c r="AR243" s="85">
        <f t="shared" si="133"/>
        <v>21155.645159657161</v>
      </c>
      <c r="AS243" s="84">
        <f t="shared" si="151"/>
        <v>30387.755000000001</v>
      </c>
      <c r="AT243" s="85">
        <f t="shared" si="134"/>
        <v>0</v>
      </c>
      <c r="AU243" s="84">
        <f t="shared" si="135"/>
        <v>634269.04435500072</v>
      </c>
      <c r="AV243" s="84">
        <f t="shared" si="124"/>
        <v>-634269.04435500072</v>
      </c>
      <c r="AW243" s="453"/>
      <c r="AX243" s="93">
        <f t="shared" si="118"/>
        <v>43709</v>
      </c>
      <c r="BA243" s="315"/>
      <c r="BB243" s="134">
        <f t="shared" si="136"/>
        <v>39.924998474121097</v>
      </c>
      <c r="BC243" s="134">
        <f>'Curve Analysis - Base Case'!D235</f>
        <v>48.049468053131363</v>
      </c>
      <c r="BD243" s="131">
        <f t="shared" si="137"/>
        <v>7.3841245195453001E-2</v>
      </c>
      <c r="BE243" s="131">
        <f t="shared" si="138"/>
        <v>7.3841245195453001E-2</v>
      </c>
      <c r="BF243" s="365">
        <f t="shared" si="149"/>
        <v>9.2888759882416141E-2</v>
      </c>
      <c r="BG243" s="85">
        <f t="shared" si="139"/>
        <v>7135</v>
      </c>
      <c r="BH243" s="84">
        <f t="shared" si="140"/>
        <v>0</v>
      </c>
      <c r="BJ243" s="537">
        <f>_xll.EURO(BB243,BC243,BD243,BE243,BF243,BG243,1,0)*BH243</f>
        <v>0</v>
      </c>
      <c r="BK243" s="84">
        <f t="shared" si="141"/>
        <v>0</v>
      </c>
      <c r="BM243" s="84">
        <f t="shared" si="142"/>
        <v>0</v>
      </c>
    </row>
    <row r="244" spans="1:65">
      <c r="A244" s="78">
        <f t="shared" si="115"/>
        <v>238</v>
      </c>
      <c r="C244" s="78">
        <v>31</v>
      </c>
      <c r="D244" s="78" t="s">
        <v>70</v>
      </c>
      <c r="E244" s="113">
        <f t="shared" si="116"/>
        <v>43739</v>
      </c>
      <c r="F244" s="85">
        <f t="shared" si="112"/>
        <v>23</v>
      </c>
      <c r="G244" s="84">
        <f t="shared" si="150"/>
        <v>8</v>
      </c>
      <c r="H244" s="84"/>
      <c r="I244" s="84"/>
      <c r="J244" s="78">
        <f t="shared" si="117"/>
        <v>31</v>
      </c>
      <c r="K244" s="93">
        <f t="shared" si="147"/>
        <v>43739</v>
      </c>
      <c r="L244" s="508">
        <v>7.3836238632955006E-2</v>
      </c>
      <c r="M244" s="509">
        <v>6.4917524112598005E-2</v>
      </c>
      <c r="N244" s="132">
        <f t="shared" si="114"/>
        <v>0.23976787289641061</v>
      </c>
      <c r="O244" s="133">
        <f>VLOOKUP(K244,Inflation!$B$8:$C$266,2)</f>
        <v>1.6962133019215</v>
      </c>
      <c r="P244" s="132"/>
      <c r="Q244" s="134">
        <f>VLOOKUP(K244,'Fuel Curve'!$B$11:$F$268,5)</f>
        <v>4.7553448275862067</v>
      </c>
      <c r="R244" s="238">
        <f>VLOOKUP(K244,'Fuel Curve Simulation'!$B$12:$J$258,9)</f>
        <v>4.7553448275862067</v>
      </c>
      <c r="S244" s="134">
        <f t="shared" si="120"/>
        <v>45.551448103448273</v>
      </c>
      <c r="T244" s="136"/>
      <c r="V244" s="143">
        <f t="shared" si="148"/>
        <v>31.825000381469728</v>
      </c>
      <c r="W244" s="486"/>
      <c r="X244" s="118">
        <f>'PJM Curve Simulation'!J244</f>
        <v>31.825000381469728</v>
      </c>
      <c r="Y244" s="512"/>
      <c r="Z244" s="137"/>
      <c r="AA244" s="78">
        <f t="shared" si="146"/>
        <v>315</v>
      </c>
      <c r="AB244" s="85">
        <f t="shared" si="121"/>
        <v>115920</v>
      </c>
      <c r="AC244" s="85">
        <f>VLOOKUP(K244,'Company Volumes'!$B$20:$C$259,2)</f>
        <v>3045.4302136284446</v>
      </c>
      <c r="AD244" s="153">
        <f t="shared" si="125"/>
        <v>0</v>
      </c>
      <c r="AE244" s="150"/>
      <c r="AF244" s="150">
        <v>0</v>
      </c>
      <c r="AG244" s="150">
        <v>0</v>
      </c>
      <c r="AH244" s="150">
        <f t="shared" si="126"/>
        <v>0</v>
      </c>
      <c r="AI244" s="150">
        <f t="shared" si="127"/>
        <v>0</v>
      </c>
      <c r="AJ244" s="150">
        <f t="shared" si="128"/>
        <v>0</v>
      </c>
      <c r="AK244" s="85">
        <f t="shared" si="129"/>
        <v>84810.665096074998</v>
      </c>
      <c r="AL244" s="85">
        <f t="shared" si="130"/>
        <v>216267.19599499126</v>
      </c>
      <c r="AM244" s="85">
        <f t="shared" si="122"/>
        <v>0</v>
      </c>
      <c r="AN244" s="85">
        <f t="shared" si="123"/>
        <v>193933.72085302486</v>
      </c>
      <c r="AO244" s="85">
        <f t="shared" si="131"/>
        <v>42405.332548037499</v>
      </c>
      <c r="AP244" s="85">
        <f t="shared" si="143"/>
        <v>46500.558215233643</v>
      </c>
      <c r="AQ244" s="84">
        <f t="shared" si="132"/>
        <v>583917.47270736226</v>
      </c>
      <c r="AR244" s="85">
        <f t="shared" si="133"/>
        <v>21202.666274018749</v>
      </c>
      <c r="AS244" s="84">
        <f t="shared" si="151"/>
        <v>30387.755000000001</v>
      </c>
      <c r="AT244" s="85">
        <f t="shared" si="134"/>
        <v>0</v>
      </c>
      <c r="AU244" s="84">
        <f t="shared" si="135"/>
        <v>635507.89398138097</v>
      </c>
      <c r="AV244" s="84">
        <f t="shared" si="124"/>
        <v>-635507.89398138097</v>
      </c>
      <c r="AW244" s="453"/>
      <c r="AX244" s="93">
        <f t="shared" si="118"/>
        <v>43739</v>
      </c>
      <c r="BA244" s="315"/>
      <c r="BB244" s="134">
        <f t="shared" si="136"/>
        <v>31.825000381469728</v>
      </c>
      <c r="BC244" s="134">
        <f>'Curve Analysis - Base Case'!D236</f>
        <v>48.943874707291272</v>
      </c>
      <c r="BD244" s="131">
        <f t="shared" si="137"/>
        <v>7.3836238632955006E-2</v>
      </c>
      <c r="BE244" s="131">
        <f t="shared" si="138"/>
        <v>7.3836238632955006E-2</v>
      </c>
      <c r="BF244" s="365">
        <f t="shared" si="149"/>
        <v>6.5685623059708542E-2</v>
      </c>
      <c r="BG244" s="85">
        <f t="shared" si="139"/>
        <v>7165</v>
      </c>
      <c r="BH244" s="84">
        <f t="shared" si="140"/>
        <v>0</v>
      </c>
      <c r="BJ244" s="537">
        <f>_xll.EURO(BB244,BC244,BD244,BE244,BF244,BG244,1,0)*BH244</f>
        <v>0</v>
      </c>
      <c r="BK244" s="84">
        <f t="shared" si="141"/>
        <v>0</v>
      </c>
      <c r="BM244" s="84">
        <f t="shared" si="142"/>
        <v>0</v>
      </c>
    </row>
    <row r="245" spans="1:65">
      <c r="A245" s="78">
        <f t="shared" si="115"/>
        <v>239</v>
      </c>
      <c r="C245" s="78">
        <v>30</v>
      </c>
      <c r="D245" s="78" t="s">
        <v>71</v>
      </c>
      <c r="E245" s="113">
        <f t="shared" si="116"/>
        <v>43770</v>
      </c>
      <c r="F245" s="85">
        <f t="shared" si="112"/>
        <v>20</v>
      </c>
      <c r="G245" s="84">
        <f t="shared" si="150"/>
        <v>10</v>
      </c>
      <c r="H245" s="84"/>
      <c r="I245" s="84"/>
      <c r="J245" s="78">
        <f t="shared" si="117"/>
        <v>30</v>
      </c>
      <c r="K245" s="93">
        <f t="shared" si="147"/>
        <v>43770</v>
      </c>
      <c r="L245" s="508">
        <v>7.3831065185049005E-2</v>
      </c>
      <c r="M245" s="509">
        <v>6.4929136384391017E-2</v>
      </c>
      <c r="N245" s="132">
        <f t="shared" si="114"/>
        <v>0.23832043369061071</v>
      </c>
      <c r="O245" s="133">
        <f>VLOOKUP(K245,Inflation!$B$8:$C$266,2)</f>
        <v>1.6999833519034024</v>
      </c>
      <c r="P245" s="132"/>
      <c r="Q245" s="134">
        <f>VLOOKUP(K245,'Fuel Curve'!$B$11:$F$268,5)</f>
        <v>4.8046551724137938</v>
      </c>
      <c r="R245" s="238">
        <f>VLOOKUP(K245,'Fuel Curve Simulation'!$B$12:$J$258,9)</f>
        <v>4.8046551724137938</v>
      </c>
      <c r="S245" s="134">
        <f t="shared" si="120"/>
        <v>46.023791896551728</v>
      </c>
      <c r="T245" s="136"/>
      <c r="V245" s="143">
        <f t="shared" si="148"/>
        <v>31.497499084472658</v>
      </c>
      <c r="W245" s="486"/>
      <c r="X245" s="118">
        <f>'PJM Curve Simulation'!J245</f>
        <v>31.497499084472658</v>
      </c>
      <c r="Y245" s="512"/>
      <c r="Z245" s="137"/>
      <c r="AA245" s="78">
        <f t="shared" si="146"/>
        <v>315</v>
      </c>
      <c r="AB245" s="85">
        <f t="shared" si="121"/>
        <v>100800</v>
      </c>
      <c r="AC245" s="85">
        <f>VLOOKUP(K245,'Company Volumes'!$B$20:$C$259,2)</f>
        <v>7342.8675639511112</v>
      </c>
      <c r="AD245" s="153">
        <f t="shared" si="125"/>
        <v>0</v>
      </c>
      <c r="AE245" s="150"/>
      <c r="AF245" s="150">
        <v>0</v>
      </c>
      <c r="AG245" s="150">
        <v>0</v>
      </c>
      <c r="AH245" s="150">
        <f t="shared" si="126"/>
        <v>0</v>
      </c>
      <c r="AI245" s="150">
        <f t="shared" si="127"/>
        <v>0</v>
      </c>
      <c r="AJ245" s="150">
        <f t="shared" si="128"/>
        <v>0</v>
      </c>
      <c r="AK245" s="85">
        <f>($AK$5*O245)/12</f>
        <v>84999.167595170118</v>
      </c>
      <c r="AL245" s="85">
        <f t="shared" si="130"/>
        <v>216747.8773676838</v>
      </c>
      <c r="AM245" s="85">
        <f>AD245*$AM$5*1000*O245</f>
        <v>0</v>
      </c>
      <c r="AN245" s="85">
        <f t="shared" si="123"/>
        <v>194364.76323428901</v>
      </c>
      <c r="AO245" s="85">
        <f t="shared" si="131"/>
        <v>42499.583797585059</v>
      </c>
      <c r="AP245" s="85">
        <f t="shared" si="143"/>
        <v>46500.558215233643</v>
      </c>
      <c r="AQ245" s="84">
        <f>SUM(AK245:AP245)</f>
        <v>585111.95020996162</v>
      </c>
      <c r="AR245" s="85">
        <f t="shared" si="133"/>
        <v>21249.79189879253</v>
      </c>
      <c r="AS245" s="84">
        <f t="shared" si="151"/>
        <v>30387.755000000001</v>
      </c>
      <c r="AT245" s="85">
        <f t="shared" si="134"/>
        <v>0</v>
      </c>
      <c r="AU245" s="84">
        <f t="shared" si="135"/>
        <v>636749.49710875412</v>
      </c>
      <c r="AV245" s="84">
        <f t="shared" si="124"/>
        <v>-636749.49710875412</v>
      </c>
      <c r="AW245" s="453"/>
      <c r="AX245" s="93">
        <f t="shared" si="118"/>
        <v>43770</v>
      </c>
      <c r="BA245" s="315"/>
      <c r="BB245" s="134">
        <f t="shared" si="136"/>
        <v>31.497499084472658</v>
      </c>
      <c r="BC245" s="134">
        <f>'Curve Analysis - Base Case'!D237</f>
        <v>49.423758600358532</v>
      </c>
      <c r="BD245" s="131">
        <f t="shared" si="137"/>
        <v>7.3831065185049005E-2</v>
      </c>
      <c r="BE245" s="131">
        <f t="shared" si="138"/>
        <v>7.3831065185049005E-2</v>
      </c>
      <c r="BF245" s="365">
        <f t="shared" si="149"/>
        <v>6.5685623059708542E-2</v>
      </c>
      <c r="BG245" s="85">
        <f t="shared" si="139"/>
        <v>7196</v>
      </c>
      <c r="BH245" s="84">
        <f t="shared" si="140"/>
        <v>0</v>
      </c>
      <c r="BJ245" s="537">
        <f>_xll.EURO(BB245,BC245,BD245,BE245,BF245,BG245,1,0)*BH245</f>
        <v>0</v>
      </c>
      <c r="BK245" s="84">
        <f t="shared" si="141"/>
        <v>0</v>
      </c>
      <c r="BM245" s="84">
        <f t="shared" si="142"/>
        <v>0</v>
      </c>
    </row>
    <row r="246" spans="1:65">
      <c r="A246" s="78">
        <f t="shared" si="115"/>
        <v>240</v>
      </c>
      <c r="C246" s="78">
        <v>31</v>
      </c>
      <c r="D246" s="78" t="s">
        <v>72</v>
      </c>
      <c r="E246" s="113">
        <f t="shared" si="116"/>
        <v>43800</v>
      </c>
      <c r="F246" s="85">
        <f t="shared" si="112"/>
        <v>23</v>
      </c>
      <c r="G246" s="84">
        <f t="shared" si="150"/>
        <v>8</v>
      </c>
      <c r="H246" s="84">
        <f>SUM(F235:G246)</f>
        <v>365</v>
      </c>
      <c r="I246" s="84"/>
      <c r="J246" s="78">
        <v>31</v>
      </c>
      <c r="K246" s="93">
        <f t="shared" si="147"/>
        <v>43800</v>
      </c>
      <c r="L246" s="508">
        <v>7.3826058622568011E-2</v>
      </c>
      <c r="M246" s="509">
        <v>6.4940374067667006E-2</v>
      </c>
      <c r="N246" s="132">
        <f t="shared" si="114"/>
        <v>0.2369281974153673</v>
      </c>
      <c r="O246" s="133">
        <f>VLOOKUP(K246,Inflation!$B$8:$C$266,2)</f>
        <v>1.7037617813012953</v>
      </c>
      <c r="P246" s="132"/>
      <c r="Q246" s="134">
        <f>VLOOKUP(K246,'Fuel Curve'!$B$11:$F$268,5)</f>
        <v>4.8474137931034491</v>
      </c>
      <c r="R246" s="238">
        <f>VLOOKUP(K246,'Fuel Curve Simulation'!$B$12:$J$258,9)</f>
        <v>4.8474137931034491</v>
      </c>
      <c r="S246" s="134">
        <f t="shared" si="120"/>
        <v>46.433376724137936</v>
      </c>
      <c r="T246" s="136"/>
      <c r="V246" s="143">
        <f t="shared" si="148"/>
        <v>33.249999618530275</v>
      </c>
      <c r="W246" s="486"/>
      <c r="X246" s="118">
        <f>'PJM Curve Simulation'!J246</f>
        <v>33.249999618530275</v>
      </c>
      <c r="Y246" s="512"/>
      <c r="Z246" s="137"/>
      <c r="AA246" s="78">
        <f t="shared" si="146"/>
        <v>315</v>
      </c>
      <c r="AB246" s="85">
        <f t="shared" si="121"/>
        <v>115920</v>
      </c>
      <c r="AC246" s="145">
        <f>VLOOKUP(K246,'Company Volumes'!$B$20:$C$259,2)</f>
        <v>7342.8675639511112</v>
      </c>
      <c r="AD246" s="153">
        <f t="shared" si="125"/>
        <v>0</v>
      </c>
      <c r="AE246" s="150"/>
      <c r="AF246" s="150">
        <v>0</v>
      </c>
      <c r="AG246" s="150">
        <v>0</v>
      </c>
      <c r="AH246" s="150">
        <f t="shared" si="126"/>
        <v>0</v>
      </c>
      <c r="AI246" s="150">
        <f t="shared" si="127"/>
        <v>0</v>
      </c>
      <c r="AJ246" s="150">
        <f t="shared" si="128"/>
        <v>0</v>
      </c>
      <c r="AK246" s="85">
        <f t="shared" ref="AK246:AK258" si="152">($AK$5*O246)/12</f>
        <v>85188.089065064763</v>
      </c>
      <c r="AL246" s="85">
        <f t="shared" ref="AL246:AL258" si="153">($AL$5*O246)/12</f>
        <v>217229.62711591515</v>
      </c>
      <c r="AM246" s="85">
        <f t="shared" ref="AM246:AM258" si="154">AD246*$AM$5*1000*O246</f>
        <v>0</v>
      </c>
      <c r="AN246" s="85">
        <f t="shared" si="123"/>
        <v>194796.76366211474</v>
      </c>
      <c r="AO246" s="85">
        <f t="shared" ref="AO246:AO258" si="155">($AO$5*O246)/12</f>
        <v>42594.044532532382</v>
      </c>
      <c r="AP246" s="85">
        <f t="shared" si="143"/>
        <v>46500.558215233643</v>
      </c>
      <c r="AQ246" s="84">
        <f t="shared" ref="AQ246:AQ258" si="156">SUM(AK246:AP246)</f>
        <v>586309.08259086066</v>
      </c>
      <c r="AR246" s="85">
        <f t="shared" si="133"/>
        <v>21297.022266266191</v>
      </c>
      <c r="AS246" s="84">
        <f t="shared" si="151"/>
        <v>30387.755000000001</v>
      </c>
      <c r="AT246" s="85">
        <f t="shared" si="134"/>
        <v>0</v>
      </c>
      <c r="AU246" s="84">
        <f t="shared" si="135"/>
        <v>637993.85985712672</v>
      </c>
      <c r="AV246" s="84">
        <f t="shared" ref="AV246:AV258" si="157">AI246-AU246</f>
        <v>-637993.85985712672</v>
      </c>
      <c r="AW246" s="453"/>
      <c r="AX246" s="93">
        <f t="shared" si="118"/>
        <v>43800</v>
      </c>
      <c r="AY246" s="85">
        <f ca="1">'Debt Amortization'!AA8</f>
        <v>10746891.179557351</v>
      </c>
      <c r="AZ246" s="85">
        <f ca="1">AY246*N246</f>
        <v>2546241.5549916336</v>
      </c>
      <c r="BA246" s="315"/>
      <c r="BB246" s="134">
        <f t="shared" si="136"/>
        <v>33.249999618530275</v>
      </c>
      <c r="BC246" s="134">
        <f>'Curve Analysis - Base Case'!D238</f>
        <v>49.840900286740528</v>
      </c>
      <c r="BD246" s="131">
        <f t="shared" si="137"/>
        <v>7.3826058622568011E-2</v>
      </c>
      <c r="BE246" s="131">
        <f t="shared" si="138"/>
        <v>7.3826058622568011E-2</v>
      </c>
      <c r="BF246" s="365">
        <f t="shared" si="149"/>
        <v>6.5685623059708542E-2</v>
      </c>
      <c r="BG246" s="85">
        <f t="shared" si="139"/>
        <v>7226</v>
      </c>
      <c r="BH246" s="84">
        <f t="shared" si="140"/>
        <v>0</v>
      </c>
      <c r="BJ246" s="537">
        <f>_xll.EURO(BB246,BC246,BD246,BE246,BF246,BG246,1,0)*BH246</f>
        <v>0</v>
      </c>
      <c r="BK246" s="84">
        <f t="shared" si="141"/>
        <v>0</v>
      </c>
      <c r="BM246" s="84">
        <f t="shared" si="142"/>
        <v>0</v>
      </c>
    </row>
    <row r="247" spans="1:65">
      <c r="A247" s="78">
        <f t="shared" si="115"/>
        <v>241</v>
      </c>
      <c r="C247" s="78">
        <v>31</v>
      </c>
      <c r="D247" s="78" t="s">
        <v>62</v>
      </c>
      <c r="E247" s="113">
        <f t="shared" si="116"/>
        <v>43831</v>
      </c>
      <c r="F247" s="85">
        <f t="shared" si="112"/>
        <v>22</v>
      </c>
      <c r="G247" s="84">
        <f>C247-F247</f>
        <v>9</v>
      </c>
      <c r="H247" s="84"/>
      <c r="I247" s="84"/>
      <c r="K247" s="93">
        <f t="shared" si="147"/>
        <v>43831</v>
      </c>
      <c r="L247" s="508">
        <v>7.3820885174680009E-2</v>
      </c>
      <c r="M247" s="509">
        <v>6.4951986341308013E-2</v>
      </c>
      <c r="N247" s="132">
        <f>(1+L247/2)^(-2*((K247+$T$1)-$K$1)/365.25)</f>
        <v>0.23549829343649725</v>
      </c>
      <c r="O247" s="133">
        <f>VLOOKUP(K247,Inflation!$B$8:$C$266,2)</f>
        <v>1.7075486087394984</v>
      </c>
      <c r="P247" s="132"/>
      <c r="Q247" s="134">
        <f>VLOOKUP(K247,'Fuel Curve'!$B$11:$F$268,5)</f>
        <v>4.7901724137931048</v>
      </c>
      <c r="R247" s="238">
        <f>VLOOKUP(K247,'Fuel Curve Simulation'!$B$12:$J$258,9)</f>
        <v>4.7901724137931048</v>
      </c>
      <c r="S247" s="134">
        <f t="shared" si="120"/>
        <v>45.885061551724156</v>
      </c>
      <c r="T247" s="136"/>
      <c r="V247" s="143">
        <f t="shared" si="148"/>
        <v>41.824998474121088</v>
      </c>
      <c r="W247" s="486"/>
      <c r="X247" s="118">
        <f>'PJM Curve Simulation'!J247</f>
        <v>41.824998474121088</v>
      </c>
      <c r="Y247" s="512"/>
      <c r="AA247" s="78">
        <f t="shared" si="146"/>
        <v>315</v>
      </c>
      <c r="AB247" s="85">
        <f t="shared" si="121"/>
        <v>110880</v>
      </c>
      <c r="AC247" s="146">
        <f>SUM(AC8:AC246)</f>
        <v>3915555.7561831726</v>
      </c>
      <c r="AD247" s="153">
        <f t="shared" si="125"/>
        <v>0</v>
      </c>
      <c r="AE247" s="88"/>
      <c r="AF247" s="150">
        <v>0</v>
      </c>
      <c r="AG247" s="150">
        <v>0</v>
      </c>
      <c r="AH247" s="150">
        <f t="shared" si="126"/>
        <v>0</v>
      </c>
      <c r="AI247" s="150">
        <f t="shared" si="127"/>
        <v>0</v>
      </c>
      <c r="AJ247" s="150">
        <f t="shared" si="128"/>
        <v>0</v>
      </c>
      <c r="AK247" s="85">
        <f t="shared" si="152"/>
        <v>85377.43043697493</v>
      </c>
      <c r="AL247" s="85">
        <f t="shared" si="153"/>
        <v>217712.44761428607</v>
      </c>
      <c r="AM247" s="85">
        <f t="shared" si="154"/>
        <v>0</v>
      </c>
      <c r="AN247" s="85">
        <f t="shared" si="123"/>
        <v>195229.72426588266</v>
      </c>
      <c r="AO247" s="85">
        <f t="shared" si="155"/>
        <v>42688.715218487465</v>
      </c>
      <c r="AP247" s="81">
        <v>0</v>
      </c>
      <c r="AQ247" s="84">
        <f t="shared" si="156"/>
        <v>541008.31753563113</v>
      </c>
      <c r="AR247" s="85">
        <f t="shared" si="133"/>
        <v>21344.357609243732</v>
      </c>
      <c r="AS247" s="84">
        <f t="shared" si="151"/>
        <v>30387.755000000001</v>
      </c>
      <c r="AT247" s="85">
        <f t="shared" si="134"/>
        <v>0</v>
      </c>
      <c r="AU247" s="84">
        <f t="shared" si="135"/>
        <v>592740.43014487484</v>
      </c>
      <c r="AV247" s="84">
        <f t="shared" si="157"/>
        <v>-592740.43014487484</v>
      </c>
      <c r="AW247" s="454"/>
      <c r="AX247" s="93">
        <f>E247</f>
        <v>43831</v>
      </c>
      <c r="BA247" s="315"/>
      <c r="BB247" s="134">
        <f t="shared" si="136"/>
        <v>41.824998474121088</v>
      </c>
      <c r="BC247" s="134">
        <f>'Curve Analysis - Base Case'!D239</f>
        <v>49.300158769203151</v>
      </c>
      <c r="BD247" s="131">
        <f t="shared" si="137"/>
        <v>7.3820885174680009E-2</v>
      </c>
      <c r="BE247" s="131">
        <f t="shared" si="138"/>
        <v>7.3820885174680009E-2</v>
      </c>
      <c r="BF247" s="365">
        <f t="shared" si="149"/>
        <v>0.10089311701971236</v>
      </c>
      <c r="BG247" s="85">
        <f t="shared" si="139"/>
        <v>7257</v>
      </c>
      <c r="BH247" s="84">
        <f t="shared" si="140"/>
        <v>0</v>
      </c>
      <c r="BJ247" s="537">
        <f>_xll.EURO(BB247,BC247,BD247,BE247,BF247,BG247,1,0)*BH247</f>
        <v>0</v>
      </c>
      <c r="BK247" s="84">
        <f t="shared" si="141"/>
        <v>0</v>
      </c>
      <c r="BM247" s="84">
        <f t="shared" si="142"/>
        <v>0</v>
      </c>
    </row>
    <row r="248" spans="1:65">
      <c r="A248" s="78">
        <f t="shared" si="115"/>
        <v>242</v>
      </c>
      <c r="C248" s="140">
        <v>29</v>
      </c>
      <c r="D248" s="141" t="s">
        <v>63</v>
      </c>
      <c r="E248" s="113">
        <f t="shared" si="116"/>
        <v>43862</v>
      </c>
      <c r="F248" s="85">
        <f t="shared" si="112"/>
        <v>20</v>
      </c>
      <c r="G248" s="84">
        <f t="shared" ref="G248:G258" si="158">C248-F248</f>
        <v>9</v>
      </c>
      <c r="H248" s="84"/>
      <c r="I248" s="84"/>
      <c r="K248" s="93">
        <f t="shared" si="147"/>
        <v>43862</v>
      </c>
      <c r="L248" s="508">
        <v>7.3815711726800001E-2</v>
      </c>
      <c r="M248" s="509">
        <v>6.4963598615887005E-2</v>
      </c>
      <c r="N248" s="132">
        <f t="shared" si="114"/>
        <v>0.23407721748519347</v>
      </c>
      <c r="O248" s="133">
        <f>VLOOKUP(K248,Inflation!$B$8:$C$266,2)</f>
        <v>1.7113438528837244</v>
      </c>
      <c r="P248" s="132"/>
      <c r="Q248" s="134">
        <f>VLOOKUP(K248,'Fuel Curve'!$B$11:$F$268,5)</f>
        <v>4.6910344827586217</v>
      </c>
      <c r="R248" s="238">
        <f>VLOOKUP(K248,'Fuel Curve Simulation'!$B$12:$J$258,9)</f>
        <v>4.6910344827586217</v>
      </c>
      <c r="S248" s="134">
        <f t="shared" si="120"/>
        <v>44.935419310344834</v>
      </c>
      <c r="T248" s="136"/>
      <c r="V248" s="143">
        <f t="shared" si="148"/>
        <v>41.824998474121088</v>
      </c>
      <c r="W248" s="486"/>
      <c r="X248" s="118">
        <f>'PJM Curve Simulation'!J248</f>
        <v>41.824998474121088</v>
      </c>
      <c r="Y248" s="512"/>
      <c r="AA248" s="78">
        <f t="shared" si="146"/>
        <v>315</v>
      </c>
      <c r="AB248" s="85">
        <f t="shared" si="121"/>
        <v>100800</v>
      </c>
      <c r="AD248" s="153">
        <f t="shared" si="125"/>
        <v>0</v>
      </c>
      <c r="AF248" s="150">
        <v>0</v>
      </c>
      <c r="AG248" s="150">
        <v>0</v>
      </c>
      <c r="AH248" s="150">
        <f t="shared" si="126"/>
        <v>0</v>
      </c>
      <c r="AI248" s="150">
        <f t="shared" si="127"/>
        <v>0</v>
      </c>
      <c r="AJ248" s="150">
        <f t="shared" si="128"/>
        <v>0</v>
      </c>
      <c r="AK248" s="85">
        <f t="shared" si="152"/>
        <v>85567.192644186216</v>
      </c>
      <c r="AL248" s="85">
        <f t="shared" si="153"/>
        <v>218196.34124267485</v>
      </c>
      <c r="AM248" s="85">
        <f t="shared" si="154"/>
        <v>0</v>
      </c>
      <c r="AN248" s="85">
        <f t="shared" si="123"/>
        <v>195663.64717970582</v>
      </c>
      <c r="AO248" s="85">
        <f t="shared" si="155"/>
        <v>42783.596322093108</v>
      </c>
      <c r="AP248" s="81">
        <v>0</v>
      </c>
      <c r="AQ248" s="84">
        <f t="shared" si="156"/>
        <v>542210.77738866</v>
      </c>
      <c r="AR248" s="85">
        <f t="shared" si="133"/>
        <v>21391.798161046554</v>
      </c>
      <c r="AS248" s="84">
        <f t="shared" si="151"/>
        <v>30387.755000000001</v>
      </c>
      <c r="AT248" s="85">
        <f t="shared" si="134"/>
        <v>0</v>
      </c>
      <c r="AU248" s="84">
        <f t="shared" si="135"/>
        <v>593990.33054970647</v>
      </c>
      <c r="AV248" s="84">
        <f t="shared" si="157"/>
        <v>-593990.33054970647</v>
      </c>
      <c r="AW248" s="453"/>
      <c r="AX248" s="93">
        <f t="shared" ref="AX248:AX258" si="159">E248</f>
        <v>43862</v>
      </c>
      <c r="BA248" s="315"/>
      <c r="BB248" s="134">
        <f t="shared" si="136"/>
        <v>41.824998474121088</v>
      </c>
      <c r="BC248" s="134">
        <f>'Curve Analysis - Base Case'!D240</f>
        <v>48.358107016112285</v>
      </c>
      <c r="BD248" s="131">
        <f t="shared" si="137"/>
        <v>7.3815711726800001E-2</v>
      </c>
      <c r="BE248" s="131">
        <f t="shared" si="138"/>
        <v>7.3815711726800001E-2</v>
      </c>
      <c r="BF248" s="365">
        <f t="shared" si="149"/>
        <v>0.10089311701971236</v>
      </c>
      <c r="BG248" s="85">
        <f t="shared" si="139"/>
        <v>7288</v>
      </c>
      <c r="BH248" s="84">
        <f t="shared" si="140"/>
        <v>0</v>
      </c>
      <c r="BJ248" s="537">
        <f>_xll.EURO(BB248,BC248,BD248,BE248,BF248,BG248,1,0)*BH248</f>
        <v>0</v>
      </c>
      <c r="BK248" s="84">
        <f t="shared" si="141"/>
        <v>0</v>
      </c>
      <c r="BM248" s="84">
        <f t="shared" si="142"/>
        <v>0</v>
      </c>
    </row>
    <row r="249" spans="1:65">
      <c r="A249" s="78">
        <f t="shared" si="115"/>
        <v>243</v>
      </c>
      <c r="C249" s="78">
        <v>31</v>
      </c>
      <c r="D249" s="78" t="s">
        <v>64</v>
      </c>
      <c r="E249" s="113">
        <f t="shared" si="116"/>
        <v>43891</v>
      </c>
      <c r="F249" s="85">
        <f t="shared" si="112"/>
        <v>23</v>
      </c>
      <c r="G249" s="84">
        <f t="shared" si="158"/>
        <v>8</v>
      </c>
      <c r="H249" s="84"/>
      <c r="I249" s="84"/>
      <c r="K249" s="93">
        <f t="shared" si="147"/>
        <v>43891</v>
      </c>
      <c r="L249" s="508">
        <v>7.3810872049760001E-2</v>
      </c>
      <c r="M249" s="509">
        <v>6.4974461712312012E-2</v>
      </c>
      <c r="N249" s="132">
        <f t="shared" si="114"/>
        <v>0.23275576660755912</v>
      </c>
      <c r="O249" s="133">
        <f>VLOOKUP(K249,Inflation!$B$8:$C$266,2)</f>
        <v>1.715147532441174</v>
      </c>
      <c r="P249" s="132"/>
      <c r="Q249" s="134">
        <f>VLOOKUP(K249,'Fuel Curve'!$B$11:$F$268,5)</f>
        <v>4.5939655172413802</v>
      </c>
      <c r="R249" s="238">
        <f>VLOOKUP(K249,'Fuel Curve Simulation'!$B$12:$J$258,9)</f>
        <v>4.5939655172413802</v>
      </c>
      <c r="S249" s="134">
        <f t="shared" si="120"/>
        <v>44.005595689655181</v>
      </c>
      <c r="T249" s="136"/>
      <c r="V249" s="143">
        <f t="shared" si="148"/>
        <v>31.550000762939455</v>
      </c>
      <c r="W249" s="486"/>
      <c r="X249" s="118">
        <f>'PJM Curve Simulation'!J249</f>
        <v>31.550000762939455</v>
      </c>
      <c r="Y249" s="512"/>
      <c r="AA249" s="78">
        <f t="shared" si="146"/>
        <v>315</v>
      </c>
      <c r="AB249" s="85">
        <f t="shared" si="121"/>
        <v>115920</v>
      </c>
      <c r="AD249" s="153">
        <f t="shared" si="125"/>
        <v>0</v>
      </c>
      <c r="AF249" s="150">
        <v>0</v>
      </c>
      <c r="AG249" s="150">
        <v>0</v>
      </c>
      <c r="AH249" s="150">
        <f t="shared" si="126"/>
        <v>0</v>
      </c>
      <c r="AI249" s="150">
        <f t="shared" si="127"/>
        <v>0</v>
      </c>
      <c r="AJ249" s="150">
        <f t="shared" si="128"/>
        <v>0</v>
      </c>
      <c r="AK249" s="85">
        <f t="shared" si="152"/>
        <v>85757.376622058699</v>
      </c>
      <c r="AL249" s="85">
        <f t="shared" si="153"/>
        <v>218681.31038624968</v>
      </c>
      <c r="AM249" s="85">
        <f t="shared" si="154"/>
        <v>0</v>
      </c>
      <c r="AN249" s="85">
        <f t="shared" si="123"/>
        <v>196098.5345424409</v>
      </c>
      <c r="AO249" s="85">
        <f t="shared" si="155"/>
        <v>42878.688311029349</v>
      </c>
      <c r="AP249" s="81">
        <v>0</v>
      </c>
      <c r="AQ249" s="84">
        <f t="shared" si="156"/>
        <v>543415.90986177861</v>
      </c>
      <c r="AR249" s="85">
        <f t="shared" si="133"/>
        <v>21439.344155514675</v>
      </c>
      <c r="AS249" s="84">
        <f t="shared" si="151"/>
        <v>30387.755000000001</v>
      </c>
      <c r="AT249" s="85">
        <f t="shared" si="134"/>
        <v>0</v>
      </c>
      <c r="AU249" s="84">
        <f t="shared" si="135"/>
        <v>595243.00901729311</v>
      </c>
      <c r="AV249" s="84">
        <f t="shared" si="157"/>
        <v>-595243.00901729311</v>
      </c>
      <c r="AX249" s="93">
        <f t="shared" si="159"/>
        <v>43891</v>
      </c>
      <c r="BA249" s="315"/>
      <c r="BB249" s="134">
        <f t="shared" si="136"/>
        <v>31.550000762939455</v>
      </c>
      <c r="BC249" s="134">
        <f>'Curve Analysis - Base Case'!D241</f>
        <v>47.435890754537532</v>
      </c>
      <c r="BD249" s="131">
        <f t="shared" si="137"/>
        <v>7.3810872049760001E-2</v>
      </c>
      <c r="BE249" s="131">
        <f t="shared" si="138"/>
        <v>7.3810872049760001E-2</v>
      </c>
      <c r="BF249" s="365">
        <f t="shared" si="149"/>
        <v>8.4077597516426933E-2</v>
      </c>
      <c r="BG249" s="85">
        <f t="shared" si="139"/>
        <v>7317</v>
      </c>
      <c r="BH249" s="84">
        <f t="shared" si="140"/>
        <v>0</v>
      </c>
      <c r="BJ249" s="537">
        <f>_xll.EURO(BB249,BC249,BD249,BE249,BF249,BG249,1,0)*BH249</f>
        <v>0</v>
      </c>
      <c r="BK249" s="84">
        <f t="shared" si="141"/>
        <v>0</v>
      </c>
      <c r="BM249" s="84">
        <f t="shared" si="142"/>
        <v>0</v>
      </c>
    </row>
    <row r="250" spans="1:65">
      <c r="A250" s="78">
        <f t="shared" si="115"/>
        <v>244</v>
      </c>
      <c r="C250" s="78">
        <v>30</v>
      </c>
      <c r="D250" s="78" t="s">
        <v>65</v>
      </c>
      <c r="E250" s="113">
        <f t="shared" si="116"/>
        <v>43922</v>
      </c>
      <c r="F250" s="85">
        <f t="shared" si="112"/>
        <v>22</v>
      </c>
      <c r="G250" s="84">
        <f t="shared" si="158"/>
        <v>8</v>
      </c>
      <c r="H250" s="84"/>
      <c r="I250" s="84"/>
      <c r="K250" s="93">
        <f t="shared" si="147"/>
        <v>43922</v>
      </c>
      <c r="L250" s="508">
        <v>7.3799890656808004E-2</v>
      </c>
      <c r="M250" s="509">
        <v>6.498607398870801E-2</v>
      </c>
      <c r="N250" s="132">
        <f t="shared" si="114"/>
        <v>0.23137779342582865</v>
      </c>
      <c r="O250" s="133">
        <f>VLOOKUP(K250,Inflation!$B$8:$C$266,2)</f>
        <v>1.718959666160627</v>
      </c>
      <c r="P250" s="132"/>
      <c r="Q250" s="134">
        <f>VLOOKUP(K250,'Fuel Curve'!$B$11:$F$268,5)</f>
        <v>4.4939655172413797</v>
      </c>
      <c r="R250" s="238">
        <f>VLOOKUP(K250,'Fuel Curve Simulation'!$B$12:$J$258,9)</f>
        <v>4.4939655172413797</v>
      </c>
      <c r="S250" s="134">
        <f t="shared" si="120"/>
        <v>43.047695689655178</v>
      </c>
      <c r="T250" s="136"/>
      <c r="V250" s="143">
        <f t="shared" si="148"/>
        <v>31.325000762939453</v>
      </c>
      <c r="W250" s="486"/>
      <c r="X250" s="118">
        <f>'PJM Curve Simulation'!J250</f>
        <v>31.325000762939453</v>
      </c>
      <c r="Y250" s="512"/>
      <c r="AA250" s="78">
        <f t="shared" si="146"/>
        <v>315</v>
      </c>
      <c r="AB250" s="85">
        <f t="shared" si="121"/>
        <v>110880</v>
      </c>
      <c r="AD250" s="153">
        <f t="shared" si="125"/>
        <v>0</v>
      </c>
      <c r="AF250" s="150">
        <v>0</v>
      </c>
      <c r="AG250" s="150">
        <v>0</v>
      </c>
      <c r="AH250" s="150">
        <f t="shared" si="126"/>
        <v>0</v>
      </c>
      <c r="AI250" s="150">
        <f t="shared" si="127"/>
        <v>0</v>
      </c>
      <c r="AJ250" s="150">
        <f t="shared" si="128"/>
        <v>0</v>
      </c>
      <c r="AK250" s="85">
        <f t="shared" si="152"/>
        <v>85947.983308031355</v>
      </c>
      <c r="AL250" s="85">
        <f t="shared" si="153"/>
        <v>219167.35743547996</v>
      </c>
      <c r="AM250" s="85">
        <f t="shared" si="154"/>
        <v>0</v>
      </c>
      <c r="AN250" s="85">
        <f t="shared" si="123"/>
        <v>196534.38849769838</v>
      </c>
      <c r="AO250" s="85">
        <f t="shared" si="155"/>
        <v>42973.991654015677</v>
      </c>
      <c r="AP250" s="81">
        <v>0</v>
      </c>
      <c r="AQ250" s="84">
        <f t="shared" si="156"/>
        <v>544623.72089522542</v>
      </c>
      <c r="AR250" s="85">
        <f t="shared" si="133"/>
        <v>21486.995827007839</v>
      </c>
      <c r="AS250" s="84">
        <f t="shared" si="151"/>
        <v>30387.755000000001</v>
      </c>
      <c r="AT250" s="85">
        <f t="shared" si="134"/>
        <v>0</v>
      </c>
      <c r="AU250" s="84">
        <f t="shared" si="135"/>
        <v>596498.47172223311</v>
      </c>
      <c r="AV250" s="84">
        <f t="shared" si="157"/>
        <v>-596498.47172223311</v>
      </c>
      <c r="AX250" s="93">
        <f t="shared" si="159"/>
        <v>43922</v>
      </c>
      <c r="BA250" s="315"/>
      <c r="BB250" s="134">
        <f t="shared" si="136"/>
        <v>31.325000762939453</v>
      </c>
      <c r="BC250" s="134">
        <f>'Curve Analysis - Base Case'!D242</f>
        <v>46.485615021976429</v>
      </c>
      <c r="BD250" s="131">
        <f t="shared" si="137"/>
        <v>7.3799890656808004E-2</v>
      </c>
      <c r="BE250" s="131">
        <f t="shared" si="138"/>
        <v>7.3799890656808004E-2</v>
      </c>
      <c r="BF250" s="365">
        <f t="shared" si="149"/>
        <v>7.9873717640605607E-2</v>
      </c>
      <c r="BG250" s="85">
        <f t="shared" si="139"/>
        <v>7348</v>
      </c>
      <c r="BH250" s="84">
        <f t="shared" si="140"/>
        <v>0</v>
      </c>
      <c r="BJ250" s="537">
        <f>_xll.EURO(BB250,BC250,BD250,BE250,BF250,BG250,1,0)*BH250</f>
        <v>0</v>
      </c>
      <c r="BK250" s="84">
        <f t="shared" si="141"/>
        <v>0</v>
      </c>
      <c r="BM250" s="84">
        <f t="shared" si="142"/>
        <v>0</v>
      </c>
    </row>
    <row r="251" spans="1:65">
      <c r="A251" s="78">
        <f t="shared" si="115"/>
        <v>245</v>
      </c>
      <c r="C251" s="78">
        <v>31</v>
      </c>
      <c r="D251" s="78" t="s">
        <v>38</v>
      </c>
      <c r="E251" s="113">
        <f t="shared" si="116"/>
        <v>43952</v>
      </c>
      <c r="F251" s="85">
        <f t="shared" si="112"/>
        <v>21</v>
      </c>
      <c r="G251" s="84">
        <f t="shared" si="158"/>
        <v>10</v>
      </c>
      <c r="H251" s="84"/>
      <c r="I251" s="84"/>
      <c r="K251" s="93">
        <f t="shared" si="147"/>
        <v>43952</v>
      </c>
      <c r="L251" s="508">
        <v>7.3788182619301007E-2</v>
      </c>
      <c r="M251" s="509">
        <v>6.4997311676437006E-2</v>
      </c>
      <c r="N251" s="132">
        <f t="shared" si="114"/>
        <v>0.23005729622688018</v>
      </c>
      <c r="O251" s="133">
        <f>VLOOKUP(K251,Inflation!$B$8:$C$266,2)</f>
        <v>1.7227802728325348</v>
      </c>
      <c r="P251" s="132"/>
      <c r="Q251" s="134">
        <f>VLOOKUP(K251,'Fuel Curve'!$B$11:$F$268,5)</f>
        <v>4.4267241379310347</v>
      </c>
      <c r="R251" s="238">
        <f>VLOOKUP(K251,'Fuel Curve Simulation'!$B$12:$J$258,9)</f>
        <v>4.4267241379310347</v>
      </c>
      <c r="S251" s="134">
        <f t="shared" si="120"/>
        <v>42.403590517241383</v>
      </c>
      <c r="T251" s="136"/>
      <c r="V251" s="143">
        <f t="shared" si="148"/>
        <v>39.325000000000003</v>
      </c>
      <c r="W251" s="486"/>
      <c r="X251" s="118">
        <f>'PJM Curve Simulation'!J251</f>
        <v>39.325000000000003</v>
      </c>
      <c r="Y251" s="512"/>
      <c r="AA251" s="78">
        <f t="shared" si="146"/>
        <v>315</v>
      </c>
      <c r="AB251" s="85">
        <f t="shared" si="121"/>
        <v>105840</v>
      </c>
      <c r="AD251" s="153">
        <f t="shared" si="125"/>
        <v>0</v>
      </c>
      <c r="AF251" s="150">
        <v>0</v>
      </c>
      <c r="AG251" s="150">
        <v>0</v>
      </c>
      <c r="AH251" s="150">
        <f t="shared" si="126"/>
        <v>0</v>
      </c>
      <c r="AI251" s="150">
        <f t="shared" si="127"/>
        <v>0</v>
      </c>
      <c r="AJ251" s="150">
        <f t="shared" si="128"/>
        <v>0</v>
      </c>
      <c r="AK251" s="85">
        <f t="shared" si="152"/>
        <v>86139.013641626734</v>
      </c>
      <c r="AL251" s="85">
        <f t="shared" si="153"/>
        <v>219654.48478614818</v>
      </c>
      <c r="AM251" s="85">
        <f t="shared" si="154"/>
        <v>0</v>
      </c>
      <c r="AN251" s="85">
        <f t="shared" si="123"/>
        <v>196971.21119385315</v>
      </c>
      <c r="AO251" s="85">
        <f t="shared" si="155"/>
        <v>43069.506820813367</v>
      </c>
      <c r="AP251" s="81">
        <v>0</v>
      </c>
      <c r="AQ251" s="84">
        <f t="shared" si="156"/>
        <v>545834.21644244145</v>
      </c>
      <c r="AR251" s="85">
        <f t="shared" si="133"/>
        <v>21534.753410406684</v>
      </c>
      <c r="AS251" s="84">
        <f t="shared" si="151"/>
        <v>30387.755000000001</v>
      </c>
      <c r="AT251" s="85">
        <f t="shared" si="134"/>
        <v>0</v>
      </c>
      <c r="AU251" s="84">
        <f t="shared" si="135"/>
        <v>597756.72485284798</v>
      </c>
      <c r="AV251" s="84">
        <f t="shared" si="157"/>
        <v>-597756.72485284798</v>
      </c>
      <c r="AX251" s="93">
        <f t="shared" si="159"/>
        <v>43952</v>
      </c>
      <c r="BA251" s="315"/>
      <c r="BB251" s="134">
        <f t="shared" si="136"/>
        <v>39.325000000000003</v>
      </c>
      <c r="BC251" s="134">
        <f>'Curve Analysis - Base Case'!D243</f>
        <v>45.849151062906451</v>
      </c>
      <c r="BD251" s="131">
        <f t="shared" si="137"/>
        <v>7.3788182619301007E-2</v>
      </c>
      <c r="BE251" s="131">
        <f t="shared" si="138"/>
        <v>7.3788182619301007E-2</v>
      </c>
      <c r="BF251" s="365">
        <f t="shared" si="149"/>
        <v>8.8281477392248286E-2</v>
      </c>
      <c r="BG251" s="85">
        <f t="shared" si="139"/>
        <v>7378</v>
      </c>
      <c r="BH251" s="84">
        <f t="shared" si="140"/>
        <v>0</v>
      </c>
      <c r="BJ251" s="537">
        <f>_xll.EURO(BB251,BC251,BD251,BE251,BF251,BG251,1,0)*BH251</f>
        <v>0</v>
      </c>
      <c r="BK251" s="84">
        <f t="shared" si="141"/>
        <v>0</v>
      </c>
      <c r="BM251" s="84">
        <f t="shared" si="142"/>
        <v>0</v>
      </c>
    </row>
    <row r="252" spans="1:65">
      <c r="A252" s="78">
        <f t="shared" si="115"/>
        <v>246</v>
      </c>
      <c r="C252" s="78">
        <v>30</v>
      </c>
      <c r="D252" s="78" t="s">
        <v>66</v>
      </c>
      <c r="E252" s="113">
        <f t="shared" si="116"/>
        <v>43983</v>
      </c>
      <c r="F252" s="85">
        <f t="shared" si="112"/>
        <v>22</v>
      </c>
      <c r="G252" s="84">
        <f t="shared" si="158"/>
        <v>8</v>
      </c>
      <c r="H252" s="84"/>
      <c r="I252" s="84"/>
      <c r="K252" s="93">
        <f t="shared" si="147"/>
        <v>43983</v>
      </c>
      <c r="L252" s="508">
        <v>7.3776084313925003E-2</v>
      </c>
      <c r="M252" s="509">
        <v>6.5008923954680012E-2</v>
      </c>
      <c r="N252" s="132">
        <f t="shared" si="114"/>
        <v>0.22870114512896697</v>
      </c>
      <c r="O252" s="133">
        <f>VLOOKUP(K252,Inflation!$B$8:$C$266,2)</f>
        <v>1.7266093712891122</v>
      </c>
      <c r="P252" s="132"/>
      <c r="Q252" s="134">
        <f>VLOOKUP(K252,'Fuel Curve'!$B$11:$F$268,5)</f>
        <v>4.4201724137931047</v>
      </c>
      <c r="R252" s="238">
        <f>VLOOKUP(K252,'Fuel Curve Simulation'!$B$12:$J$258,9)</f>
        <v>4.4201724137931047</v>
      </c>
      <c r="S252" s="134">
        <f t="shared" si="120"/>
        <v>42.34083155172415</v>
      </c>
      <c r="T252" s="136"/>
      <c r="V252" s="143">
        <f t="shared" si="148"/>
        <v>68.349998474121094</v>
      </c>
      <c r="W252" s="486"/>
      <c r="X252" s="118">
        <f>'PJM Curve Simulation'!J252</f>
        <v>68.349998474121094</v>
      </c>
      <c r="Y252" s="512"/>
      <c r="AA252" s="78">
        <f t="shared" si="146"/>
        <v>315</v>
      </c>
      <c r="AB252" s="85">
        <f t="shared" si="121"/>
        <v>110880</v>
      </c>
      <c r="AD252" s="153">
        <f>IF(V252&gt;S252+($AM$5*1000*O252),AA252*F252*16,0)</f>
        <v>110880</v>
      </c>
      <c r="AF252" s="150">
        <v>0</v>
      </c>
      <c r="AG252" s="150">
        <v>0</v>
      </c>
      <c r="AH252" s="150">
        <f t="shared" si="126"/>
        <v>7578647.8308105469</v>
      </c>
      <c r="AI252" s="150">
        <f t="shared" si="127"/>
        <v>7578647.8308105469</v>
      </c>
      <c r="AJ252" s="150">
        <f t="shared" si="128"/>
        <v>4694751.4024551734</v>
      </c>
      <c r="AK252" s="85">
        <f t="shared" si="152"/>
        <v>86330.468564455616</v>
      </c>
      <c r="AL252" s="85">
        <f t="shared" si="153"/>
        <v>220142.69483936182</v>
      </c>
      <c r="AM252" s="85">
        <f t="shared" si="154"/>
        <v>382892.8941770735</v>
      </c>
      <c r="AN252" s="85">
        <f t="shared" si="123"/>
        <v>197409.00478405517</v>
      </c>
      <c r="AO252" s="85">
        <f t="shared" si="155"/>
        <v>43165.234282227808</v>
      </c>
      <c r="AP252" s="81">
        <v>0</v>
      </c>
      <c r="AQ252" s="84">
        <f t="shared" si="156"/>
        <v>929940.29664717393</v>
      </c>
      <c r="AR252" s="85">
        <f t="shared" si="133"/>
        <v>21582.617141113904</v>
      </c>
      <c r="AS252" s="84">
        <f t="shared" si="151"/>
        <v>30387.755000000001</v>
      </c>
      <c r="AT252" s="85">
        <f t="shared" si="134"/>
        <v>78512.186198264346</v>
      </c>
      <c r="AU252" s="84">
        <f t="shared" si="135"/>
        <v>5755174.2574417256</v>
      </c>
      <c r="AV252" s="84">
        <f t="shared" si="157"/>
        <v>1823473.5733688213</v>
      </c>
      <c r="AX252" s="93">
        <f t="shared" si="159"/>
        <v>43983</v>
      </c>
      <c r="BA252" s="315"/>
      <c r="BB252" s="134">
        <f t="shared" si="136"/>
        <v>68.349998474121094</v>
      </c>
      <c r="BC252" s="134">
        <f>'Curve Analysis - Base Case'!D244</f>
        <v>45.794050294302373</v>
      </c>
      <c r="BD252" s="131">
        <f t="shared" si="137"/>
        <v>7.3776084313925003E-2</v>
      </c>
      <c r="BE252" s="131">
        <f t="shared" si="138"/>
        <v>7.3776084313925003E-2</v>
      </c>
      <c r="BF252" s="365">
        <f t="shared" si="149"/>
        <v>0.11350475664717641</v>
      </c>
      <c r="BG252" s="85">
        <f t="shared" si="139"/>
        <v>7409</v>
      </c>
      <c r="BH252" s="84">
        <f t="shared" si="140"/>
        <v>110880</v>
      </c>
      <c r="BJ252" s="537">
        <f>_xll.EURO(BB252,BC252,BD252,BE252,BF252,BG252,1,0)*BH252</f>
        <v>646203.96677278029</v>
      </c>
      <c r="BK252" s="84">
        <f t="shared" si="141"/>
        <v>659550.41559821181</v>
      </c>
      <c r="BM252" s="84">
        <f t="shared" si="142"/>
        <v>-13346.448825431522</v>
      </c>
    </row>
    <row r="253" spans="1:65">
      <c r="A253" s="78">
        <f t="shared" si="115"/>
        <v>247</v>
      </c>
      <c r="C253" s="78">
        <v>31</v>
      </c>
      <c r="D253" s="78" t="s">
        <v>67</v>
      </c>
      <c r="E253" s="113">
        <f t="shared" si="116"/>
        <v>44013</v>
      </c>
      <c r="F253" s="85">
        <f t="shared" si="112"/>
        <v>22</v>
      </c>
      <c r="G253" s="84">
        <f t="shared" si="158"/>
        <v>9</v>
      </c>
      <c r="H253" s="84"/>
      <c r="I253" s="84"/>
      <c r="K253" s="93">
        <f t="shared" si="147"/>
        <v>44013</v>
      </c>
      <c r="L253" s="508">
        <v>7.3764376276510016E-2</v>
      </c>
      <c r="M253" s="509">
        <v>6.5020161644196009E-2</v>
      </c>
      <c r="N253" s="132">
        <f t="shared" si="114"/>
        <v>0.22739678207770891</v>
      </c>
      <c r="O253" s="133">
        <f>VLOOKUP(K253,Inflation!$B$8:$C$266,2)</f>
        <v>1.7304469804044322</v>
      </c>
      <c r="P253" s="132"/>
      <c r="Q253" s="134">
        <f>VLOOKUP(K253,'Fuel Curve'!$B$11:$F$268,5)</f>
        <v>4.477413793103449</v>
      </c>
      <c r="R253" s="238">
        <f>VLOOKUP(K253,'Fuel Curve Simulation'!$B$12:$J$258,9)</f>
        <v>4.477413793103449</v>
      </c>
      <c r="S253" s="134">
        <f t="shared" si="120"/>
        <v>42.889146724137937</v>
      </c>
      <c r="T253" s="136"/>
      <c r="V253" s="143">
        <f t="shared" si="148"/>
        <v>124.94999694824219</v>
      </c>
      <c r="W253" s="486"/>
      <c r="X253" s="118">
        <f>'PJM Curve Simulation'!J253</f>
        <v>124.94999694824219</v>
      </c>
      <c r="Y253" s="512"/>
      <c r="AA253" s="78">
        <f t="shared" si="146"/>
        <v>315</v>
      </c>
      <c r="AB253" s="85">
        <f t="shared" si="121"/>
        <v>110880</v>
      </c>
      <c r="AD253" s="153">
        <f t="shared" si="125"/>
        <v>110880</v>
      </c>
      <c r="AF253" s="150">
        <v>0</v>
      </c>
      <c r="AG253" s="150">
        <v>0</v>
      </c>
      <c r="AH253" s="150">
        <f t="shared" si="126"/>
        <v>13854455.661621094</v>
      </c>
      <c r="AI253" s="150">
        <f t="shared" si="127"/>
        <v>13854455.661621094</v>
      </c>
      <c r="AJ253" s="150">
        <f t="shared" si="128"/>
        <v>4755548.5887724143</v>
      </c>
      <c r="AK253" s="85">
        <f t="shared" si="152"/>
        <v>86522.349020221605</v>
      </c>
      <c r="AL253" s="85">
        <f t="shared" si="153"/>
        <v>220631.99000156511</v>
      </c>
      <c r="AM253" s="85">
        <f t="shared" si="154"/>
        <v>383743.92237448687</v>
      </c>
      <c r="AN253" s="85">
        <f t="shared" si="123"/>
        <v>197847.7714262401</v>
      </c>
      <c r="AO253" s="85">
        <f t="shared" si="155"/>
        <v>43261.174510110803</v>
      </c>
      <c r="AP253" s="81">
        <v>0</v>
      </c>
      <c r="AQ253" s="84">
        <f t="shared" si="156"/>
        <v>932007.20733262436</v>
      </c>
      <c r="AR253" s="85">
        <f t="shared" si="133"/>
        <v>21630.587255055401</v>
      </c>
      <c r="AS253" s="84">
        <f t="shared" si="151"/>
        <v>30387.755000000001</v>
      </c>
      <c r="AT253" s="85">
        <f t="shared" si="134"/>
        <v>143846.40578879585</v>
      </c>
      <c r="AU253" s="84">
        <f t="shared" si="135"/>
        <v>5883420.5441488894</v>
      </c>
      <c r="AV253" s="84">
        <f t="shared" si="157"/>
        <v>7971035.1174722044</v>
      </c>
      <c r="AX253" s="93">
        <f t="shared" si="159"/>
        <v>44013</v>
      </c>
      <c r="BA253" s="315"/>
      <c r="BB253" s="134">
        <f t="shared" si="136"/>
        <v>124.94999694824219</v>
      </c>
      <c r="BC253" s="134">
        <f>'Curve Analysis - Base Case'!D245</f>
        <v>46.350040684946805</v>
      </c>
      <c r="BD253" s="131">
        <f t="shared" si="137"/>
        <v>7.3764376276510016E-2</v>
      </c>
      <c r="BE253" s="131">
        <f t="shared" si="138"/>
        <v>7.3764376276510016E-2</v>
      </c>
      <c r="BF253" s="365">
        <f t="shared" si="149"/>
        <v>0.13872803590210442</v>
      </c>
      <c r="BG253" s="85">
        <f t="shared" si="139"/>
        <v>7439</v>
      </c>
      <c r="BH253" s="84">
        <f t="shared" si="140"/>
        <v>110880</v>
      </c>
      <c r="BJ253" s="537">
        <f>_xll.EURO(BB253,BC253,BD253,BE253,BF253,BG253,1,0)*BH253</f>
        <v>1967431.0974410269</v>
      </c>
      <c r="BK253" s="84">
        <f t="shared" si="141"/>
        <v>2069062.1887898955</v>
      </c>
      <c r="BM253" s="84">
        <f t="shared" si="142"/>
        <v>-101631.09134886856</v>
      </c>
    </row>
    <row r="254" spans="1:65">
      <c r="A254" s="78">
        <f t="shared" si="115"/>
        <v>248</v>
      </c>
      <c r="C254" s="78">
        <v>31</v>
      </c>
      <c r="D254" s="78" t="s">
        <v>68</v>
      </c>
      <c r="E254" s="113">
        <f t="shared" si="116"/>
        <v>44044</v>
      </c>
      <c r="F254" s="85">
        <f t="shared" si="112"/>
        <v>22</v>
      </c>
      <c r="G254" s="84">
        <f t="shared" si="158"/>
        <v>9</v>
      </c>
      <c r="H254" s="84"/>
      <c r="I254" s="84"/>
      <c r="K254" s="93">
        <f t="shared" si="147"/>
        <v>44044</v>
      </c>
      <c r="L254" s="508">
        <v>7.3752277971228006E-2</v>
      </c>
      <c r="M254" s="509">
        <v>6.5031773924286024E-2</v>
      </c>
      <c r="N254" s="132">
        <f t="shared" si="114"/>
        <v>0.22605719591446294</v>
      </c>
      <c r="O254" s="133">
        <f>VLOOKUP(K254,Inflation!$B$8:$C$266,2)</f>
        <v>1.7342931190945172</v>
      </c>
      <c r="P254" s="132"/>
      <c r="Q254" s="134">
        <f>VLOOKUP(K254,'Fuel Curve'!$B$11:$F$268,5)</f>
        <v>4.5679310344827595</v>
      </c>
      <c r="R254" s="238">
        <f>VLOOKUP(K254,'Fuel Curve Simulation'!$B$12:$J$258,9)</f>
        <v>4.5679310344827595</v>
      </c>
      <c r="S254" s="134">
        <f t="shared" si="120"/>
        <v>43.756211379310358</v>
      </c>
      <c r="T254" s="136"/>
      <c r="V254" s="143">
        <f t="shared" si="148"/>
        <v>109.69999694824219</v>
      </c>
      <c r="W254" s="486"/>
      <c r="X254" s="118">
        <f>'PJM Curve Simulation'!J254</f>
        <v>111.94999694824219</v>
      </c>
      <c r="Y254" s="512"/>
      <c r="AA254" s="78">
        <f t="shared" si="146"/>
        <v>315</v>
      </c>
      <c r="AB254" s="85">
        <f t="shared" si="121"/>
        <v>110880</v>
      </c>
      <c r="AD254" s="153">
        <f t="shared" si="125"/>
        <v>110880</v>
      </c>
      <c r="AF254" s="150">
        <v>0</v>
      </c>
      <c r="AG254" s="150">
        <v>0</v>
      </c>
      <c r="AH254" s="150">
        <f t="shared" si="126"/>
        <v>12413015.661621094</v>
      </c>
      <c r="AI254" s="150">
        <f t="shared" si="127"/>
        <v>12413015.661621094</v>
      </c>
      <c r="AJ254" s="150">
        <f t="shared" si="128"/>
        <v>4851688.7177379318</v>
      </c>
      <c r="AK254" s="85">
        <f t="shared" si="152"/>
        <v>86714.655954725866</v>
      </c>
      <c r="AL254" s="85">
        <f t="shared" si="153"/>
        <v>221122.37268455094</v>
      </c>
      <c r="AM254" s="85">
        <f t="shared" si="154"/>
        <v>384596.84209040011</v>
      </c>
      <c r="AN254" s="85">
        <f t="shared" si="123"/>
        <v>198287.51328313979</v>
      </c>
      <c r="AO254" s="85">
        <f t="shared" si="155"/>
        <v>43357.327977362933</v>
      </c>
      <c r="AP254" s="81">
        <v>0</v>
      </c>
      <c r="AQ254" s="84">
        <f t="shared" si="156"/>
        <v>934078.71199017961</v>
      </c>
      <c r="AR254" s="85">
        <f t="shared" si="133"/>
        <v>21678.663988681466</v>
      </c>
      <c r="AS254" s="84">
        <f t="shared" si="151"/>
        <v>30387.755000000001</v>
      </c>
      <c r="AT254" s="85">
        <f t="shared" si="134"/>
        <v>129166.84589497163</v>
      </c>
      <c r="AU254" s="84">
        <f t="shared" si="135"/>
        <v>5967000.6946117654</v>
      </c>
      <c r="AV254" s="84">
        <f t="shared" si="157"/>
        <v>6446014.9670093283</v>
      </c>
      <c r="AX254" s="93">
        <f t="shared" si="159"/>
        <v>44044</v>
      </c>
      <c r="BA254" s="315"/>
      <c r="BB254" s="134">
        <f t="shared" si="136"/>
        <v>111.94999694824219</v>
      </c>
      <c r="BC254" s="134">
        <f>'Curve Analysis - Base Case'!D246</f>
        <v>47.224797617499391</v>
      </c>
      <c r="BD254" s="131">
        <f t="shared" si="137"/>
        <v>7.3752277971228006E-2</v>
      </c>
      <c r="BE254" s="131">
        <f t="shared" si="138"/>
        <v>7.3752277971228006E-2</v>
      </c>
      <c r="BF254" s="365">
        <f t="shared" si="149"/>
        <v>0.13872803590210442</v>
      </c>
      <c r="BG254" s="85">
        <f t="shared" si="139"/>
        <v>7470</v>
      </c>
      <c r="BH254" s="84">
        <f t="shared" si="140"/>
        <v>110880</v>
      </c>
      <c r="BJ254" s="537">
        <f>_xll.EURO(BB254,BC254,BD254,BE254,BF254,BG254,1,0)*BH254</f>
        <v>1629815.7710056952</v>
      </c>
      <c r="BK254" s="84">
        <f t="shared" si="141"/>
        <v>1709292.3663267032</v>
      </c>
      <c r="BM254" s="84">
        <f t="shared" si="142"/>
        <v>-79476.595321008004</v>
      </c>
    </row>
    <row r="255" spans="1:65">
      <c r="A255" s="78">
        <f t="shared" si="115"/>
        <v>249</v>
      </c>
      <c r="C255" s="78">
        <v>30</v>
      </c>
      <c r="D255" s="78" t="s">
        <v>69</v>
      </c>
      <c r="E255" s="113">
        <f t="shared" si="116"/>
        <v>44075</v>
      </c>
      <c r="F255" s="85">
        <f t="shared" si="112"/>
        <v>22</v>
      </c>
      <c r="G255" s="84">
        <f t="shared" si="158"/>
        <v>8</v>
      </c>
      <c r="H255" s="84"/>
      <c r="I255" s="84"/>
      <c r="K255" s="93">
        <f t="shared" si="147"/>
        <v>44075</v>
      </c>
      <c r="L255" s="508">
        <v>7.3740179665999994E-2</v>
      </c>
      <c r="M255" s="509">
        <v>6.5002176191765002E-2</v>
      </c>
      <c r="N255" s="132">
        <f t="shared" si="114"/>
        <v>0.22472594661253503</v>
      </c>
      <c r="O255" s="133">
        <f>VLOOKUP(K255,Inflation!$B$8:$C$266,2)</f>
        <v>1.7381478063174323</v>
      </c>
      <c r="P255" s="132"/>
      <c r="Q255" s="134">
        <f>VLOOKUP(K255,'Fuel Curve'!$B$11:$F$268,5)</f>
        <v>4.6627586206896563</v>
      </c>
      <c r="R255" s="238">
        <f>VLOOKUP(K255,'Fuel Curve Simulation'!$B$12:$J$258,9)</f>
        <v>4.6627586206896563</v>
      </c>
      <c r="S255" s="134">
        <f t="shared" si="120"/>
        <v>44.664564827586219</v>
      </c>
      <c r="T255" s="136"/>
      <c r="V255" s="143">
        <f t="shared" si="148"/>
        <v>39.924998474121097</v>
      </c>
      <c r="W255" s="486"/>
      <c r="X255" s="118">
        <f>'PJM Curve Simulation'!J255</f>
        <v>39.924998474121097</v>
      </c>
      <c r="Y255" s="512"/>
      <c r="AA255" s="78">
        <f t="shared" si="146"/>
        <v>315</v>
      </c>
      <c r="AB255" s="85">
        <f t="shared" si="121"/>
        <v>110880</v>
      </c>
      <c r="AD255" s="153">
        <f t="shared" si="125"/>
        <v>0</v>
      </c>
      <c r="AF255" s="150">
        <v>0</v>
      </c>
      <c r="AG255" s="150">
        <v>0</v>
      </c>
      <c r="AH255" s="150">
        <f t="shared" si="126"/>
        <v>0</v>
      </c>
      <c r="AI255" s="150">
        <f t="shared" si="127"/>
        <v>0</v>
      </c>
      <c r="AJ255" s="150">
        <f t="shared" si="128"/>
        <v>0</v>
      </c>
      <c r="AK255" s="85">
        <f t="shared" si="152"/>
        <v>86907.390315871613</v>
      </c>
      <c r="AL255" s="85">
        <f t="shared" si="153"/>
        <v>221613.84530547261</v>
      </c>
      <c r="AM255" s="85">
        <f t="shared" si="154"/>
        <v>0</v>
      </c>
      <c r="AN255" s="85">
        <f t="shared" si="123"/>
        <v>198728.23252229311</v>
      </c>
      <c r="AO255" s="85">
        <f t="shared" si="155"/>
        <v>43453.695157935806</v>
      </c>
      <c r="AP255" s="81">
        <v>0</v>
      </c>
      <c r="AQ255" s="84">
        <f t="shared" si="156"/>
        <v>550703.16330157313</v>
      </c>
      <c r="AR255" s="85">
        <f t="shared" si="133"/>
        <v>21726.847578967903</v>
      </c>
      <c r="AS255" s="84">
        <f t="shared" si="151"/>
        <v>30387.755000000001</v>
      </c>
      <c r="AT255" s="85">
        <f t="shared" si="134"/>
        <v>0</v>
      </c>
      <c r="AU255" s="84">
        <f t="shared" si="135"/>
        <v>602817.76588054094</v>
      </c>
      <c r="AV255" s="84">
        <f t="shared" si="157"/>
        <v>-602817.76588054094</v>
      </c>
      <c r="AX255" s="93">
        <f t="shared" si="159"/>
        <v>44075</v>
      </c>
      <c r="BA255" s="315"/>
      <c r="BB255" s="134">
        <f t="shared" si="136"/>
        <v>39.924998474121097</v>
      </c>
      <c r="BC255" s="134">
        <f>'Curve Analysis - Base Case'!D247</f>
        <v>48.140860440221083</v>
      </c>
      <c r="BD255" s="131">
        <f t="shared" si="137"/>
        <v>7.3740179665999994E-2</v>
      </c>
      <c r="BE255" s="131">
        <f t="shared" si="138"/>
        <v>7.3740179665999994E-2</v>
      </c>
      <c r="BF255" s="365">
        <f t="shared" si="149"/>
        <v>9.2888759882416141E-2</v>
      </c>
      <c r="BG255" s="85">
        <f t="shared" si="139"/>
        <v>7501</v>
      </c>
      <c r="BH255" s="84">
        <f t="shared" si="140"/>
        <v>0</v>
      </c>
      <c r="BJ255" s="537">
        <f>_xll.EURO(BB255,BC255,BD255,BE255,BF255,BG255,1,0)*BH255</f>
        <v>0</v>
      </c>
      <c r="BK255" s="84">
        <f t="shared" si="141"/>
        <v>0</v>
      </c>
      <c r="BM255" s="84">
        <f t="shared" si="142"/>
        <v>0</v>
      </c>
    </row>
    <row r="256" spans="1:65">
      <c r="A256" s="78">
        <f t="shared" si="115"/>
        <v>250</v>
      </c>
      <c r="C256" s="78">
        <v>31</v>
      </c>
      <c r="D256" s="78" t="s">
        <v>70</v>
      </c>
      <c r="E256" s="113">
        <f t="shared" si="116"/>
        <v>44105</v>
      </c>
      <c r="F256" s="85">
        <f t="shared" si="112"/>
        <v>21</v>
      </c>
      <c r="G256" s="84">
        <f t="shared" si="158"/>
        <v>10</v>
      </c>
      <c r="H256" s="84"/>
      <c r="I256" s="84"/>
      <c r="K256" s="93">
        <f t="shared" si="147"/>
        <v>44105</v>
      </c>
      <c r="L256" s="508">
        <v>7.3728471628718012E-2</v>
      </c>
      <c r="M256" s="509">
        <v>6.4940690350579006E-2</v>
      </c>
      <c r="N256" s="132">
        <f t="shared" si="114"/>
        <v>0.22344552744093005</v>
      </c>
      <c r="O256" s="133">
        <f>VLOOKUP(K256,Inflation!$B$8:$C$266,2)</f>
        <v>1.7420110610733803</v>
      </c>
      <c r="P256" s="132"/>
      <c r="Q256" s="134">
        <f>VLOOKUP(K256,'Fuel Curve'!$B$11:$F$268,5)</f>
        <v>4.7553448275862067</v>
      </c>
      <c r="R256" s="238">
        <f>VLOOKUP(K256,'Fuel Curve Simulation'!$B$12:$J$258,9)</f>
        <v>4.7553448275862067</v>
      </c>
      <c r="S256" s="134">
        <f t="shared" si="120"/>
        <v>45.551448103448273</v>
      </c>
      <c r="T256" s="136"/>
      <c r="V256" s="143">
        <f t="shared" si="148"/>
        <v>31.825000381469728</v>
      </c>
      <c r="W256" s="486"/>
      <c r="X256" s="118">
        <f>'PJM Curve Simulation'!J256</f>
        <v>31.825000381469728</v>
      </c>
      <c r="Y256" s="512"/>
      <c r="AA256" s="78">
        <f t="shared" si="146"/>
        <v>315</v>
      </c>
      <c r="AB256" s="85">
        <f t="shared" si="121"/>
        <v>105840</v>
      </c>
      <c r="AD256" s="153">
        <f t="shared" si="125"/>
        <v>0</v>
      </c>
      <c r="AF256" s="150">
        <v>0</v>
      </c>
      <c r="AG256" s="150">
        <v>0</v>
      </c>
      <c r="AH256" s="150">
        <f t="shared" si="126"/>
        <v>0</v>
      </c>
      <c r="AI256" s="150">
        <f t="shared" si="127"/>
        <v>0</v>
      </c>
      <c r="AJ256" s="150">
        <f t="shared" si="128"/>
        <v>0</v>
      </c>
      <c r="AK256" s="85">
        <f t="shared" si="152"/>
        <v>87100.55305366902</v>
      </c>
      <c r="AL256" s="85">
        <f t="shared" si="153"/>
        <v>222106.410286856</v>
      </c>
      <c r="AM256" s="85">
        <f t="shared" si="154"/>
        <v>0</v>
      </c>
      <c r="AN256" s="85">
        <f t="shared" si="123"/>
        <v>199169.93131605649</v>
      </c>
      <c r="AO256" s="85">
        <f t="shared" si="155"/>
        <v>43550.27652683451</v>
      </c>
      <c r="AP256" s="81">
        <v>0</v>
      </c>
      <c r="AQ256" s="84">
        <f t="shared" si="156"/>
        <v>551927.17118341604</v>
      </c>
      <c r="AR256" s="85">
        <f t="shared" si="133"/>
        <v>21775.138263417255</v>
      </c>
      <c r="AS256" s="84">
        <f t="shared" si="151"/>
        <v>30387.755000000001</v>
      </c>
      <c r="AT256" s="85">
        <f t="shared" si="134"/>
        <v>0</v>
      </c>
      <c r="AU256" s="84">
        <f t="shared" si="135"/>
        <v>604090.0644468331</v>
      </c>
      <c r="AV256" s="84">
        <f t="shared" si="157"/>
        <v>-604090.0644468331</v>
      </c>
      <c r="AX256" s="93">
        <f t="shared" si="159"/>
        <v>44105</v>
      </c>
      <c r="BA256" s="315"/>
      <c r="BB256" s="134">
        <f t="shared" si="136"/>
        <v>31.825000381469728</v>
      </c>
      <c r="BC256" s="134">
        <f>'Curve Analysis - Base Case'!D248</f>
        <v>49.035470225595034</v>
      </c>
      <c r="BD256" s="131">
        <f t="shared" si="137"/>
        <v>7.3728471628718012E-2</v>
      </c>
      <c r="BE256" s="131">
        <f t="shared" si="138"/>
        <v>7.3728471628718012E-2</v>
      </c>
      <c r="BF256" s="365">
        <f t="shared" si="149"/>
        <v>6.5685623059708542E-2</v>
      </c>
      <c r="BG256" s="85">
        <f t="shared" si="139"/>
        <v>7531</v>
      </c>
      <c r="BH256" s="84">
        <f t="shared" si="140"/>
        <v>0</v>
      </c>
      <c r="BJ256" s="537">
        <f>_xll.EURO(BB256,BC256,BD256,BE256,BF256,BG256,1,0)*BH256</f>
        <v>0</v>
      </c>
      <c r="BK256" s="84">
        <f t="shared" si="141"/>
        <v>0</v>
      </c>
      <c r="BM256" s="84">
        <f t="shared" si="142"/>
        <v>0</v>
      </c>
    </row>
    <row r="257" spans="1:65">
      <c r="A257" s="78">
        <f t="shared" si="115"/>
        <v>251</v>
      </c>
      <c r="C257" s="78">
        <v>30</v>
      </c>
      <c r="D257" s="78" t="s">
        <v>71</v>
      </c>
      <c r="E257" s="113">
        <f t="shared" si="116"/>
        <v>44136</v>
      </c>
      <c r="F257" s="85">
        <f t="shared" si="112"/>
        <v>22</v>
      </c>
      <c r="G257" s="84">
        <f t="shared" si="158"/>
        <v>8</v>
      </c>
      <c r="H257" s="84"/>
      <c r="I257" s="84"/>
      <c r="K257" s="93">
        <f t="shared" si="147"/>
        <v>44136</v>
      </c>
      <c r="L257" s="508">
        <v>7.3716373323580012E-2</v>
      </c>
      <c r="M257" s="509">
        <v>6.4877155009000001E-2</v>
      </c>
      <c r="N257" s="132">
        <f t="shared" si="114"/>
        <v>0.22213052457318713</v>
      </c>
      <c r="O257" s="133">
        <f>VLOOKUP(K257,Inflation!$B$8:$C$266,2)</f>
        <v>1.7458829024047942</v>
      </c>
      <c r="P257" s="132"/>
      <c r="Q257" s="134">
        <f>VLOOKUP(K257,'Fuel Curve'!$B$11:$F$268,5)</f>
        <v>4.8046551724137938</v>
      </c>
      <c r="R257" s="238">
        <f>VLOOKUP(K257,'Fuel Curve Simulation'!$B$12:$J$258,9)</f>
        <v>4.8046551724137938</v>
      </c>
      <c r="S257" s="134">
        <f t="shared" si="120"/>
        <v>46.023791896551728</v>
      </c>
      <c r="T257" s="136"/>
      <c r="V257" s="143">
        <f t="shared" si="148"/>
        <v>31.497499084472658</v>
      </c>
      <c r="W257" s="486"/>
      <c r="X257" s="118">
        <f>'PJM Curve Simulation'!J257</f>
        <v>31.497499084472658</v>
      </c>
      <c r="Y257" s="512"/>
      <c r="AA257" s="78">
        <f t="shared" si="146"/>
        <v>315</v>
      </c>
      <c r="AB257" s="85">
        <f t="shared" si="121"/>
        <v>110880</v>
      </c>
      <c r="AD257" s="153">
        <f t="shared" si="125"/>
        <v>0</v>
      </c>
      <c r="AF257" s="150">
        <v>0</v>
      </c>
      <c r="AG257" s="150">
        <v>0</v>
      </c>
      <c r="AH257" s="150">
        <f t="shared" si="126"/>
        <v>0</v>
      </c>
      <c r="AI257" s="150">
        <f t="shared" si="127"/>
        <v>0</v>
      </c>
      <c r="AJ257" s="150">
        <f t="shared" si="128"/>
        <v>0</v>
      </c>
      <c r="AK257" s="85">
        <f t="shared" si="152"/>
        <v>87294.145120239715</v>
      </c>
      <c r="AL257" s="85">
        <f t="shared" si="153"/>
        <v>222600.07005661124</v>
      </c>
      <c r="AM257" s="85">
        <f t="shared" si="154"/>
        <v>0</v>
      </c>
      <c r="AN257" s="85">
        <f t="shared" si="123"/>
        <v>199612.61184161479</v>
      </c>
      <c r="AO257" s="85">
        <f t="shared" si="155"/>
        <v>43647.072560119857</v>
      </c>
      <c r="AP257" s="81">
        <v>0</v>
      </c>
      <c r="AQ257" s="84">
        <f t="shared" si="156"/>
        <v>553153.89957858564</v>
      </c>
      <c r="AR257" s="85">
        <f t="shared" si="133"/>
        <v>21823.536280059929</v>
      </c>
      <c r="AS257" s="84">
        <f t="shared" si="151"/>
        <v>30387.755000000001</v>
      </c>
      <c r="AT257" s="85">
        <f t="shared" si="134"/>
        <v>0</v>
      </c>
      <c r="AU257" s="84">
        <f t="shared" si="135"/>
        <v>605365.19085864548</v>
      </c>
      <c r="AV257" s="84">
        <f t="shared" si="157"/>
        <v>-605365.19085864548</v>
      </c>
      <c r="AX257" s="93">
        <f t="shared" si="159"/>
        <v>44136</v>
      </c>
      <c r="BA257" s="315"/>
      <c r="BB257" s="134">
        <f t="shared" si="136"/>
        <v>31.497499084472658</v>
      </c>
      <c r="BC257" s="134">
        <f>'Curve Analysis - Base Case'!D249</f>
        <v>49.515557701361317</v>
      </c>
      <c r="BD257" s="131">
        <f t="shared" si="137"/>
        <v>7.3716373323580012E-2</v>
      </c>
      <c r="BE257" s="131">
        <f t="shared" si="138"/>
        <v>7.3716373323580012E-2</v>
      </c>
      <c r="BF257" s="365">
        <f t="shared" si="149"/>
        <v>6.5685623059708542E-2</v>
      </c>
      <c r="BG257" s="85">
        <f t="shared" si="139"/>
        <v>7562</v>
      </c>
      <c r="BH257" s="84">
        <f t="shared" si="140"/>
        <v>0</v>
      </c>
      <c r="BJ257" s="537">
        <f>_xll.EURO(BB257,BC257,BD257,BE257,BF257,BG257,1,0)*BH257</f>
        <v>0</v>
      </c>
      <c r="BK257" s="84">
        <f t="shared" si="141"/>
        <v>0</v>
      </c>
      <c r="BM257" s="84">
        <f t="shared" si="142"/>
        <v>0</v>
      </c>
    </row>
    <row r="258" spans="1:65" ht="14.4" thickBot="1">
      <c r="A258" s="78">
        <f t="shared" si="115"/>
        <v>252</v>
      </c>
      <c r="C258" s="78">
        <v>31</v>
      </c>
      <c r="D258" s="78" t="s">
        <v>72</v>
      </c>
      <c r="E258" s="113">
        <f t="shared" si="116"/>
        <v>44166</v>
      </c>
      <c r="F258" s="85">
        <f t="shared" si="112"/>
        <v>23</v>
      </c>
      <c r="G258" s="84">
        <f t="shared" si="158"/>
        <v>8</v>
      </c>
      <c r="H258" s="84">
        <f>SUM(F247:G258)</f>
        <v>366</v>
      </c>
      <c r="I258" s="84"/>
      <c r="K258" s="93">
        <f t="shared" si="147"/>
        <v>44166</v>
      </c>
      <c r="L258" s="510">
        <v>7.3704665286396021E-2</v>
      </c>
      <c r="M258" s="511">
        <v>6.4815669221322023E-2</v>
      </c>
      <c r="N258" s="132">
        <f t="shared" si="114"/>
        <v>0.22086572693958989</v>
      </c>
      <c r="O258" s="133">
        <f>VLOOKUP(K258,Inflation!$B$8:$C$266,2)</f>
        <v>1.7497633493964302</v>
      </c>
      <c r="P258" s="132"/>
      <c r="Q258" s="134">
        <f>VLOOKUP(K258,'Fuel Curve'!$B$11:$F$268,5)</f>
        <v>4.8474137931034491</v>
      </c>
      <c r="R258" s="484">
        <f>VLOOKUP(K258,'Fuel Curve Simulation'!$B$12:$J$258,9)</f>
        <v>4.8474137931034491</v>
      </c>
      <c r="S258" s="134">
        <f t="shared" si="120"/>
        <v>46.433376724137936</v>
      </c>
      <c r="T258" s="136"/>
      <c r="V258" s="144">
        <f t="shared" si="148"/>
        <v>33.249999618530275</v>
      </c>
      <c r="W258" s="486"/>
      <c r="X258" s="483">
        <f>'PJM Curve Simulation'!J258</f>
        <v>33.249999618530275</v>
      </c>
      <c r="Y258" s="512"/>
      <c r="AA258" s="78">
        <f t="shared" si="146"/>
        <v>315</v>
      </c>
      <c r="AB258" s="85">
        <f t="shared" si="121"/>
        <v>115920</v>
      </c>
      <c r="AD258" s="485">
        <f t="shared" si="125"/>
        <v>0</v>
      </c>
      <c r="AF258" s="150">
        <v>0</v>
      </c>
      <c r="AG258" s="150">
        <v>0</v>
      </c>
      <c r="AH258" s="150">
        <f t="shared" si="126"/>
        <v>0</v>
      </c>
      <c r="AI258" s="150">
        <f t="shared" si="127"/>
        <v>0</v>
      </c>
      <c r="AJ258" s="150">
        <f>(AD258*1000*$S$2)/1000000*R258</f>
        <v>0</v>
      </c>
      <c r="AK258" s="85">
        <f t="shared" si="152"/>
        <v>87488.167469821507</v>
      </c>
      <c r="AL258" s="85">
        <f t="shared" si="153"/>
        <v>223094.82704804486</v>
      </c>
      <c r="AM258" s="85">
        <f t="shared" si="154"/>
        <v>0</v>
      </c>
      <c r="AN258" s="85">
        <f t="shared" si="123"/>
        <v>200056.27628099185</v>
      </c>
      <c r="AO258" s="85">
        <f t="shared" si="155"/>
        <v>43744.083734910753</v>
      </c>
      <c r="AP258" s="81">
        <v>0</v>
      </c>
      <c r="AQ258" s="84">
        <f t="shared" si="156"/>
        <v>554383.35453376896</v>
      </c>
      <c r="AR258" s="85">
        <f t="shared" si="133"/>
        <v>21872.041867455377</v>
      </c>
      <c r="AS258" s="84">
        <f t="shared" si="151"/>
        <v>30387.755000000001</v>
      </c>
      <c r="AT258" s="85">
        <f t="shared" si="134"/>
        <v>0</v>
      </c>
      <c r="AU258" s="84">
        <f t="shared" si="135"/>
        <v>606643.15140122431</v>
      </c>
      <c r="AV258" s="84">
        <f t="shared" si="157"/>
        <v>-606643.15140122431</v>
      </c>
      <c r="AX258" s="93">
        <f t="shared" si="159"/>
        <v>44166</v>
      </c>
      <c r="AY258" s="145">
        <f ca="1">'Debt Amortization'!AB8</f>
        <v>11687152.783555735</v>
      </c>
      <c r="AZ258" s="145">
        <f ca="1">AY258*N258</f>
        <v>2581291.4953940888</v>
      </c>
      <c r="BA258" s="315"/>
      <c r="BB258" s="134">
        <f t="shared" si="136"/>
        <v>33.249999618530275</v>
      </c>
      <c r="BC258" s="134">
        <f>'Curve Analysis - Base Case'!D250</f>
        <v>49.932903422930799</v>
      </c>
      <c r="BD258" s="131">
        <f t="shared" si="137"/>
        <v>7.3704665286396021E-2</v>
      </c>
      <c r="BE258" s="131">
        <f t="shared" si="138"/>
        <v>7.3704665286396021E-2</v>
      </c>
      <c r="BF258" s="365">
        <f t="shared" si="149"/>
        <v>6.5685623059708542E-2</v>
      </c>
      <c r="BG258" s="85">
        <f t="shared" si="139"/>
        <v>7592</v>
      </c>
      <c r="BH258" s="84">
        <f t="shared" si="140"/>
        <v>0</v>
      </c>
      <c r="BJ258" s="537">
        <f>_xll.EURO(BB258,BC258,BD258,BE258,BF258,BG258,1,0)*BH258</f>
        <v>0</v>
      </c>
      <c r="BK258" s="84">
        <f t="shared" si="141"/>
        <v>0</v>
      </c>
      <c r="BM258" s="84">
        <f t="shared" si="142"/>
        <v>0</v>
      </c>
    </row>
    <row r="259" spans="1:65">
      <c r="A259" s="78">
        <f t="shared" si="115"/>
        <v>253</v>
      </c>
      <c r="C259" s="78">
        <v>31</v>
      </c>
      <c r="D259" s="78" t="s">
        <v>62</v>
      </c>
      <c r="E259" s="113">
        <f t="shared" si="116"/>
        <v>44197</v>
      </c>
      <c r="F259" s="85">
        <f t="shared" si="112"/>
        <v>23</v>
      </c>
      <c r="G259" s="84">
        <f>C259-F259</f>
        <v>8</v>
      </c>
      <c r="H259" s="84"/>
      <c r="I259" s="84"/>
      <c r="K259" s="93">
        <f t="shared" si="147"/>
        <v>44197</v>
      </c>
      <c r="L259" s="131">
        <v>7.3692566981353014E-2</v>
      </c>
      <c r="M259" s="131">
        <v>6.4752133935036996E-2</v>
      </c>
      <c r="N259" s="132">
        <f t="shared" si="114"/>
        <v>0.21956676284917168</v>
      </c>
      <c r="P259" s="132"/>
      <c r="AH259" s="150"/>
      <c r="AI259" s="499"/>
      <c r="AJ259" s="150"/>
      <c r="AX259" s="93"/>
      <c r="AY259" s="85">
        <f ca="1">SUM(AY8:AY258)</f>
        <v>118125000.00000007</v>
      </c>
      <c r="AZ259" s="85">
        <f ca="1">SUM(AZ8:AZ258)</f>
        <v>46274106.183517359</v>
      </c>
      <c r="BH259" s="146">
        <f>SUM(BH8:BH258)</f>
        <v>6935040</v>
      </c>
      <c r="BJ259" s="538">
        <f>SUM(BJ8:BJ258)</f>
        <v>146728833.38546032</v>
      </c>
      <c r="BK259" s="146">
        <f>SUM(BK8:BK258)</f>
        <v>148931234.46249551</v>
      </c>
      <c r="BM259" s="146">
        <f>SUM(BM8:BM258)</f>
        <v>-2202401.0770352129</v>
      </c>
    </row>
    <row r="260" spans="1:65">
      <c r="A260" s="78">
        <f t="shared" si="115"/>
        <v>254</v>
      </c>
      <c r="C260" s="78">
        <v>28</v>
      </c>
      <c r="D260" s="78" t="s">
        <v>63</v>
      </c>
      <c r="E260" s="113">
        <f t="shared" si="116"/>
        <v>44228</v>
      </c>
      <c r="F260" s="85">
        <f t="shared" ref="F260:F323" si="160">F212</f>
        <v>20</v>
      </c>
      <c r="G260" s="84">
        <f t="shared" ref="G260:G270" si="161">C260-F260</f>
        <v>8</v>
      </c>
      <c r="H260" s="84"/>
      <c r="I260" s="84"/>
      <c r="K260" s="93">
        <f t="shared" si="147"/>
        <v>44228</v>
      </c>
      <c r="L260" s="131">
        <v>7.368046867635801E-2</v>
      </c>
      <c r="M260" s="131">
        <v>6.4688598676853004E-2</v>
      </c>
      <c r="N260" s="132">
        <f t="shared" si="114"/>
        <v>0.21827587091943229</v>
      </c>
      <c r="P260" s="132"/>
      <c r="AI260" s="500"/>
      <c r="AJ260" s="150"/>
      <c r="AX260" s="93"/>
    </row>
    <row r="261" spans="1:65">
      <c r="A261" s="78">
        <f t="shared" si="115"/>
        <v>255</v>
      </c>
      <c r="C261" s="78">
        <v>31</v>
      </c>
      <c r="D261" s="78" t="s">
        <v>64</v>
      </c>
      <c r="E261" s="113">
        <f t="shared" si="116"/>
        <v>44256</v>
      </c>
      <c r="F261" s="85">
        <f t="shared" si="160"/>
        <v>22</v>
      </c>
      <c r="G261" s="84">
        <f t="shared" si="161"/>
        <v>9</v>
      </c>
      <c r="H261" s="84"/>
      <c r="I261" s="84"/>
      <c r="K261" s="93">
        <f t="shared" si="147"/>
        <v>44256</v>
      </c>
      <c r="L261" s="131">
        <v>7.3669541175114012E-2</v>
      </c>
      <c r="M261" s="131">
        <v>6.4631212016196024E-2</v>
      </c>
      <c r="N261" s="132">
        <f t="shared" si="114"/>
        <v>0.21711679848568105</v>
      </c>
      <c r="P261" s="132"/>
      <c r="AJ261" s="150"/>
      <c r="AX261" s="93"/>
    </row>
    <row r="262" spans="1:65">
      <c r="A262" s="78">
        <f t="shared" si="115"/>
        <v>256</v>
      </c>
      <c r="C262" s="78">
        <v>30</v>
      </c>
      <c r="D262" s="78" t="s">
        <v>65</v>
      </c>
      <c r="E262" s="113">
        <f t="shared" si="116"/>
        <v>44287</v>
      </c>
      <c r="F262" s="85">
        <f t="shared" si="160"/>
        <v>21</v>
      </c>
      <c r="G262" s="84">
        <f t="shared" si="161"/>
        <v>9</v>
      </c>
      <c r="H262" s="84"/>
      <c r="I262" s="84"/>
      <c r="K262" s="93">
        <f t="shared" si="147"/>
        <v>44287</v>
      </c>
      <c r="L262" s="131">
        <v>7.3657442870211018E-2</v>
      </c>
      <c r="M262" s="131">
        <v>6.4567676811498012E-2</v>
      </c>
      <c r="N262" s="132">
        <f t="shared" si="114"/>
        <v>0.21584112479546338</v>
      </c>
      <c r="P262" s="132"/>
      <c r="AX262" s="93"/>
    </row>
    <row r="263" spans="1:65">
      <c r="A263" s="78">
        <f t="shared" si="115"/>
        <v>257</v>
      </c>
      <c r="C263" s="78">
        <v>31</v>
      </c>
      <c r="D263" s="78" t="s">
        <v>38</v>
      </c>
      <c r="E263" s="113">
        <f t="shared" si="116"/>
        <v>44317</v>
      </c>
      <c r="F263" s="85">
        <f t="shared" si="160"/>
        <v>23</v>
      </c>
      <c r="G263" s="84">
        <f t="shared" si="161"/>
        <v>8</v>
      </c>
      <c r="H263" s="84"/>
      <c r="I263" s="84"/>
      <c r="K263" s="93">
        <f t="shared" si="147"/>
        <v>44317</v>
      </c>
      <c r="L263" s="131">
        <v>7.3645734833254026E-2</v>
      </c>
      <c r="M263" s="131">
        <v>6.4506191156291012E-2</v>
      </c>
      <c r="N263" s="132">
        <f t="shared" si="114"/>
        <v>0.21461414382474403</v>
      </c>
      <c r="P263" s="132"/>
      <c r="AX263" s="93"/>
      <c r="BJ263" s="85">
        <f>SUM(BJ252:BJ254)</f>
        <v>4243450.8352195024</v>
      </c>
    </row>
    <row r="264" spans="1:65">
      <c r="A264" s="78">
        <f t="shared" si="115"/>
        <v>258</v>
      </c>
      <c r="C264" s="78">
        <v>30</v>
      </c>
      <c r="D264" s="78" t="s">
        <v>66</v>
      </c>
      <c r="E264" s="113">
        <f t="shared" si="116"/>
        <v>44348</v>
      </c>
      <c r="F264" s="85">
        <f t="shared" si="160"/>
        <v>21</v>
      </c>
      <c r="G264" s="84">
        <f t="shared" si="161"/>
        <v>9</v>
      </c>
      <c r="H264" s="84"/>
      <c r="I264" s="84"/>
      <c r="K264" s="93">
        <f t="shared" si="147"/>
        <v>44348</v>
      </c>
      <c r="L264" s="131">
        <v>7.3633636528446025E-2</v>
      </c>
      <c r="M264" s="131">
        <v>6.4442656006896012E-2</v>
      </c>
      <c r="N264" s="132">
        <f t="shared" ref="N264:N327" si="162">(1+L264/2)^(-2*((K264+$T$1)-$K$1)/365.25)</f>
        <v>0.21335400668383986</v>
      </c>
      <c r="P264" s="132"/>
      <c r="AX264" s="93"/>
    </row>
    <row r="265" spans="1:65">
      <c r="A265" s="78">
        <f t="shared" ref="A265:A328" si="163">A264+1</f>
        <v>259</v>
      </c>
      <c r="C265" s="78">
        <v>31</v>
      </c>
      <c r="D265" s="78" t="s">
        <v>67</v>
      </c>
      <c r="E265" s="113">
        <f t="shared" ref="E265:E328" si="164">E264+C264</f>
        <v>44378</v>
      </c>
      <c r="F265" s="85">
        <f t="shared" si="160"/>
        <v>22</v>
      </c>
      <c r="G265" s="84">
        <f t="shared" si="161"/>
        <v>9</v>
      </c>
      <c r="H265" s="84"/>
      <c r="I265" s="84"/>
      <c r="K265" s="93">
        <f t="shared" si="147"/>
        <v>44378</v>
      </c>
      <c r="L265" s="131">
        <v>7.3621928491582E-2</v>
      </c>
      <c r="M265" s="131">
        <v>6.4381170405208007E-2</v>
      </c>
      <c r="N265" s="132">
        <f t="shared" si="162"/>
        <v>0.21214196485058784</v>
      </c>
      <c r="P265" s="132"/>
      <c r="AX265" s="93"/>
    </row>
    <row r="266" spans="1:65">
      <c r="A266" s="78">
        <f t="shared" si="163"/>
        <v>260</v>
      </c>
      <c r="C266" s="78">
        <v>31</v>
      </c>
      <c r="D266" s="78" t="s">
        <v>68</v>
      </c>
      <c r="E266" s="113">
        <f t="shared" si="164"/>
        <v>44409</v>
      </c>
      <c r="F266" s="85">
        <f t="shared" si="160"/>
        <v>23</v>
      </c>
      <c r="G266" s="84">
        <f t="shared" si="161"/>
        <v>8</v>
      </c>
      <c r="H266" s="84"/>
      <c r="I266" s="84"/>
      <c r="K266" s="93">
        <f t="shared" si="147"/>
        <v>44409</v>
      </c>
      <c r="L266" s="131">
        <v>7.3609830186869007E-2</v>
      </c>
      <c r="M266" s="131">
        <v>6.4317635311118004E-2</v>
      </c>
      <c r="N266" s="132">
        <f t="shared" si="162"/>
        <v>0.21089716604439246</v>
      </c>
      <c r="P266" s="132"/>
      <c r="AX266" s="93"/>
    </row>
    <row r="267" spans="1:65">
      <c r="A267" s="78">
        <f t="shared" si="163"/>
        <v>261</v>
      </c>
      <c r="C267" s="78">
        <v>30</v>
      </c>
      <c r="D267" s="78" t="s">
        <v>69</v>
      </c>
      <c r="E267" s="113">
        <f t="shared" si="164"/>
        <v>44440</v>
      </c>
      <c r="F267" s="85">
        <f t="shared" si="160"/>
        <v>20</v>
      </c>
      <c r="G267" s="84">
        <f t="shared" si="161"/>
        <v>10</v>
      </c>
      <c r="H267" s="84"/>
      <c r="I267" s="84"/>
      <c r="K267" s="93">
        <f t="shared" si="147"/>
        <v>44440</v>
      </c>
      <c r="L267" s="131">
        <v>7.3597731882205017E-2</v>
      </c>
      <c r="M267" s="131">
        <v>6.4254100245135004E-2</v>
      </c>
      <c r="N267" s="132">
        <f t="shared" si="162"/>
        <v>0.20966008701299038</v>
      </c>
      <c r="P267" s="132"/>
      <c r="AX267" s="93"/>
    </row>
    <row r="268" spans="1:65">
      <c r="A268" s="78">
        <f t="shared" si="163"/>
        <v>262</v>
      </c>
      <c r="C268" s="78">
        <v>31</v>
      </c>
      <c r="D268" s="78" t="s">
        <v>70</v>
      </c>
      <c r="E268" s="113">
        <f t="shared" si="164"/>
        <v>44470</v>
      </c>
      <c r="F268" s="85">
        <f t="shared" si="160"/>
        <v>23</v>
      </c>
      <c r="G268" s="84">
        <f t="shared" si="161"/>
        <v>8</v>
      </c>
      <c r="H268" s="84"/>
      <c r="I268" s="84"/>
      <c r="K268" s="93">
        <f t="shared" si="147"/>
        <v>44470</v>
      </c>
      <c r="L268" s="131">
        <v>7.3586023845479007E-2</v>
      </c>
      <c r="M268" s="131">
        <v>6.4192614724173008E-2</v>
      </c>
      <c r="N268" s="132">
        <f t="shared" si="162"/>
        <v>0.20847021675419761</v>
      </c>
      <c r="P268" s="132"/>
      <c r="AX268" s="93"/>
    </row>
    <row r="269" spans="1:65">
      <c r="A269" s="78">
        <f t="shared" si="163"/>
        <v>263</v>
      </c>
      <c r="C269" s="78">
        <v>30</v>
      </c>
      <c r="D269" s="78" t="s">
        <v>71</v>
      </c>
      <c r="E269" s="113">
        <f t="shared" si="164"/>
        <v>44501</v>
      </c>
      <c r="F269" s="85">
        <f t="shared" si="160"/>
        <v>22</v>
      </c>
      <c r="G269" s="84">
        <f t="shared" si="161"/>
        <v>8</v>
      </c>
      <c r="H269" s="84"/>
      <c r="I269" s="84"/>
      <c r="K269" s="93">
        <f t="shared" si="147"/>
        <v>44501</v>
      </c>
      <c r="L269" s="131">
        <v>7.3573925540909024E-2</v>
      </c>
      <c r="M269" s="131">
        <v>6.4129079713500015E-2</v>
      </c>
      <c r="N269" s="132">
        <f t="shared" si="162"/>
        <v>0.20724818208037862</v>
      </c>
      <c r="P269" s="132"/>
      <c r="AX269" s="93"/>
    </row>
    <row r="270" spans="1:65">
      <c r="A270" s="78">
        <f t="shared" si="163"/>
        <v>264</v>
      </c>
      <c r="C270" s="78">
        <v>31</v>
      </c>
      <c r="D270" s="78" t="s">
        <v>72</v>
      </c>
      <c r="E270" s="113">
        <f t="shared" si="164"/>
        <v>44531</v>
      </c>
      <c r="F270" s="85">
        <f t="shared" si="160"/>
        <v>21</v>
      </c>
      <c r="G270" s="84">
        <f t="shared" si="161"/>
        <v>10</v>
      </c>
      <c r="H270" s="84">
        <f>SUM(F259:G270)</f>
        <v>365</v>
      </c>
      <c r="I270" s="84"/>
      <c r="K270" s="93">
        <f t="shared" si="147"/>
        <v>44531</v>
      </c>
      <c r="L270" s="131">
        <v>7.3562217504275024E-2</v>
      </c>
      <c r="M270" s="131">
        <v>6.4067594246065021E-2</v>
      </c>
      <c r="N270" s="132">
        <f t="shared" si="162"/>
        <v>0.20607277781854552</v>
      </c>
      <c r="P270" s="132"/>
      <c r="AX270" s="93"/>
      <c r="AZ270" s="85">
        <f>AY270*N270</f>
        <v>0</v>
      </c>
    </row>
    <row r="271" spans="1:65">
      <c r="A271" s="78">
        <f t="shared" si="163"/>
        <v>265</v>
      </c>
      <c r="C271" s="78">
        <v>31</v>
      </c>
      <c r="D271" s="78" t="s">
        <v>62</v>
      </c>
      <c r="E271" s="113">
        <f t="shared" si="164"/>
        <v>44562</v>
      </c>
      <c r="F271" s="85">
        <f t="shared" si="160"/>
        <v>23</v>
      </c>
      <c r="G271" s="84">
        <f>C271-F271</f>
        <v>8</v>
      </c>
      <c r="H271" s="84"/>
      <c r="I271" s="84"/>
      <c r="K271" s="93">
        <f t="shared" si="147"/>
        <v>44562</v>
      </c>
      <c r="L271" s="131">
        <v>7.355011919980102E-2</v>
      </c>
      <c r="M271" s="131">
        <v>6.4004059290706017E-2</v>
      </c>
      <c r="N271" s="132">
        <f t="shared" si="162"/>
        <v>0.2048655958246495</v>
      </c>
      <c r="P271" s="132"/>
      <c r="AX271" s="93"/>
    </row>
    <row r="272" spans="1:65">
      <c r="A272" s="78">
        <f t="shared" si="163"/>
        <v>266</v>
      </c>
      <c r="C272" s="78">
        <v>28</v>
      </c>
      <c r="D272" s="78" t="s">
        <v>63</v>
      </c>
      <c r="E272" s="113">
        <f t="shared" si="164"/>
        <v>44593</v>
      </c>
      <c r="F272" s="85">
        <f t="shared" si="160"/>
        <v>20</v>
      </c>
      <c r="G272" s="84">
        <f t="shared" ref="G272:G282" si="165">C272-F272</f>
        <v>8</v>
      </c>
      <c r="H272" s="84"/>
      <c r="I272" s="84"/>
      <c r="K272" s="93">
        <f t="shared" si="147"/>
        <v>44593</v>
      </c>
      <c r="L272" s="131">
        <v>7.353802089537502E-2</v>
      </c>
      <c r="M272" s="131">
        <v>6.3940524363460011E-2</v>
      </c>
      <c r="N272" s="132">
        <f t="shared" si="162"/>
        <v>0.20366588927365284</v>
      </c>
      <c r="P272" s="132"/>
      <c r="AX272" s="93"/>
    </row>
    <row r="273" spans="1:52">
      <c r="A273" s="78">
        <f t="shared" si="163"/>
        <v>267</v>
      </c>
      <c r="C273" s="78">
        <v>31</v>
      </c>
      <c r="D273" s="78" t="s">
        <v>64</v>
      </c>
      <c r="E273" s="113">
        <f t="shared" si="164"/>
        <v>44621</v>
      </c>
      <c r="F273" s="85">
        <f t="shared" si="160"/>
        <v>21</v>
      </c>
      <c r="G273" s="84">
        <f t="shared" si="165"/>
        <v>10</v>
      </c>
      <c r="H273" s="84"/>
      <c r="I273" s="84"/>
      <c r="K273" s="93">
        <f t="shared" si="147"/>
        <v>44621</v>
      </c>
      <c r="L273" s="131">
        <v>7.3527093394645013E-2</v>
      </c>
      <c r="M273" s="131">
        <v>6.3883138001722017E-2</v>
      </c>
      <c r="N273" s="132">
        <f t="shared" si="162"/>
        <v>0.20258866829761304</v>
      </c>
      <c r="P273" s="132"/>
      <c r="AX273" s="93"/>
    </row>
    <row r="274" spans="1:52">
      <c r="A274" s="78">
        <f t="shared" si="163"/>
        <v>268</v>
      </c>
      <c r="C274" s="78">
        <v>30</v>
      </c>
      <c r="D274" s="78" t="s">
        <v>65</v>
      </c>
      <c r="E274" s="113">
        <f t="shared" si="164"/>
        <v>44652</v>
      </c>
      <c r="F274" s="85">
        <f t="shared" si="160"/>
        <v>22</v>
      </c>
      <c r="G274" s="84">
        <f t="shared" si="165"/>
        <v>8</v>
      </c>
      <c r="H274" s="84"/>
      <c r="I274" s="84"/>
      <c r="K274" s="93">
        <f t="shared" si="147"/>
        <v>44652</v>
      </c>
      <c r="L274" s="131">
        <v>7.3514995090311008E-2</v>
      </c>
      <c r="M274" s="131">
        <v>6.3819603127980018E-2</v>
      </c>
      <c r="N274" s="132">
        <f t="shared" si="162"/>
        <v>0.20140305543900211</v>
      </c>
      <c r="P274" s="132"/>
      <c r="AX274" s="93"/>
    </row>
    <row r="275" spans="1:52">
      <c r="A275" s="78">
        <f t="shared" si="163"/>
        <v>269</v>
      </c>
      <c r="C275" s="78">
        <v>31</v>
      </c>
      <c r="D275" s="78" t="s">
        <v>38</v>
      </c>
      <c r="E275" s="113">
        <f t="shared" si="164"/>
        <v>44682</v>
      </c>
      <c r="F275" s="85">
        <f t="shared" si="160"/>
        <v>23</v>
      </c>
      <c r="G275" s="84">
        <f t="shared" si="165"/>
        <v>8</v>
      </c>
      <c r="H275" s="84"/>
      <c r="I275" s="84"/>
      <c r="K275" s="93">
        <f t="shared" si="147"/>
        <v>44682</v>
      </c>
      <c r="L275" s="131">
        <v>7.350328705390502E-2</v>
      </c>
      <c r="M275" s="131">
        <v>6.3758117793061009E-2</v>
      </c>
      <c r="N275" s="132">
        <f t="shared" si="162"/>
        <v>0.20026267301311473</v>
      </c>
      <c r="P275" s="132"/>
      <c r="AX275" s="93"/>
    </row>
    <row r="276" spans="1:52">
      <c r="A276" s="78">
        <f t="shared" si="163"/>
        <v>270</v>
      </c>
      <c r="C276" s="78">
        <v>30</v>
      </c>
      <c r="D276" s="78" t="s">
        <v>66</v>
      </c>
      <c r="E276" s="113">
        <f t="shared" si="164"/>
        <v>44713</v>
      </c>
      <c r="F276" s="85">
        <f t="shared" si="160"/>
        <v>20</v>
      </c>
      <c r="G276" s="84">
        <f t="shared" si="165"/>
        <v>10</v>
      </c>
      <c r="H276" s="84"/>
      <c r="I276" s="84"/>
      <c r="K276" s="93">
        <f t="shared" si="147"/>
        <v>44713</v>
      </c>
      <c r="L276" s="131">
        <v>7.3491188749666009E-2</v>
      </c>
      <c r="M276" s="131">
        <v>6.3694582974641006E-2</v>
      </c>
      <c r="N276" s="132">
        <f t="shared" si="162"/>
        <v>0.19909144922076616</v>
      </c>
      <c r="P276" s="132"/>
      <c r="AX276" s="93"/>
    </row>
    <row r="277" spans="1:52">
      <c r="A277" s="78">
        <f t="shared" si="163"/>
        <v>271</v>
      </c>
      <c r="C277" s="78">
        <v>31</v>
      </c>
      <c r="D277" s="78" t="s">
        <v>67</v>
      </c>
      <c r="E277" s="113">
        <f t="shared" si="164"/>
        <v>44743</v>
      </c>
      <c r="F277" s="85">
        <f t="shared" si="160"/>
        <v>23</v>
      </c>
      <c r="G277" s="84">
        <f t="shared" si="165"/>
        <v>8</v>
      </c>
      <c r="H277" s="84"/>
      <c r="I277" s="84"/>
      <c r="K277" s="93">
        <f t="shared" si="147"/>
        <v>44743</v>
      </c>
      <c r="L277" s="131">
        <v>7.3479480713352002E-2</v>
      </c>
      <c r="M277" s="131">
        <v>6.3633097693262017E-2</v>
      </c>
      <c r="N277" s="132">
        <f t="shared" si="162"/>
        <v>0.19796490285854521</v>
      </c>
      <c r="P277" s="132"/>
      <c r="AX277" s="93"/>
    </row>
    <row r="278" spans="1:52">
      <c r="A278" s="78">
        <f t="shared" si="163"/>
        <v>272</v>
      </c>
      <c r="C278" s="78">
        <v>31</v>
      </c>
      <c r="D278" s="78" t="s">
        <v>68</v>
      </c>
      <c r="E278" s="113">
        <f t="shared" si="164"/>
        <v>44774</v>
      </c>
      <c r="F278" s="85">
        <f t="shared" si="160"/>
        <v>22</v>
      </c>
      <c r="G278" s="84">
        <f t="shared" si="165"/>
        <v>9</v>
      </c>
      <c r="H278" s="84"/>
      <c r="I278" s="84"/>
      <c r="K278" s="93">
        <f t="shared" si="147"/>
        <v>44774</v>
      </c>
      <c r="L278" s="131">
        <v>7.3467382409208012E-2</v>
      </c>
      <c r="M278" s="131">
        <v>6.356956293016601E-2</v>
      </c>
      <c r="N278" s="132">
        <f t="shared" si="162"/>
        <v>0.19680788514504763</v>
      </c>
      <c r="P278" s="132"/>
      <c r="AX278" s="93"/>
    </row>
    <row r="279" spans="1:52">
      <c r="A279" s="78">
        <f t="shared" si="163"/>
        <v>273</v>
      </c>
      <c r="C279" s="78">
        <v>30</v>
      </c>
      <c r="D279" s="78" t="s">
        <v>69</v>
      </c>
      <c r="E279" s="113">
        <f t="shared" si="164"/>
        <v>44805</v>
      </c>
      <c r="F279" s="85">
        <f t="shared" si="160"/>
        <v>21</v>
      </c>
      <c r="G279" s="84">
        <f t="shared" si="165"/>
        <v>9</v>
      </c>
      <c r="H279" s="84"/>
      <c r="I279" s="84"/>
      <c r="K279" s="93">
        <f t="shared" si="147"/>
        <v>44805</v>
      </c>
      <c r="L279" s="131">
        <v>7.3455284105111998E-2</v>
      </c>
      <c r="M279" s="131">
        <v>6.3506028195188011E-2</v>
      </c>
      <c r="N279" s="132">
        <f t="shared" si="162"/>
        <v>0.19565801756590298</v>
      </c>
      <c r="P279" s="132"/>
      <c r="AX279" s="93"/>
    </row>
    <row r="280" spans="1:52">
      <c r="A280" s="78">
        <f t="shared" si="163"/>
        <v>274</v>
      </c>
      <c r="C280" s="78">
        <v>31</v>
      </c>
      <c r="D280" s="78" t="s">
        <v>70</v>
      </c>
      <c r="E280" s="113">
        <f t="shared" si="164"/>
        <v>44835</v>
      </c>
      <c r="F280" s="85">
        <f t="shared" si="160"/>
        <v>23</v>
      </c>
      <c r="G280" s="84">
        <f t="shared" si="165"/>
        <v>8</v>
      </c>
      <c r="H280" s="84"/>
      <c r="I280" s="84"/>
      <c r="K280" s="93">
        <f t="shared" si="147"/>
        <v>44835</v>
      </c>
      <c r="L280" s="131">
        <v>7.3443576068937019E-2</v>
      </c>
      <c r="M280" s="131">
        <v>6.344454299456101E-2</v>
      </c>
      <c r="N280" s="132">
        <f t="shared" si="162"/>
        <v>0.19455200674082967</v>
      </c>
      <c r="P280" s="132"/>
      <c r="AX280" s="93"/>
    </row>
    <row r="281" spans="1:52">
      <c r="A281" s="78">
        <f t="shared" si="163"/>
        <v>275</v>
      </c>
      <c r="C281" s="78">
        <v>30</v>
      </c>
      <c r="D281" s="78" t="s">
        <v>71</v>
      </c>
      <c r="E281" s="113">
        <f t="shared" si="164"/>
        <v>44866</v>
      </c>
      <c r="F281" s="85">
        <f t="shared" si="160"/>
        <v>21</v>
      </c>
      <c r="G281" s="84">
        <f t="shared" si="165"/>
        <v>9</v>
      </c>
      <c r="H281" s="84"/>
      <c r="I281" s="84"/>
      <c r="K281" s="93">
        <f t="shared" si="147"/>
        <v>44866</v>
      </c>
      <c r="L281" s="131">
        <v>7.3431477764936998E-2</v>
      </c>
      <c r="M281" s="131">
        <v>6.3381008314912016E-2</v>
      </c>
      <c r="N281" s="132">
        <f t="shared" si="162"/>
        <v>0.19341607383365444</v>
      </c>
      <c r="P281" s="132"/>
      <c r="AX281" s="93"/>
    </row>
    <row r="282" spans="1:52">
      <c r="A282" s="78">
        <f t="shared" si="163"/>
        <v>276</v>
      </c>
      <c r="C282" s="78">
        <v>31</v>
      </c>
      <c r="D282" s="78" t="s">
        <v>72</v>
      </c>
      <c r="E282" s="113">
        <f t="shared" si="164"/>
        <v>44896</v>
      </c>
      <c r="F282" s="85">
        <f t="shared" si="160"/>
        <v>22</v>
      </c>
      <c r="G282" s="84">
        <f t="shared" si="165"/>
        <v>9</v>
      </c>
      <c r="H282" s="84">
        <f>SUM(F271:G282)</f>
        <v>365</v>
      </c>
      <c r="I282" s="84"/>
      <c r="K282" s="93">
        <f t="shared" si="147"/>
        <v>44896</v>
      </c>
      <c r="L282" s="131">
        <v>7.3419769728853015E-2</v>
      </c>
      <c r="M282" s="131">
        <v>6.3319523167833014E-2</v>
      </c>
      <c r="N282" s="132">
        <f t="shared" si="162"/>
        <v>0.19232346225743904</v>
      </c>
      <c r="P282" s="132"/>
      <c r="AX282" s="93"/>
      <c r="AZ282" s="85">
        <f>AY282*N282</f>
        <v>0</v>
      </c>
    </row>
    <row r="283" spans="1:52">
      <c r="A283" s="78">
        <f t="shared" si="163"/>
        <v>277</v>
      </c>
      <c r="C283" s="78">
        <v>31</v>
      </c>
      <c r="D283" s="78" t="s">
        <v>62</v>
      </c>
      <c r="E283" s="113">
        <f t="shared" si="164"/>
        <v>44927</v>
      </c>
      <c r="F283" s="85">
        <f t="shared" si="160"/>
        <v>23</v>
      </c>
      <c r="G283" s="84">
        <f>C283-F283</f>
        <v>8</v>
      </c>
      <c r="H283" s="84"/>
      <c r="I283" s="84"/>
      <c r="K283" s="93">
        <f t="shared" si="147"/>
        <v>44927</v>
      </c>
      <c r="L283" s="131">
        <v>7.3407671424948015E-2</v>
      </c>
      <c r="M283" s="131">
        <v>6.3255988543518007E-2</v>
      </c>
      <c r="N283" s="132">
        <f t="shared" si="162"/>
        <v>0.19120128705186679</v>
      </c>
      <c r="P283" s="132"/>
      <c r="AX283" s="93"/>
    </row>
    <row r="284" spans="1:52">
      <c r="A284" s="78">
        <f t="shared" si="163"/>
        <v>278</v>
      </c>
      <c r="C284" s="78">
        <v>28</v>
      </c>
      <c r="D284" s="78" t="s">
        <v>63</v>
      </c>
      <c r="E284" s="113">
        <f t="shared" si="164"/>
        <v>44958</v>
      </c>
      <c r="F284" s="85">
        <f t="shared" si="160"/>
        <v>20</v>
      </c>
      <c r="G284" s="84">
        <f t="shared" ref="G284:G294" si="166">C284-F284</f>
        <v>8</v>
      </c>
      <c r="H284" s="84"/>
      <c r="I284" s="84"/>
      <c r="K284" s="93">
        <f t="shared" si="147"/>
        <v>44958</v>
      </c>
      <c r="L284" s="131">
        <v>7.3395573121091004E-2</v>
      </c>
      <c r="M284" s="131">
        <v>6.3192453947324007E-2</v>
      </c>
      <c r="N284" s="132">
        <f t="shared" si="162"/>
        <v>0.19008603639619231</v>
      </c>
      <c r="P284" s="132"/>
    </row>
    <row r="285" spans="1:52">
      <c r="A285" s="78">
        <f t="shared" si="163"/>
        <v>279</v>
      </c>
      <c r="C285" s="78">
        <v>31</v>
      </c>
      <c r="D285" s="78" t="s">
        <v>64</v>
      </c>
      <c r="E285" s="113">
        <f t="shared" si="164"/>
        <v>44986</v>
      </c>
      <c r="F285" s="85">
        <f t="shared" si="160"/>
        <v>21</v>
      </c>
      <c r="G285" s="84">
        <f t="shared" si="166"/>
        <v>10</v>
      </c>
      <c r="H285" s="84"/>
      <c r="I285" s="84"/>
      <c r="K285" s="93">
        <f t="shared" si="147"/>
        <v>44986</v>
      </c>
      <c r="L285" s="131">
        <v>7.3384645620874017E-2</v>
      </c>
      <c r="M285" s="131">
        <v>6.3135067884611026E-2</v>
      </c>
      <c r="N285" s="132">
        <f t="shared" si="162"/>
        <v>0.18908462775472357</v>
      </c>
      <c r="P285" s="132"/>
    </row>
    <row r="286" spans="1:52">
      <c r="A286" s="78">
        <f t="shared" si="163"/>
        <v>280</v>
      </c>
      <c r="C286" s="78">
        <v>30</v>
      </c>
      <c r="D286" s="78" t="s">
        <v>65</v>
      </c>
      <c r="E286" s="113">
        <f t="shared" si="164"/>
        <v>45017</v>
      </c>
      <c r="F286" s="85">
        <f t="shared" si="160"/>
        <v>22</v>
      </c>
      <c r="G286" s="84">
        <f t="shared" si="166"/>
        <v>8</v>
      </c>
      <c r="H286" s="84"/>
      <c r="I286" s="84"/>
      <c r="K286" s="93">
        <f t="shared" si="147"/>
        <v>45017</v>
      </c>
      <c r="L286" s="131">
        <v>7.3372547317109016E-2</v>
      </c>
      <c r="M286" s="131">
        <v>6.3071533341940017E-2</v>
      </c>
      <c r="N286" s="132">
        <f t="shared" si="162"/>
        <v>0.1879824325730291</v>
      </c>
      <c r="P286" s="132"/>
    </row>
    <row r="287" spans="1:52">
      <c r="A287" s="78">
        <f t="shared" si="163"/>
        <v>281</v>
      </c>
      <c r="C287" s="78">
        <v>31</v>
      </c>
      <c r="D287" s="78" t="s">
        <v>38</v>
      </c>
      <c r="E287" s="113">
        <f t="shared" si="164"/>
        <v>45047</v>
      </c>
      <c r="F287" s="85">
        <f t="shared" si="160"/>
        <v>22</v>
      </c>
      <c r="G287" s="84">
        <f t="shared" si="166"/>
        <v>9</v>
      </c>
      <c r="H287" s="84"/>
      <c r="I287" s="84"/>
      <c r="K287" s="93">
        <f t="shared" si="147"/>
        <v>45047</v>
      </c>
      <c r="L287" s="131">
        <v>7.3360839281253004E-2</v>
      </c>
      <c r="M287" s="131">
        <v>6.3010048327425003E-2</v>
      </c>
      <c r="N287" s="132">
        <f t="shared" si="162"/>
        <v>0.18692226258463618</v>
      </c>
      <c r="P287" s="132"/>
    </row>
    <row r="288" spans="1:52">
      <c r="A288" s="78">
        <f t="shared" si="163"/>
        <v>282</v>
      </c>
      <c r="C288" s="78">
        <v>30</v>
      </c>
      <c r="D288" s="78" t="s">
        <v>66</v>
      </c>
      <c r="E288" s="113">
        <f t="shared" si="164"/>
        <v>45078</v>
      </c>
      <c r="F288" s="85">
        <f t="shared" si="160"/>
        <v>21</v>
      </c>
      <c r="G288" s="84">
        <f t="shared" si="166"/>
        <v>9</v>
      </c>
      <c r="H288" s="84"/>
      <c r="I288" s="84"/>
      <c r="K288" s="93">
        <f t="shared" si="147"/>
        <v>45078</v>
      </c>
      <c r="L288" s="131">
        <v>7.3348740977584023E-2</v>
      </c>
      <c r="M288" s="131">
        <v>6.2946513840096016E-2</v>
      </c>
      <c r="N288" s="132">
        <f t="shared" si="162"/>
        <v>0.18583339703397722</v>
      </c>
      <c r="P288" s="132"/>
    </row>
    <row r="289" spans="1:52">
      <c r="A289" s="78">
        <f t="shared" si="163"/>
        <v>283</v>
      </c>
      <c r="C289" s="78">
        <v>31</v>
      </c>
      <c r="D289" s="78" t="s">
        <v>67</v>
      </c>
      <c r="E289" s="113">
        <f t="shared" si="164"/>
        <v>45108</v>
      </c>
      <c r="F289" s="85">
        <f t="shared" si="160"/>
        <v>23</v>
      </c>
      <c r="G289" s="84">
        <f t="shared" si="166"/>
        <v>8</v>
      </c>
      <c r="H289" s="84"/>
      <c r="I289" s="84"/>
      <c r="K289" s="93">
        <f t="shared" si="147"/>
        <v>45108</v>
      </c>
      <c r="L289" s="131">
        <v>7.3337032941820021E-2</v>
      </c>
      <c r="M289" s="131">
        <v>6.2885028879136023E-2</v>
      </c>
      <c r="N289" s="132">
        <f t="shared" si="162"/>
        <v>0.18478604465535436</v>
      </c>
      <c r="P289" s="132"/>
    </row>
    <row r="290" spans="1:52">
      <c r="A290" s="78">
        <f t="shared" si="163"/>
        <v>284</v>
      </c>
      <c r="C290" s="78">
        <v>31</v>
      </c>
      <c r="D290" s="78" t="s">
        <v>68</v>
      </c>
      <c r="E290" s="113">
        <f t="shared" si="164"/>
        <v>45139</v>
      </c>
      <c r="F290" s="85">
        <f t="shared" si="160"/>
        <v>21</v>
      </c>
      <c r="G290" s="84">
        <f t="shared" si="166"/>
        <v>10</v>
      </c>
      <c r="H290" s="84"/>
      <c r="I290" s="84"/>
      <c r="K290" s="93">
        <f t="shared" si="147"/>
        <v>45139</v>
      </c>
      <c r="L290" s="131">
        <v>7.3324934638245007E-2</v>
      </c>
      <c r="M290" s="131">
        <v>6.2821494447152015E-2</v>
      </c>
      <c r="N290" s="132">
        <f t="shared" si="162"/>
        <v>0.18371033976535853</v>
      </c>
      <c r="P290" s="132"/>
    </row>
    <row r="291" spans="1:52">
      <c r="A291" s="78">
        <f t="shared" si="163"/>
        <v>285</v>
      </c>
      <c r="C291" s="78">
        <v>30</v>
      </c>
      <c r="D291" s="78" t="s">
        <v>69</v>
      </c>
      <c r="E291" s="113">
        <f t="shared" si="164"/>
        <v>45170</v>
      </c>
      <c r="F291" s="85">
        <f t="shared" si="160"/>
        <v>22</v>
      </c>
      <c r="G291" s="84">
        <f t="shared" si="166"/>
        <v>8</v>
      </c>
      <c r="H291" s="84"/>
      <c r="I291" s="84"/>
      <c r="K291" s="93">
        <f t="shared" si="147"/>
        <v>45170</v>
      </c>
      <c r="L291" s="131">
        <v>7.3312836334717996E-2</v>
      </c>
      <c r="M291" s="131">
        <v>6.2757960043294023E-2</v>
      </c>
      <c r="N291" s="132">
        <f t="shared" si="162"/>
        <v>0.18264125904163639</v>
      </c>
      <c r="P291" s="132"/>
    </row>
    <row r="292" spans="1:52">
      <c r="A292" s="78">
        <f t="shared" si="163"/>
        <v>286</v>
      </c>
      <c r="C292" s="78">
        <v>31</v>
      </c>
      <c r="D292" s="78" t="s">
        <v>70</v>
      </c>
      <c r="E292" s="113">
        <f t="shared" si="164"/>
        <v>45200</v>
      </c>
      <c r="F292" s="85">
        <f t="shared" si="160"/>
        <v>23</v>
      </c>
      <c r="G292" s="84">
        <f t="shared" si="166"/>
        <v>8</v>
      </c>
      <c r="H292" s="84"/>
      <c r="I292" s="84"/>
      <c r="K292" s="93">
        <f t="shared" si="147"/>
        <v>45200</v>
      </c>
      <c r="L292" s="131">
        <v>7.3301128299094021E-2</v>
      </c>
      <c r="M292" s="131">
        <v>6.2696475163117993E-2</v>
      </c>
      <c r="N292" s="132">
        <f t="shared" si="162"/>
        <v>0.18161293159230696</v>
      </c>
      <c r="P292" s="132"/>
    </row>
    <row r="293" spans="1:52">
      <c r="A293" s="78">
        <f t="shared" si="163"/>
        <v>287</v>
      </c>
      <c r="C293" s="78">
        <v>30</v>
      </c>
      <c r="D293" s="78" t="s">
        <v>71</v>
      </c>
      <c r="E293" s="113">
        <f t="shared" si="164"/>
        <v>45231</v>
      </c>
      <c r="F293" s="85">
        <f t="shared" si="160"/>
        <v>20</v>
      </c>
      <c r="G293" s="84">
        <f t="shared" si="166"/>
        <v>10</v>
      </c>
      <c r="H293" s="84"/>
      <c r="I293" s="84"/>
      <c r="K293" s="93">
        <f t="shared" si="147"/>
        <v>45231</v>
      </c>
      <c r="L293" s="131">
        <v>7.3289029995662031E-2</v>
      </c>
      <c r="M293" s="131">
        <v>6.2632940814609017E-2</v>
      </c>
      <c r="N293" s="132">
        <f t="shared" si="162"/>
        <v>0.18055676089988507</v>
      </c>
      <c r="P293" s="132"/>
    </row>
    <row r="294" spans="1:52">
      <c r="A294" s="78">
        <f t="shared" si="163"/>
        <v>288</v>
      </c>
      <c r="C294" s="78">
        <v>31</v>
      </c>
      <c r="D294" s="78" t="s">
        <v>72</v>
      </c>
      <c r="E294" s="113">
        <f t="shared" si="164"/>
        <v>45261</v>
      </c>
      <c r="F294" s="85">
        <f t="shared" si="160"/>
        <v>23</v>
      </c>
      <c r="G294" s="84">
        <f t="shared" si="166"/>
        <v>8</v>
      </c>
      <c r="H294" s="84">
        <f>SUM(F283:G294)</f>
        <v>365</v>
      </c>
      <c r="I294" s="84"/>
      <c r="K294" s="93">
        <f t="shared" si="147"/>
        <v>45261</v>
      </c>
      <c r="L294" s="131">
        <v>7.327732196012901E-2</v>
      </c>
      <c r="M294" s="131">
        <v>6.2571455987999999E-2</v>
      </c>
      <c r="N294" s="132">
        <f t="shared" si="162"/>
        <v>0.17954084768588888</v>
      </c>
      <c r="P294" s="132"/>
      <c r="AZ294" s="85">
        <f>AY294*N294</f>
        <v>0</v>
      </c>
    </row>
    <row r="295" spans="1:52">
      <c r="A295" s="78">
        <f t="shared" si="163"/>
        <v>289</v>
      </c>
      <c r="C295" s="78">
        <v>31</v>
      </c>
      <c r="D295" s="78" t="s">
        <v>62</v>
      </c>
      <c r="E295" s="113">
        <f t="shared" si="164"/>
        <v>45292</v>
      </c>
      <c r="F295" s="85">
        <f t="shared" si="160"/>
        <v>22</v>
      </c>
      <c r="G295" s="84">
        <f>C295-F295</f>
        <v>9</v>
      </c>
      <c r="H295" s="84"/>
      <c r="I295" s="84"/>
      <c r="K295" s="93">
        <f t="shared" ref="K295:K358" si="167">E295</f>
        <v>45292</v>
      </c>
      <c r="L295" s="131">
        <v>7.3265223656793013E-2</v>
      </c>
      <c r="M295" s="131">
        <v>6.2507921694842011E-2</v>
      </c>
      <c r="N295" s="132">
        <f t="shared" si="162"/>
        <v>0.17849742359414381</v>
      </c>
      <c r="P295" s="132"/>
    </row>
    <row r="296" spans="1:52">
      <c r="A296" s="78">
        <f t="shared" si="163"/>
        <v>290</v>
      </c>
      <c r="C296" s="140">
        <v>29</v>
      </c>
      <c r="D296" s="141" t="s">
        <v>63</v>
      </c>
      <c r="E296" s="113">
        <f t="shared" si="164"/>
        <v>45323</v>
      </c>
      <c r="F296" s="85">
        <f t="shared" si="160"/>
        <v>20</v>
      </c>
      <c r="G296" s="84">
        <f t="shared" ref="G296:G306" si="168">C296-F296</f>
        <v>9</v>
      </c>
      <c r="H296" s="84"/>
      <c r="I296" s="84"/>
      <c r="K296" s="93">
        <f t="shared" si="167"/>
        <v>45323</v>
      </c>
      <c r="L296" s="131">
        <v>7.3253125353505005E-2</v>
      </c>
      <c r="M296" s="131">
        <v>6.2444387429819018E-2</v>
      </c>
      <c r="N296" s="132">
        <f t="shared" si="162"/>
        <v>0.17746041534340659</v>
      </c>
      <c r="P296" s="132"/>
    </row>
    <row r="297" spans="1:52">
      <c r="A297" s="78">
        <f t="shared" si="163"/>
        <v>291</v>
      </c>
      <c r="C297" s="78">
        <v>31</v>
      </c>
      <c r="D297" s="78" t="s">
        <v>64</v>
      </c>
      <c r="E297" s="113">
        <f t="shared" si="164"/>
        <v>45352</v>
      </c>
      <c r="F297" s="85">
        <f t="shared" si="160"/>
        <v>23</v>
      </c>
      <c r="G297" s="84">
        <f t="shared" si="168"/>
        <v>8</v>
      </c>
      <c r="H297" s="84"/>
      <c r="I297" s="84"/>
      <c r="K297" s="93">
        <f t="shared" si="167"/>
        <v>45352</v>
      </c>
      <c r="L297" s="131">
        <v>7.3241807585957011E-2</v>
      </c>
      <c r="M297" s="131">
        <v>6.2384952175103002E-2</v>
      </c>
      <c r="N297" s="132">
        <f t="shared" si="162"/>
        <v>0.17649608250440901</v>
      </c>
      <c r="P297" s="132"/>
    </row>
    <row r="298" spans="1:52">
      <c r="A298" s="78">
        <f t="shared" si="163"/>
        <v>292</v>
      </c>
      <c r="C298" s="78">
        <v>30</v>
      </c>
      <c r="D298" s="78" t="s">
        <v>65</v>
      </c>
      <c r="E298" s="113">
        <f t="shared" si="164"/>
        <v>45383</v>
      </c>
      <c r="F298" s="85">
        <f t="shared" si="160"/>
        <v>22</v>
      </c>
      <c r="G298" s="84">
        <f t="shared" si="168"/>
        <v>8</v>
      </c>
      <c r="H298" s="84"/>
      <c r="I298" s="84"/>
      <c r="K298" s="93">
        <f t="shared" si="167"/>
        <v>45383</v>
      </c>
      <c r="L298" s="131">
        <v>7.3229709282762026E-2</v>
      </c>
      <c r="M298" s="131">
        <v>6.2321417964529023E-2</v>
      </c>
      <c r="N298" s="132">
        <f t="shared" si="162"/>
        <v>0.17547137473050931</v>
      </c>
      <c r="P298" s="132"/>
    </row>
    <row r="299" spans="1:52">
      <c r="A299" s="78">
        <f t="shared" si="163"/>
        <v>293</v>
      </c>
      <c r="C299" s="78">
        <v>31</v>
      </c>
      <c r="D299" s="78" t="s">
        <v>38</v>
      </c>
      <c r="E299" s="113">
        <f t="shared" si="164"/>
        <v>45413</v>
      </c>
      <c r="F299" s="85">
        <f t="shared" si="160"/>
        <v>21</v>
      </c>
      <c r="G299" s="84">
        <f t="shared" si="168"/>
        <v>10</v>
      </c>
      <c r="H299" s="84"/>
      <c r="I299" s="84"/>
      <c r="K299" s="93">
        <f t="shared" si="167"/>
        <v>45413</v>
      </c>
      <c r="L299" s="131">
        <v>7.3218001247458017E-2</v>
      </c>
      <c r="M299" s="131">
        <v>6.2259933271406005E-2</v>
      </c>
      <c r="N299" s="132">
        <f t="shared" si="162"/>
        <v>0.17448571631702023</v>
      </c>
      <c r="P299" s="132"/>
    </row>
    <row r="300" spans="1:52">
      <c r="A300" s="78">
        <f t="shared" si="163"/>
        <v>294</v>
      </c>
      <c r="C300" s="78">
        <v>30</v>
      </c>
      <c r="D300" s="78" t="s">
        <v>66</v>
      </c>
      <c r="E300" s="113">
        <f t="shared" si="164"/>
        <v>45444</v>
      </c>
      <c r="F300" s="85">
        <f t="shared" si="160"/>
        <v>22</v>
      </c>
      <c r="G300" s="84">
        <f t="shared" si="168"/>
        <v>8</v>
      </c>
      <c r="H300" s="84"/>
      <c r="I300" s="84"/>
      <c r="K300" s="93">
        <f t="shared" si="167"/>
        <v>45444</v>
      </c>
      <c r="L300" s="131">
        <v>7.3205902944359011E-2</v>
      </c>
      <c r="M300" s="131">
        <v>6.2196399116193013E-2</v>
      </c>
      <c r="N300" s="132">
        <f t="shared" si="162"/>
        <v>0.17347335722182389</v>
      </c>
      <c r="P300" s="132"/>
    </row>
    <row r="301" spans="1:52">
      <c r="A301" s="78">
        <f t="shared" si="163"/>
        <v>295</v>
      </c>
      <c r="C301" s="78">
        <v>31</v>
      </c>
      <c r="D301" s="78" t="s">
        <v>67</v>
      </c>
      <c r="E301" s="113">
        <f t="shared" si="164"/>
        <v>45474</v>
      </c>
      <c r="F301" s="85">
        <f t="shared" si="160"/>
        <v>22</v>
      </c>
      <c r="G301" s="84">
        <f t="shared" si="168"/>
        <v>9</v>
      </c>
      <c r="H301" s="84"/>
      <c r="I301" s="84"/>
      <c r="K301" s="93">
        <f t="shared" si="167"/>
        <v>45474</v>
      </c>
      <c r="L301" s="131">
        <v>7.3194194909147012E-2</v>
      </c>
      <c r="M301" s="131">
        <v>6.2134914476646007E-2</v>
      </c>
      <c r="N301" s="132">
        <f t="shared" si="162"/>
        <v>0.17249957339235714</v>
      </c>
      <c r="P301" s="132"/>
    </row>
    <row r="302" spans="1:52">
      <c r="A302" s="78">
        <f t="shared" si="163"/>
        <v>296</v>
      </c>
      <c r="C302" s="78">
        <v>31</v>
      </c>
      <c r="D302" s="78" t="s">
        <v>68</v>
      </c>
      <c r="E302" s="113">
        <f t="shared" si="164"/>
        <v>45505</v>
      </c>
      <c r="F302" s="85">
        <f t="shared" si="160"/>
        <v>22</v>
      </c>
      <c r="G302" s="84">
        <f t="shared" si="168"/>
        <v>9</v>
      </c>
      <c r="H302" s="84"/>
      <c r="I302" s="84"/>
      <c r="K302" s="93">
        <f t="shared" si="167"/>
        <v>45505</v>
      </c>
      <c r="L302" s="131">
        <v>7.3182096606143027E-2</v>
      </c>
      <c r="M302" s="131">
        <v>6.207138037679702E-2</v>
      </c>
      <c r="N302" s="132">
        <f t="shared" si="162"/>
        <v>0.17149940694544655</v>
      </c>
      <c r="P302" s="132"/>
    </row>
    <row r="303" spans="1:52">
      <c r="A303" s="78">
        <f t="shared" si="163"/>
        <v>297</v>
      </c>
      <c r="C303" s="78">
        <v>30</v>
      </c>
      <c r="D303" s="78" t="s">
        <v>69</v>
      </c>
      <c r="E303" s="113">
        <f t="shared" si="164"/>
        <v>45536</v>
      </c>
      <c r="F303" s="85">
        <f t="shared" si="160"/>
        <v>22</v>
      </c>
      <c r="G303" s="84">
        <f t="shared" si="168"/>
        <v>8</v>
      </c>
      <c r="H303" s="84"/>
      <c r="I303" s="84"/>
      <c r="K303" s="93">
        <f t="shared" si="167"/>
        <v>45536</v>
      </c>
      <c r="L303" s="131">
        <v>7.3169998303187003E-2</v>
      </c>
      <c r="M303" s="131">
        <v>6.2007846305085004E-2</v>
      </c>
      <c r="N303" s="132">
        <f t="shared" si="162"/>
        <v>0.17050537762624948</v>
      </c>
      <c r="P303" s="132"/>
    </row>
    <row r="304" spans="1:52">
      <c r="A304" s="78">
        <f t="shared" si="163"/>
        <v>298</v>
      </c>
      <c r="C304" s="78">
        <v>31</v>
      </c>
      <c r="D304" s="78" t="s">
        <v>70</v>
      </c>
      <c r="E304" s="113">
        <f t="shared" si="164"/>
        <v>45566</v>
      </c>
      <c r="F304" s="85">
        <f t="shared" si="160"/>
        <v>21</v>
      </c>
      <c r="G304" s="84">
        <f t="shared" si="168"/>
        <v>10</v>
      </c>
      <c r="H304" s="84"/>
      <c r="I304" s="84"/>
      <c r="K304" s="93">
        <f t="shared" si="167"/>
        <v>45566</v>
      </c>
      <c r="L304" s="131">
        <v>7.3158290268114004E-2</v>
      </c>
      <c r="M304" s="131">
        <v>6.194636174634801E-2</v>
      </c>
      <c r="N304" s="132">
        <f t="shared" si="162"/>
        <v>0.16954921992596989</v>
      </c>
      <c r="P304" s="132"/>
    </row>
    <row r="305" spans="1:52">
      <c r="A305" s="78">
        <f t="shared" si="163"/>
        <v>299</v>
      </c>
      <c r="C305" s="78">
        <v>30</v>
      </c>
      <c r="D305" s="78" t="s">
        <v>71</v>
      </c>
      <c r="E305" s="113">
        <f t="shared" si="164"/>
        <v>45597</v>
      </c>
      <c r="F305" s="85">
        <f t="shared" si="160"/>
        <v>22</v>
      </c>
      <c r="G305" s="84">
        <f t="shared" si="168"/>
        <v>8</v>
      </c>
      <c r="H305" s="84"/>
      <c r="I305" s="84"/>
      <c r="K305" s="93">
        <f t="shared" si="167"/>
        <v>45597</v>
      </c>
      <c r="L305" s="131">
        <v>7.3146191965253002E-2</v>
      </c>
      <c r="M305" s="131">
        <v>6.1882827730005002E-2</v>
      </c>
      <c r="N305" s="132">
        <f t="shared" si="162"/>
        <v>0.1685671518075989</v>
      </c>
      <c r="P305" s="132"/>
    </row>
    <row r="306" spans="1:52">
      <c r="A306" s="78">
        <f t="shared" si="163"/>
        <v>300</v>
      </c>
      <c r="C306" s="78">
        <v>31</v>
      </c>
      <c r="D306" s="78" t="s">
        <v>72</v>
      </c>
      <c r="E306" s="113">
        <f t="shared" si="164"/>
        <v>45627</v>
      </c>
      <c r="F306" s="85">
        <f t="shared" si="160"/>
        <v>23</v>
      </c>
      <c r="G306" s="84">
        <f t="shared" si="168"/>
        <v>8</v>
      </c>
      <c r="H306" s="84">
        <f>SUM(F295:G306)</f>
        <v>366</v>
      </c>
      <c r="I306" s="84"/>
      <c r="K306" s="93">
        <f t="shared" si="167"/>
        <v>45627</v>
      </c>
      <c r="L306" s="131">
        <v>7.3134483930272026E-2</v>
      </c>
      <c r="M306" s="131">
        <v>6.1821343224851999E-2</v>
      </c>
      <c r="N306" s="132">
        <f t="shared" si="162"/>
        <v>0.16762249618920344</v>
      </c>
      <c r="P306" s="132"/>
      <c r="AZ306" s="85">
        <f>AY306*N306</f>
        <v>0</v>
      </c>
    </row>
    <row r="307" spans="1:52">
      <c r="A307" s="78">
        <f t="shared" si="163"/>
        <v>301</v>
      </c>
      <c r="C307" s="78">
        <v>31</v>
      </c>
      <c r="D307" s="78" t="s">
        <v>62</v>
      </c>
      <c r="E307" s="113">
        <f t="shared" si="164"/>
        <v>45658</v>
      </c>
      <c r="F307" s="85">
        <f t="shared" si="160"/>
        <v>23</v>
      </c>
      <c r="G307" s="84">
        <f>C307-F307</f>
        <v>8</v>
      </c>
      <c r="H307" s="84"/>
      <c r="I307" s="84"/>
      <c r="K307" s="93">
        <f t="shared" si="167"/>
        <v>45658</v>
      </c>
      <c r="L307" s="131">
        <v>7.3122385627507017E-2</v>
      </c>
      <c r="M307" s="131">
        <v>6.1757809263881011E-2</v>
      </c>
      <c r="N307" s="132">
        <f t="shared" si="162"/>
        <v>0.16665223834161069</v>
      </c>
      <c r="P307" s="132"/>
    </row>
    <row r="308" spans="1:52">
      <c r="A308" s="78">
        <f t="shared" si="163"/>
        <v>302</v>
      </c>
      <c r="C308" s="78">
        <v>28</v>
      </c>
      <c r="D308" s="78" t="s">
        <v>63</v>
      </c>
      <c r="E308" s="113">
        <f t="shared" si="164"/>
        <v>45689</v>
      </c>
      <c r="F308" s="85">
        <f t="shared" si="160"/>
        <v>20</v>
      </c>
      <c r="G308" s="84">
        <f t="shared" ref="G308:G318" si="169">C308-F308</f>
        <v>8</v>
      </c>
      <c r="H308" s="84"/>
      <c r="I308" s="84"/>
      <c r="K308" s="93">
        <f t="shared" si="167"/>
        <v>45689</v>
      </c>
      <c r="L308" s="131">
        <v>7.3110287324788997E-2</v>
      </c>
      <c r="M308" s="131">
        <v>6.1694275331052019E-2</v>
      </c>
      <c r="N308" s="132">
        <f t="shared" si="162"/>
        <v>0.16568792523100284</v>
      </c>
      <c r="P308" s="132"/>
    </row>
    <row r="309" spans="1:52">
      <c r="A309" s="78">
        <f t="shared" si="163"/>
        <v>303</v>
      </c>
      <c r="C309" s="78">
        <v>31</v>
      </c>
      <c r="D309" s="78" t="s">
        <v>64</v>
      </c>
      <c r="E309" s="113">
        <f t="shared" si="164"/>
        <v>45717</v>
      </c>
      <c r="F309" s="85">
        <f t="shared" si="160"/>
        <v>22</v>
      </c>
      <c r="G309" s="84">
        <f t="shared" si="169"/>
        <v>9</v>
      </c>
      <c r="H309" s="84"/>
      <c r="I309" s="84"/>
      <c r="K309" s="93">
        <f t="shared" si="167"/>
        <v>45717</v>
      </c>
      <c r="L309" s="131">
        <v>7.3099359825602006E-2</v>
      </c>
      <c r="M309" s="131">
        <v>6.1636889867524011E-2</v>
      </c>
      <c r="N309" s="132">
        <f t="shared" si="162"/>
        <v>0.16482201058513804</v>
      </c>
      <c r="P309" s="132"/>
    </row>
    <row r="310" spans="1:52">
      <c r="A310" s="78">
        <f t="shared" si="163"/>
        <v>304</v>
      </c>
      <c r="C310" s="78">
        <v>30</v>
      </c>
      <c r="D310" s="78" t="s">
        <v>65</v>
      </c>
      <c r="E310" s="113">
        <f t="shared" si="164"/>
        <v>45748</v>
      </c>
      <c r="F310" s="85">
        <f t="shared" si="160"/>
        <v>21</v>
      </c>
      <c r="G310" s="84">
        <f t="shared" si="169"/>
        <v>9</v>
      </c>
      <c r="H310" s="84"/>
      <c r="I310" s="84"/>
      <c r="K310" s="93">
        <f t="shared" si="167"/>
        <v>45748</v>
      </c>
      <c r="L310" s="131">
        <v>7.3087261522976038E-2</v>
      </c>
      <c r="M310" s="131">
        <v>6.1573355988255023E-2</v>
      </c>
      <c r="N310" s="132">
        <f t="shared" si="162"/>
        <v>0.16386890630290174</v>
      </c>
      <c r="P310" s="132"/>
    </row>
    <row r="311" spans="1:52">
      <c r="A311" s="78">
        <f t="shared" si="163"/>
        <v>305</v>
      </c>
      <c r="C311" s="78">
        <v>31</v>
      </c>
      <c r="D311" s="78" t="s">
        <v>38</v>
      </c>
      <c r="E311" s="113">
        <f t="shared" si="164"/>
        <v>45778</v>
      </c>
      <c r="F311" s="85">
        <f t="shared" si="160"/>
        <v>23</v>
      </c>
      <c r="G311" s="84">
        <f t="shared" si="169"/>
        <v>8</v>
      </c>
      <c r="H311" s="84"/>
      <c r="I311" s="84"/>
      <c r="K311" s="93">
        <f t="shared" si="167"/>
        <v>45778</v>
      </c>
      <c r="L311" s="131">
        <v>7.3075553488223005E-2</v>
      </c>
      <c r="M311" s="131">
        <v>6.1511871615760015E-2</v>
      </c>
      <c r="N311" s="132">
        <f t="shared" si="162"/>
        <v>0.16295210293870147</v>
      </c>
      <c r="P311" s="132"/>
    </row>
    <row r="312" spans="1:52">
      <c r="A312" s="78">
        <f t="shared" si="163"/>
        <v>306</v>
      </c>
      <c r="C312" s="78">
        <v>30</v>
      </c>
      <c r="D312" s="78" t="s">
        <v>66</v>
      </c>
      <c r="E312" s="113">
        <f t="shared" si="164"/>
        <v>45809</v>
      </c>
      <c r="F312" s="85">
        <f t="shared" si="160"/>
        <v>21</v>
      </c>
      <c r="G312" s="84">
        <f t="shared" si="169"/>
        <v>9</v>
      </c>
      <c r="H312" s="84"/>
      <c r="I312" s="84"/>
      <c r="K312" s="93">
        <f t="shared" si="167"/>
        <v>45809</v>
      </c>
      <c r="L312" s="131">
        <v>7.3063455185692988E-2</v>
      </c>
      <c r="M312" s="131">
        <v>6.1448337791872011E-2</v>
      </c>
      <c r="N312" s="132">
        <f t="shared" si="162"/>
        <v>0.16201044379463458</v>
      </c>
      <c r="P312" s="132"/>
    </row>
    <row r="313" spans="1:52">
      <c r="A313" s="78">
        <f t="shared" si="163"/>
        <v>307</v>
      </c>
      <c r="C313" s="78">
        <v>31</v>
      </c>
      <c r="D313" s="78" t="s">
        <v>67</v>
      </c>
      <c r="E313" s="113">
        <f t="shared" si="164"/>
        <v>45839</v>
      </c>
      <c r="F313" s="85">
        <f t="shared" si="160"/>
        <v>22</v>
      </c>
      <c r="G313" s="84">
        <f t="shared" si="169"/>
        <v>9</v>
      </c>
      <c r="H313" s="84"/>
      <c r="I313" s="84"/>
      <c r="K313" s="93">
        <f t="shared" si="167"/>
        <v>45839</v>
      </c>
      <c r="L313" s="131">
        <v>7.3051747151032007E-2</v>
      </c>
      <c r="M313" s="131">
        <v>6.1386853472972E-2</v>
      </c>
      <c r="N313" s="132">
        <f t="shared" si="162"/>
        <v>0.16110464639018213</v>
      </c>
      <c r="P313" s="132"/>
    </row>
    <row r="314" spans="1:52">
      <c r="A314" s="78">
        <f t="shared" si="163"/>
        <v>308</v>
      </c>
      <c r="C314" s="78">
        <v>31</v>
      </c>
      <c r="D314" s="78" t="s">
        <v>68</v>
      </c>
      <c r="E314" s="113">
        <f t="shared" si="164"/>
        <v>45870</v>
      </c>
      <c r="F314" s="85">
        <f t="shared" si="160"/>
        <v>23</v>
      </c>
      <c r="G314" s="84">
        <f t="shared" si="169"/>
        <v>8</v>
      </c>
      <c r="H314" s="84"/>
      <c r="I314" s="84"/>
      <c r="K314" s="93">
        <f t="shared" si="167"/>
        <v>45870</v>
      </c>
      <c r="L314" s="131">
        <v>7.3039648848597011E-2</v>
      </c>
      <c r="M314" s="131">
        <v>6.1323319704467999E-2</v>
      </c>
      <c r="N314" s="132">
        <f t="shared" si="162"/>
        <v>0.16017428823705249</v>
      </c>
      <c r="P314" s="132"/>
    </row>
    <row r="315" spans="1:52">
      <c r="A315" s="78">
        <f t="shared" si="163"/>
        <v>309</v>
      </c>
      <c r="C315" s="78">
        <v>30</v>
      </c>
      <c r="D315" s="78" t="s">
        <v>69</v>
      </c>
      <c r="E315" s="113">
        <f t="shared" si="164"/>
        <v>45901</v>
      </c>
      <c r="F315" s="85">
        <f t="shared" si="160"/>
        <v>20</v>
      </c>
      <c r="G315" s="84">
        <f t="shared" si="169"/>
        <v>10</v>
      </c>
      <c r="H315" s="84"/>
      <c r="I315" s="84"/>
      <c r="K315" s="93">
        <f t="shared" si="167"/>
        <v>45901</v>
      </c>
      <c r="L315" s="131">
        <v>7.3027550546209005E-2</v>
      </c>
      <c r="M315" s="131">
        <v>6.1259785964110004E-2</v>
      </c>
      <c r="N315" s="132">
        <f t="shared" si="162"/>
        <v>0.15924961857625192</v>
      </c>
      <c r="P315" s="132"/>
    </row>
    <row r="316" spans="1:52">
      <c r="A316" s="78">
        <f t="shared" si="163"/>
        <v>310</v>
      </c>
      <c r="C316" s="78">
        <v>31</v>
      </c>
      <c r="D316" s="78" t="s">
        <v>70</v>
      </c>
      <c r="E316" s="113">
        <f t="shared" si="164"/>
        <v>45931</v>
      </c>
      <c r="F316" s="85">
        <f t="shared" si="160"/>
        <v>23</v>
      </c>
      <c r="G316" s="84">
        <f t="shared" si="169"/>
        <v>8</v>
      </c>
      <c r="H316" s="84"/>
      <c r="I316" s="84"/>
      <c r="K316" s="93">
        <f t="shared" si="167"/>
        <v>45931</v>
      </c>
      <c r="L316" s="131">
        <v>7.3015842511686996E-2</v>
      </c>
      <c r="M316" s="131">
        <v>6.1198301726049016E-2</v>
      </c>
      <c r="N316" s="132">
        <f t="shared" si="162"/>
        <v>0.15836015879690671</v>
      </c>
      <c r="P316" s="132"/>
    </row>
    <row r="317" spans="1:52">
      <c r="A317" s="78">
        <f t="shared" si="163"/>
        <v>311</v>
      </c>
      <c r="C317" s="78">
        <v>30</v>
      </c>
      <c r="D317" s="78" t="s">
        <v>71</v>
      </c>
      <c r="E317" s="113">
        <f t="shared" si="164"/>
        <v>45962</v>
      </c>
      <c r="F317" s="85">
        <f t="shared" si="160"/>
        <v>22</v>
      </c>
      <c r="G317" s="84">
        <f t="shared" si="169"/>
        <v>8</v>
      </c>
      <c r="H317" s="84"/>
      <c r="I317" s="84"/>
      <c r="K317" s="93">
        <f t="shared" si="167"/>
        <v>45962</v>
      </c>
      <c r="L317" s="131">
        <v>7.3003744209395011E-2</v>
      </c>
      <c r="M317" s="131">
        <v>6.1134768041080013E-2</v>
      </c>
      <c r="N317" s="132">
        <f t="shared" si="162"/>
        <v>0.15744657629580416</v>
      </c>
      <c r="P317" s="132"/>
    </row>
    <row r="318" spans="1:52">
      <c r="A318" s="78">
        <f t="shared" si="163"/>
        <v>312</v>
      </c>
      <c r="C318" s="78">
        <v>31</v>
      </c>
      <c r="D318" s="78" t="s">
        <v>72</v>
      </c>
      <c r="E318" s="113">
        <f t="shared" si="164"/>
        <v>45992</v>
      </c>
      <c r="F318" s="85">
        <f t="shared" si="160"/>
        <v>21</v>
      </c>
      <c r="G318" s="84">
        <f t="shared" si="169"/>
        <v>10</v>
      </c>
      <c r="H318" s="84">
        <f>SUM(F307:G318)</f>
        <v>365</v>
      </c>
      <c r="I318" s="84"/>
      <c r="K318" s="93">
        <f t="shared" si="167"/>
        <v>45992</v>
      </c>
      <c r="L318" s="131">
        <v>7.2992036174965011E-2</v>
      </c>
      <c r="M318" s="131">
        <v>6.1073283856622015E-2</v>
      </c>
      <c r="N318" s="132">
        <f t="shared" si="162"/>
        <v>0.15656777832648702</v>
      </c>
      <c r="P318" s="132"/>
      <c r="AZ318" s="85">
        <f>AY318*N318</f>
        <v>0</v>
      </c>
    </row>
    <row r="319" spans="1:52">
      <c r="A319" s="78">
        <f t="shared" si="163"/>
        <v>313</v>
      </c>
      <c r="C319" s="78">
        <v>31</v>
      </c>
      <c r="D319" s="78" t="s">
        <v>62</v>
      </c>
      <c r="E319" s="113">
        <f t="shared" si="164"/>
        <v>46023</v>
      </c>
      <c r="F319" s="85">
        <f t="shared" si="160"/>
        <v>23</v>
      </c>
      <c r="G319" s="84">
        <f>C319-F319</f>
        <v>8</v>
      </c>
      <c r="H319" s="84"/>
      <c r="I319" s="84"/>
      <c r="K319" s="93">
        <f t="shared" si="167"/>
        <v>46023</v>
      </c>
      <c r="L319" s="131">
        <v>7.2979937872768019E-2</v>
      </c>
      <c r="M319" s="131">
        <v>6.1009750227045009E-2</v>
      </c>
      <c r="N319" s="132">
        <f t="shared" si="162"/>
        <v>0.15566514353584301</v>
      </c>
      <c r="P319" s="132"/>
    </row>
    <row r="320" spans="1:52">
      <c r="A320" s="78">
        <f t="shared" si="163"/>
        <v>314</v>
      </c>
      <c r="C320" s="78">
        <v>28</v>
      </c>
      <c r="D320" s="78" t="s">
        <v>63</v>
      </c>
      <c r="E320" s="113">
        <f t="shared" si="164"/>
        <v>46054</v>
      </c>
      <c r="F320" s="85">
        <f t="shared" si="160"/>
        <v>20</v>
      </c>
      <c r="G320" s="84">
        <f t="shared" ref="G320:G330" si="170">C320-F320</f>
        <v>8</v>
      </c>
      <c r="H320" s="84"/>
      <c r="I320" s="84"/>
      <c r="K320" s="93">
        <f t="shared" si="167"/>
        <v>46054</v>
      </c>
      <c r="L320" s="131">
        <v>7.2967839570620016E-2</v>
      </c>
      <c r="M320" s="131">
        <v>6.0946216625619012E-2</v>
      </c>
      <c r="N320" s="132">
        <f t="shared" si="162"/>
        <v>0.15476801948141736</v>
      </c>
      <c r="P320" s="132"/>
    </row>
    <row r="321" spans="1:52">
      <c r="A321" s="78">
        <f t="shared" si="163"/>
        <v>315</v>
      </c>
      <c r="C321" s="78">
        <v>31</v>
      </c>
      <c r="D321" s="78" t="s">
        <v>64</v>
      </c>
      <c r="E321" s="113">
        <f t="shared" si="164"/>
        <v>46082</v>
      </c>
      <c r="F321" s="85">
        <f t="shared" si="160"/>
        <v>21</v>
      </c>
      <c r="G321" s="84">
        <f t="shared" si="170"/>
        <v>10</v>
      </c>
      <c r="H321" s="84"/>
      <c r="I321" s="84"/>
      <c r="K321" s="93">
        <f t="shared" si="167"/>
        <v>46082</v>
      </c>
      <c r="L321" s="131">
        <v>7.2956912071947017E-2</v>
      </c>
      <c r="M321" s="131">
        <v>6.0888831461431023E-2</v>
      </c>
      <c r="N321" s="132">
        <f t="shared" si="162"/>
        <v>0.15396242110829803</v>
      </c>
      <c r="P321" s="132"/>
    </row>
    <row r="322" spans="1:52">
      <c r="A322" s="78">
        <f t="shared" si="163"/>
        <v>316</v>
      </c>
      <c r="C322" s="78">
        <v>30</v>
      </c>
      <c r="D322" s="78" t="s">
        <v>65</v>
      </c>
      <c r="E322" s="113">
        <f t="shared" si="164"/>
        <v>46113</v>
      </c>
      <c r="F322" s="85">
        <f t="shared" si="160"/>
        <v>22</v>
      </c>
      <c r="G322" s="84">
        <f t="shared" si="170"/>
        <v>8</v>
      </c>
      <c r="H322" s="84"/>
      <c r="I322" s="84"/>
      <c r="K322" s="93">
        <f t="shared" si="167"/>
        <v>46113</v>
      </c>
      <c r="L322" s="131">
        <v>7.2944813769889996E-2</v>
      </c>
      <c r="M322" s="131">
        <v>6.082529791358602E-2</v>
      </c>
      <c r="N322" s="132">
        <f t="shared" si="162"/>
        <v>0.15307568788789755</v>
      </c>
      <c r="P322" s="132"/>
    </row>
    <row r="323" spans="1:52">
      <c r="A323" s="78">
        <f t="shared" si="163"/>
        <v>317</v>
      </c>
      <c r="C323" s="78">
        <v>31</v>
      </c>
      <c r="D323" s="78" t="s">
        <v>38</v>
      </c>
      <c r="E323" s="113">
        <f t="shared" si="164"/>
        <v>46143</v>
      </c>
      <c r="F323" s="85">
        <f t="shared" si="160"/>
        <v>23</v>
      </c>
      <c r="G323" s="84">
        <f t="shared" si="170"/>
        <v>8</v>
      </c>
      <c r="H323" s="84"/>
      <c r="I323" s="84"/>
      <c r="K323" s="93">
        <f t="shared" si="167"/>
        <v>46143</v>
      </c>
      <c r="L323" s="131">
        <v>7.2933105735688009E-2</v>
      </c>
      <c r="M323" s="131">
        <v>6.0763813861831009E-2</v>
      </c>
      <c r="N323" s="132">
        <f t="shared" si="162"/>
        <v>0.15222270930313561</v>
      </c>
      <c r="P323" s="132"/>
    </row>
    <row r="324" spans="1:52">
      <c r="A324" s="78">
        <f t="shared" si="163"/>
        <v>318</v>
      </c>
      <c r="C324" s="78">
        <v>30</v>
      </c>
      <c r="D324" s="78" t="s">
        <v>66</v>
      </c>
      <c r="E324" s="113">
        <f t="shared" si="164"/>
        <v>46174</v>
      </c>
      <c r="F324" s="85">
        <f t="shared" ref="F324:F387" si="171">F276</f>
        <v>20</v>
      </c>
      <c r="G324" s="84">
        <f t="shared" si="170"/>
        <v>10</v>
      </c>
      <c r="H324" s="84"/>
      <c r="I324" s="84"/>
      <c r="K324" s="93">
        <f t="shared" si="167"/>
        <v>46174</v>
      </c>
      <c r="L324" s="131">
        <v>7.2921007433726009E-2</v>
      </c>
      <c r="M324" s="131">
        <v>6.0700280369386017E-2</v>
      </c>
      <c r="N324" s="132">
        <f t="shared" si="162"/>
        <v>0.15134658641185403</v>
      </c>
      <c r="P324" s="132"/>
    </row>
    <row r="325" spans="1:52">
      <c r="A325" s="78">
        <f t="shared" si="163"/>
        <v>319</v>
      </c>
      <c r="C325" s="78">
        <v>31</v>
      </c>
      <c r="D325" s="78" t="s">
        <v>67</v>
      </c>
      <c r="E325" s="113">
        <f t="shared" si="164"/>
        <v>46204</v>
      </c>
      <c r="F325" s="85">
        <f t="shared" si="171"/>
        <v>23</v>
      </c>
      <c r="G325" s="84">
        <f t="shared" si="170"/>
        <v>8</v>
      </c>
      <c r="H325" s="84"/>
      <c r="I325" s="84"/>
      <c r="K325" s="93">
        <f t="shared" si="167"/>
        <v>46204</v>
      </c>
      <c r="L325" s="131">
        <v>7.2909299399616018E-2</v>
      </c>
      <c r="M325" s="131">
        <v>6.0638796371245002E-2</v>
      </c>
      <c r="N325" s="132">
        <f t="shared" si="162"/>
        <v>0.15050381122200382</v>
      </c>
      <c r="P325" s="132"/>
    </row>
    <row r="326" spans="1:52">
      <c r="A326" s="78">
        <f t="shared" si="163"/>
        <v>320</v>
      </c>
      <c r="C326" s="78">
        <v>31</v>
      </c>
      <c r="D326" s="78" t="s">
        <v>68</v>
      </c>
      <c r="E326" s="113">
        <f t="shared" si="164"/>
        <v>46235</v>
      </c>
      <c r="F326" s="85">
        <f t="shared" si="171"/>
        <v>22</v>
      </c>
      <c r="G326" s="84">
        <f t="shared" si="170"/>
        <v>9</v>
      </c>
      <c r="H326" s="84"/>
      <c r="I326" s="84"/>
      <c r="K326" s="93">
        <f t="shared" si="167"/>
        <v>46235</v>
      </c>
      <c r="L326" s="131">
        <v>7.2897201097749026E-2</v>
      </c>
      <c r="M326" s="131">
        <v>6.0575262934202005E-2</v>
      </c>
      <c r="N326" s="132">
        <f t="shared" si="162"/>
        <v>0.14963816545901093</v>
      </c>
      <c r="P326" s="132"/>
    </row>
    <row r="327" spans="1:52">
      <c r="A327" s="78">
        <f t="shared" si="163"/>
        <v>321</v>
      </c>
      <c r="C327" s="78">
        <v>30</v>
      </c>
      <c r="D327" s="78" t="s">
        <v>69</v>
      </c>
      <c r="E327" s="113">
        <f t="shared" si="164"/>
        <v>46266</v>
      </c>
      <c r="F327" s="85">
        <f t="shared" si="171"/>
        <v>21</v>
      </c>
      <c r="G327" s="84">
        <f t="shared" si="170"/>
        <v>9</v>
      </c>
      <c r="H327" s="84"/>
      <c r="I327" s="84"/>
      <c r="K327" s="93">
        <f t="shared" si="167"/>
        <v>46266</v>
      </c>
      <c r="L327" s="131">
        <v>7.2885102795932008E-2</v>
      </c>
      <c r="M327" s="131">
        <v>6.0511729525316013E-2</v>
      </c>
      <c r="N327" s="132">
        <f t="shared" si="162"/>
        <v>0.14877779365122495</v>
      </c>
      <c r="P327" s="132"/>
    </row>
    <row r="328" spans="1:52">
      <c r="A328" s="78">
        <f t="shared" si="163"/>
        <v>322</v>
      </c>
      <c r="C328" s="78">
        <v>31</v>
      </c>
      <c r="D328" s="78" t="s">
        <v>70</v>
      </c>
      <c r="E328" s="113">
        <f t="shared" si="164"/>
        <v>46296</v>
      </c>
      <c r="F328" s="85">
        <f t="shared" si="171"/>
        <v>23</v>
      </c>
      <c r="G328" s="84">
        <f t="shared" si="170"/>
        <v>8</v>
      </c>
      <c r="H328" s="84"/>
      <c r="I328" s="84"/>
      <c r="K328" s="93">
        <f t="shared" si="167"/>
        <v>46296</v>
      </c>
      <c r="L328" s="131">
        <v>7.2873394761960017E-2</v>
      </c>
      <c r="M328" s="131">
        <v>6.0450245608042998E-2</v>
      </c>
      <c r="N328" s="132">
        <f t="shared" ref="N328:N362" si="172">(1+L328/2)^(-2*((K328+$T$1)-$K$1)/365.25)</f>
        <v>0.14795016551453596</v>
      </c>
      <c r="P328" s="132"/>
    </row>
    <row r="329" spans="1:52">
      <c r="A329" s="78">
        <f t="shared" ref="A329:A392" si="173">A328+1</f>
        <v>323</v>
      </c>
      <c r="C329" s="78">
        <v>30</v>
      </c>
      <c r="D329" s="78" t="s">
        <v>71</v>
      </c>
      <c r="E329" s="113">
        <f t="shared" ref="E329:E392" si="174">E328+C328</f>
        <v>46327</v>
      </c>
      <c r="F329" s="85">
        <f t="shared" si="171"/>
        <v>21</v>
      </c>
      <c r="G329" s="84">
        <f t="shared" si="170"/>
        <v>9</v>
      </c>
      <c r="H329" s="84"/>
      <c r="I329" s="84"/>
      <c r="K329" s="93">
        <f t="shared" si="167"/>
        <v>46327</v>
      </c>
      <c r="L329" s="131">
        <v>7.2861296460237007E-2</v>
      </c>
      <c r="M329" s="131">
        <v>6.038671225456603E-2</v>
      </c>
      <c r="N329" s="132">
        <f t="shared" si="172"/>
        <v>0.14710007323209437</v>
      </c>
      <c r="P329" s="132"/>
    </row>
    <row r="330" spans="1:52">
      <c r="A330" s="78">
        <f t="shared" si="173"/>
        <v>324</v>
      </c>
      <c r="C330" s="78">
        <v>31</v>
      </c>
      <c r="D330" s="78" t="s">
        <v>72</v>
      </c>
      <c r="E330" s="113">
        <f t="shared" si="174"/>
        <v>46357</v>
      </c>
      <c r="F330" s="85">
        <f t="shared" si="171"/>
        <v>22</v>
      </c>
      <c r="G330" s="84">
        <f t="shared" si="170"/>
        <v>9</v>
      </c>
      <c r="H330" s="84">
        <f>SUM(F319:G330)</f>
        <v>365</v>
      </c>
      <c r="I330" s="84"/>
      <c r="K330" s="93">
        <f t="shared" si="167"/>
        <v>46357</v>
      </c>
      <c r="L330" s="131">
        <v>7.2849588426357012E-2</v>
      </c>
      <c r="M330" s="131">
        <v>6.0325228390915003E-2</v>
      </c>
      <c r="N330" s="132">
        <f t="shared" si="172"/>
        <v>0.14628233045918942</v>
      </c>
      <c r="P330" s="132"/>
      <c r="AZ330" s="85">
        <f>AY330*N330</f>
        <v>0</v>
      </c>
    </row>
    <row r="331" spans="1:52">
      <c r="A331" s="78">
        <f t="shared" si="173"/>
        <v>325</v>
      </c>
      <c r="C331" s="78">
        <v>31</v>
      </c>
      <c r="D331" s="78" t="s">
        <v>62</v>
      </c>
      <c r="E331" s="113">
        <f t="shared" si="174"/>
        <v>46388</v>
      </c>
      <c r="F331" s="85">
        <f t="shared" si="171"/>
        <v>23</v>
      </c>
      <c r="G331" s="84">
        <f>C331-F331</f>
        <v>8</v>
      </c>
      <c r="H331" s="84"/>
      <c r="I331" s="84"/>
      <c r="K331" s="93">
        <f t="shared" si="167"/>
        <v>46388</v>
      </c>
      <c r="L331" s="131">
        <v>7.2837490124730009E-2</v>
      </c>
      <c r="M331" s="131">
        <v>6.0261695092848004E-2</v>
      </c>
      <c r="N331" s="132">
        <f t="shared" si="172"/>
        <v>0.14544238882960983</v>
      </c>
      <c r="P331" s="132"/>
    </row>
    <row r="332" spans="1:52">
      <c r="A332" s="78">
        <f t="shared" si="173"/>
        <v>326</v>
      </c>
      <c r="C332" s="78">
        <v>28</v>
      </c>
      <c r="D332" s="78" t="s">
        <v>63</v>
      </c>
      <c r="E332" s="113">
        <f t="shared" si="174"/>
        <v>46419</v>
      </c>
      <c r="F332" s="85">
        <f t="shared" si="171"/>
        <v>20</v>
      </c>
      <c r="G332" s="84">
        <f t="shared" ref="G332:G342" si="175">C332-F332</f>
        <v>8</v>
      </c>
      <c r="H332" s="84"/>
      <c r="I332" s="84"/>
      <c r="K332" s="93">
        <f t="shared" si="167"/>
        <v>46419</v>
      </c>
      <c r="L332" s="131">
        <v>7.282539182315001E-2</v>
      </c>
      <c r="M332" s="131">
        <v>6.0198161822943012E-2</v>
      </c>
      <c r="N332" s="132">
        <f t="shared" si="172"/>
        <v>0.14460755688140117</v>
      </c>
      <c r="P332" s="132"/>
    </row>
    <row r="333" spans="1:52">
      <c r="A333" s="78">
        <f t="shared" si="173"/>
        <v>327</v>
      </c>
      <c r="C333" s="78">
        <v>31</v>
      </c>
      <c r="D333" s="78" t="s">
        <v>64</v>
      </c>
      <c r="E333" s="113">
        <f t="shared" si="174"/>
        <v>46447</v>
      </c>
      <c r="F333" s="85">
        <f t="shared" si="171"/>
        <v>21</v>
      </c>
      <c r="G333" s="84">
        <f t="shared" si="175"/>
        <v>10</v>
      </c>
      <c r="H333" s="84"/>
      <c r="I333" s="84"/>
      <c r="K333" s="93">
        <f t="shared" si="167"/>
        <v>46447</v>
      </c>
      <c r="L333" s="131">
        <v>7.2814464325000008E-2</v>
      </c>
      <c r="M333" s="131">
        <v>6.0140776958201018E-2</v>
      </c>
      <c r="N333" s="132">
        <f t="shared" si="172"/>
        <v>0.14385787985698384</v>
      </c>
      <c r="P333" s="132"/>
    </row>
    <row r="334" spans="1:52">
      <c r="A334" s="78">
        <f t="shared" si="173"/>
        <v>328</v>
      </c>
      <c r="C334" s="78">
        <v>30</v>
      </c>
      <c r="D334" s="78" t="s">
        <v>65</v>
      </c>
      <c r="E334" s="113">
        <f t="shared" si="174"/>
        <v>46478</v>
      </c>
      <c r="F334" s="85">
        <f t="shared" si="171"/>
        <v>22</v>
      </c>
      <c r="G334" s="84">
        <f t="shared" si="175"/>
        <v>8</v>
      </c>
      <c r="H334" s="84"/>
      <c r="I334" s="84"/>
      <c r="K334" s="93">
        <f t="shared" si="167"/>
        <v>46478</v>
      </c>
      <c r="L334" s="131">
        <v>7.2802366023503998E-2</v>
      </c>
      <c r="M334" s="131">
        <v>6.0077243741896005E-2</v>
      </c>
      <c r="N334" s="132">
        <f t="shared" si="172"/>
        <v>0.14303268282194795</v>
      </c>
      <c r="P334" s="132"/>
    </row>
    <row r="335" spans="1:52">
      <c r="A335" s="78">
        <f t="shared" si="173"/>
        <v>329</v>
      </c>
      <c r="C335" s="78">
        <v>31</v>
      </c>
      <c r="D335" s="78" t="s">
        <v>38</v>
      </c>
      <c r="E335" s="113">
        <f t="shared" si="174"/>
        <v>46508</v>
      </c>
      <c r="F335" s="85">
        <f t="shared" si="171"/>
        <v>22</v>
      </c>
      <c r="G335" s="84">
        <f t="shared" si="175"/>
        <v>9</v>
      </c>
      <c r="H335" s="84"/>
      <c r="I335" s="84"/>
      <c r="K335" s="93">
        <f t="shared" si="167"/>
        <v>46508</v>
      </c>
      <c r="L335" s="131">
        <v>7.2790657989852015E-2</v>
      </c>
      <c r="M335" s="131">
        <v>6.0015760011000001E-2</v>
      </c>
      <c r="N335" s="132">
        <f t="shared" si="172"/>
        <v>0.14223888084764114</v>
      </c>
      <c r="P335" s="132"/>
    </row>
    <row r="336" spans="1:52">
      <c r="A336" s="78">
        <f t="shared" si="173"/>
        <v>330</v>
      </c>
      <c r="C336" s="78">
        <v>30</v>
      </c>
      <c r="D336" s="78" t="s">
        <v>66</v>
      </c>
      <c r="E336" s="113">
        <f t="shared" si="174"/>
        <v>46539</v>
      </c>
      <c r="F336" s="85">
        <f t="shared" si="171"/>
        <v>21</v>
      </c>
      <c r="G336" s="84">
        <f t="shared" si="175"/>
        <v>9</v>
      </c>
      <c r="H336" s="84"/>
      <c r="I336" s="84"/>
      <c r="K336" s="93">
        <f t="shared" si="167"/>
        <v>46539</v>
      </c>
      <c r="L336" s="131">
        <v>7.2778559688460004E-2</v>
      </c>
      <c r="M336" s="131">
        <v>5.9952226850108002E-2</v>
      </c>
      <c r="N336" s="132">
        <f t="shared" si="172"/>
        <v>0.141423522651867</v>
      </c>
      <c r="P336" s="132"/>
    </row>
    <row r="337" spans="1:52">
      <c r="A337" s="78">
        <f t="shared" si="173"/>
        <v>331</v>
      </c>
      <c r="C337" s="78">
        <v>31</v>
      </c>
      <c r="D337" s="78" t="s">
        <v>67</v>
      </c>
      <c r="E337" s="113">
        <f t="shared" si="174"/>
        <v>46569</v>
      </c>
      <c r="F337" s="85">
        <f t="shared" si="171"/>
        <v>23</v>
      </c>
      <c r="G337" s="84">
        <f t="shared" si="175"/>
        <v>8</v>
      </c>
      <c r="H337" s="84"/>
      <c r="I337" s="84"/>
      <c r="K337" s="93">
        <f t="shared" si="167"/>
        <v>46569</v>
      </c>
      <c r="L337" s="131">
        <v>7.2766851654900003E-2</v>
      </c>
      <c r="M337" s="131">
        <v>5.9890743172841009E-2</v>
      </c>
      <c r="N337" s="132">
        <f t="shared" si="172"/>
        <v>0.14063918236640854</v>
      </c>
      <c r="P337" s="132"/>
    </row>
    <row r="338" spans="1:52">
      <c r="A338" s="78">
        <f t="shared" si="173"/>
        <v>332</v>
      </c>
      <c r="C338" s="78">
        <v>31</v>
      </c>
      <c r="D338" s="78" t="s">
        <v>68</v>
      </c>
      <c r="E338" s="113">
        <f t="shared" si="174"/>
        <v>46600</v>
      </c>
      <c r="F338" s="85">
        <f t="shared" si="171"/>
        <v>21</v>
      </c>
      <c r="G338" s="84">
        <f t="shared" si="175"/>
        <v>10</v>
      </c>
      <c r="H338" s="84"/>
      <c r="I338" s="84"/>
      <c r="K338" s="93">
        <f t="shared" si="167"/>
        <v>46600</v>
      </c>
      <c r="L338" s="131">
        <v>7.2754753353602999E-2</v>
      </c>
      <c r="M338" s="131">
        <v>5.9827210067377012E-2</v>
      </c>
      <c r="N338" s="132">
        <f t="shared" si="172"/>
        <v>0.13983353989491415</v>
      </c>
      <c r="P338" s="132"/>
    </row>
    <row r="339" spans="1:52">
      <c r="A339" s="78">
        <f t="shared" si="173"/>
        <v>333</v>
      </c>
      <c r="C339" s="78">
        <v>30</v>
      </c>
      <c r="D339" s="78" t="s">
        <v>69</v>
      </c>
      <c r="E339" s="113">
        <f t="shared" si="174"/>
        <v>46631</v>
      </c>
      <c r="F339" s="85">
        <f t="shared" si="171"/>
        <v>22</v>
      </c>
      <c r="G339" s="84">
        <f t="shared" si="175"/>
        <v>8</v>
      </c>
      <c r="H339" s="84"/>
      <c r="I339" s="84"/>
      <c r="K339" s="93">
        <f t="shared" si="167"/>
        <v>46631</v>
      </c>
      <c r="L339" s="131">
        <v>7.2742655052354013E-2</v>
      </c>
      <c r="M339" s="131">
        <v>5.9763676990080006E-2</v>
      </c>
      <c r="N339" s="132">
        <f t="shared" si="172"/>
        <v>0.13903278825687679</v>
      </c>
      <c r="P339" s="132"/>
    </row>
    <row r="340" spans="1:52">
      <c r="A340" s="78">
        <f t="shared" si="173"/>
        <v>334</v>
      </c>
      <c r="C340" s="78">
        <v>31</v>
      </c>
      <c r="D340" s="78" t="s">
        <v>70</v>
      </c>
      <c r="E340" s="113">
        <f t="shared" si="174"/>
        <v>46661</v>
      </c>
      <c r="F340" s="85">
        <f t="shared" si="171"/>
        <v>23</v>
      </c>
      <c r="G340" s="84">
        <f t="shared" si="175"/>
        <v>8</v>
      </c>
      <c r="H340" s="84"/>
      <c r="I340" s="84"/>
      <c r="K340" s="93">
        <f t="shared" si="167"/>
        <v>46661</v>
      </c>
      <c r="L340" s="131">
        <v>7.2730947018932998E-2</v>
      </c>
      <c r="M340" s="131">
        <v>5.9702193393708004E-2</v>
      </c>
      <c r="N340" s="132">
        <f t="shared" si="172"/>
        <v>0.13826249467923293</v>
      </c>
      <c r="P340" s="132"/>
    </row>
    <row r="341" spans="1:52">
      <c r="A341" s="78">
        <f t="shared" si="173"/>
        <v>335</v>
      </c>
      <c r="C341" s="78">
        <v>30</v>
      </c>
      <c r="D341" s="78" t="s">
        <v>71</v>
      </c>
      <c r="E341" s="113">
        <f t="shared" si="174"/>
        <v>46692</v>
      </c>
      <c r="F341" s="85">
        <f t="shared" si="171"/>
        <v>20</v>
      </c>
      <c r="G341" s="84">
        <f t="shared" si="175"/>
        <v>10</v>
      </c>
      <c r="H341" s="84"/>
      <c r="I341" s="84"/>
      <c r="K341" s="93">
        <f t="shared" si="167"/>
        <v>46692</v>
      </c>
      <c r="L341" s="131">
        <v>7.2718848717779005E-2</v>
      </c>
      <c r="M341" s="131">
        <v>5.9638660371838008E-2</v>
      </c>
      <c r="N341" s="132">
        <f t="shared" si="172"/>
        <v>0.13747127611568585</v>
      </c>
      <c r="P341" s="132"/>
    </row>
    <row r="342" spans="1:52">
      <c r="A342" s="78">
        <f t="shared" si="173"/>
        <v>336</v>
      </c>
      <c r="C342" s="78">
        <v>31</v>
      </c>
      <c r="D342" s="78" t="s">
        <v>72</v>
      </c>
      <c r="E342" s="113">
        <f t="shared" si="174"/>
        <v>46722</v>
      </c>
      <c r="F342" s="85">
        <f t="shared" si="171"/>
        <v>23</v>
      </c>
      <c r="G342" s="84">
        <f t="shared" si="175"/>
        <v>8</v>
      </c>
      <c r="H342" s="84">
        <f>SUM(F331:G342)</f>
        <v>365</v>
      </c>
      <c r="I342" s="84"/>
      <c r="K342" s="93">
        <f t="shared" si="167"/>
        <v>46722</v>
      </c>
      <c r="L342" s="131">
        <v>7.2707140684451027E-2</v>
      </c>
      <c r="M342" s="131">
        <v>5.9577176829108E-2</v>
      </c>
      <c r="N342" s="132">
        <f t="shared" si="172"/>
        <v>0.13671015026210639</v>
      </c>
      <c r="P342" s="132"/>
      <c r="AZ342" s="85">
        <f>AY342*N342</f>
        <v>0</v>
      </c>
    </row>
    <row r="343" spans="1:52">
      <c r="A343" s="78">
        <f t="shared" si="173"/>
        <v>337</v>
      </c>
      <c r="C343" s="78">
        <v>31</v>
      </c>
      <c r="D343" s="78" t="s">
        <v>62</v>
      </c>
      <c r="E343" s="113">
        <f t="shared" si="174"/>
        <v>46753</v>
      </c>
      <c r="F343" s="85">
        <f t="shared" si="171"/>
        <v>22</v>
      </c>
      <c r="G343" s="84">
        <f>C343-F343</f>
        <v>9</v>
      </c>
      <c r="H343" s="84"/>
      <c r="I343" s="84"/>
      <c r="K343" s="93">
        <f t="shared" si="167"/>
        <v>46753</v>
      </c>
      <c r="L343" s="131">
        <v>7.2695042383392014E-2</v>
      </c>
      <c r="M343" s="131">
        <v>5.9513643862668018E-2</v>
      </c>
      <c r="N343" s="132">
        <f t="shared" si="172"/>
        <v>0.13592834564675724</v>
      </c>
      <c r="P343" s="132"/>
    </row>
    <row r="344" spans="1:52">
      <c r="A344" s="78">
        <f t="shared" si="173"/>
        <v>338</v>
      </c>
      <c r="C344" s="140">
        <v>29</v>
      </c>
      <c r="D344" s="141" t="s">
        <v>63</v>
      </c>
      <c r="E344" s="113">
        <f t="shared" si="174"/>
        <v>46784</v>
      </c>
      <c r="F344" s="85">
        <f t="shared" si="171"/>
        <v>20</v>
      </c>
      <c r="G344" s="84">
        <f t="shared" ref="G344:G354" si="176">C344-F344</f>
        <v>9</v>
      </c>
      <c r="H344" s="84"/>
      <c r="I344" s="84"/>
      <c r="K344" s="93">
        <f t="shared" si="167"/>
        <v>46784</v>
      </c>
      <c r="L344" s="131">
        <v>7.2682944082382003E-2</v>
      </c>
      <c r="M344" s="131">
        <v>5.9450110924400008E-2</v>
      </c>
      <c r="N344" s="132">
        <f t="shared" si="172"/>
        <v>0.1351512800145119</v>
      </c>
      <c r="P344" s="132"/>
    </row>
    <row r="345" spans="1:52">
      <c r="A345" s="78">
        <f t="shared" si="173"/>
        <v>339</v>
      </c>
      <c r="C345" s="78">
        <v>31</v>
      </c>
      <c r="D345" s="78" t="s">
        <v>64</v>
      </c>
      <c r="E345" s="113">
        <f t="shared" si="174"/>
        <v>46813</v>
      </c>
      <c r="F345" s="85">
        <f t="shared" si="171"/>
        <v>23</v>
      </c>
      <c r="G345" s="84">
        <f t="shared" si="176"/>
        <v>8</v>
      </c>
      <c r="H345" s="84"/>
      <c r="I345" s="84"/>
      <c r="K345" s="93">
        <f t="shared" si="167"/>
        <v>46813</v>
      </c>
      <c r="L345" s="131">
        <v>7.2671626316964014E-2</v>
      </c>
      <c r="M345" s="131">
        <v>5.9390676910880007E-2</v>
      </c>
      <c r="N345" s="132">
        <f t="shared" si="172"/>
        <v>0.13442861116091362</v>
      </c>
      <c r="P345" s="132"/>
    </row>
    <row r="346" spans="1:52">
      <c r="A346" s="78">
        <f t="shared" si="173"/>
        <v>340</v>
      </c>
      <c r="C346" s="78">
        <v>30</v>
      </c>
      <c r="D346" s="78" t="s">
        <v>65</v>
      </c>
      <c r="E346" s="113">
        <f t="shared" si="174"/>
        <v>46844</v>
      </c>
      <c r="F346" s="85">
        <f t="shared" si="171"/>
        <v>22</v>
      </c>
      <c r="G346" s="84">
        <f t="shared" si="176"/>
        <v>8</v>
      </c>
      <c r="H346" s="84"/>
      <c r="I346" s="84"/>
      <c r="K346" s="93">
        <f t="shared" si="167"/>
        <v>46844</v>
      </c>
      <c r="L346" s="131">
        <v>7.2659528016047012E-2</v>
      </c>
      <c r="M346" s="131">
        <v>5.9327144027139012E-2</v>
      </c>
      <c r="N346" s="132">
        <f t="shared" si="172"/>
        <v>0.13366063224472052</v>
      </c>
      <c r="P346" s="132"/>
    </row>
    <row r="347" spans="1:52">
      <c r="A347" s="78">
        <f t="shared" si="173"/>
        <v>341</v>
      </c>
      <c r="C347" s="78">
        <v>31</v>
      </c>
      <c r="D347" s="78" t="s">
        <v>38</v>
      </c>
      <c r="E347" s="113">
        <f t="shared" si="174"/>
        <v>46874</v>
      </c>
      <c r="F347" s="85">
        <f t="shared" si="171"/>
        <v>21</v>
      </c>
      <c r="G347" s="84">
        <f t="shared" si="176"/>
        <v>10</v>
      </c>
      <c r="H347" s="84"/>
      <c r="I347" s="84"/>
      <c r="K347" s="93">
        <f t="shared" si="167"/>
        <v>46874</v>
      </c>
      <c r="L347" s="131">
        <v>7.2647819982948003E-2</v>
      </c>
      <c r="M347" s="131">
        <v>5.9265660618085012E-2</v>
      </c>
      <c r="N347" s="132">
        <f t="shared" si="172"/>
        <v>0.1329218555243134</v>
      </c>
      <c r="P347" s="132"/>
    </row>
    <row r="348" spans="1:52">
      <c r="A348" s="78">
        <f t="shared" si="173"/>
        <v>342</v>
      </c>
      <c r="C348" s="78">
        <v>30</v>
      </c>
      <c r="D348" s="78" t="s">
        <v>66</v>
      </c>
      <c r="E348" s="113">
        <f t="shared" si="174"/>
        <v>46905</v>
      </c>
      <c r="F348" s="85">
        <f t="shared" si="171"/>
        <v>22</v>
      </c>
      <c r="G348" s="84">
        <f t="shared" si="176"/>
        <v>8</v>
      </c>
      <c r="H348" s="84"/>
      <c r="I348" s="84"/>
      <c r="K348" s="93">
        <f t="shared" si="167"/>
        <v>46905</v>
      </c>
      <c r="L348" s="131">
        <v>7.2635721682126009E-2</v>
      </c>
      <c r="M348" s="131">
        <v>5.920212778978301E-2</v>
      </c>
      <c r="N348" s="132">
        <f t="shared" si="172"/>
        <v>0.13216300042632428</v>
      </c>
      <c r="P348" s="132"/>
    </row>
    <row r="349" spans="1:52">
      <c r="A349" s="78">
        <f t="shared" si="173"/>
        <v>343</v>
      </c>
      <c r="C349" s="78">
        <v>31</v>
      </c>
      <c r="D349" s="78" t="s">
        <v>67</v>
      </c>
      <c r="E349" s="113">
        <f t="shared" si="174"/>
        <v>46935</v>
      </c>
      <c r="F349" s="85">
        <f t="shared" si="171"/>
        <v>22</v>
      </c>
      <c r="G349" s="84">
        <f t="shared" si="176"/>
        <v>9</v>
      </c>
      <c r="H349" s="84"/>
      <c r="I349" s="84"/>
      <c r="K349" s="93">
        <f t="shared" si="167"/>
        <v>46935</v>
      </c>
      <c r="L349" s="131">
        <v>7.262401364911901E-2</v>
      </c>
      <c r="M349" s="131">
        <v>5.9140644434382016E-2</v>
      </c>
      <c r="N349" s="132">
        <f t="shared" si="172"/>
        <v>0.13143299796373845</v>
      </c>
      <c r="P349" s="132"/>
    </row>
    <row r="350" spans="1:52">
      <c r="A350" s="78">
        <f t="shared" si="173"/>
        <v>344</v>
      </c>
      <c r="C350" s="78">
        <v>31</v>
      </c>
      <c r="D350" s="78" t="s">
        <v>68</v>
      </c>
      <c r="E350" s="113">
        <f t="shared" si="174"/>
        <v>46966</v>
      </c>
      <c r="F350" s="85">
        <f t="shared" si="171"/>
        <v>22</v>
      </c>
      <c r="G350" s="84">
        <f t="shared" si="176"/>
        <v>9</v>
      </c>
      <c r="H350" s="84"/>
      <c r="I350" s="84"/>
      <c r="K350" s="93">
        <f t="shared" si="167"/>
        <v>46966</v>
      </c>
      <c r="L350" s="131">
        <v>7.2611915348391995E-2</v>
      </c>
      <c r="M350" s="131">
        <v>5.9077111661522012E-2</v>
      </c>
      <c r="N350" s="132">
        <f t="shared" si="172"/>
        <v>0.13068315288840515</v>
      </c>
      <c r="P350" s="132"/>
    </row>
    <row r="351" spans="1:52">
      <c r="A351" s="78">
        <f t="shared" si="173"/>
        <v>345</v>
      </c>
      <c r="C351" s="78">
        <v>30</v>
      </c>
      <c r="D351" s="78" t="s">
        <v>69</v>
      </c>
      <c r="E351" s="113">
        <f t="shared" si="174"/>
        <v>46997</v>
      </c>
      <c r="F351" s="85">
        <f t="shared" si="171"/>
        <v>22</v>
      </c>
      <c r="G351" s="84">
        <f t="shared" si="176"/>
        <v>8</v>
      </c>
      <c r="H351" s="84"/>
      <c r="I351" s="84"/>
      <c r="K351" s="93">
        <f t="shared" si="167"/>
        <v>46997</v>
      </c>
      <c r="L351" s="131">
        <v>7.259981704771401E-2</v>
      </c>
      <c r="M351" s="131">
        <v>5.9013578916839018E-2</v>
      </c>
      <c r="N351" s="132">
        <f t="shared" si="172"/>
        <v>0.12993784354230542</v>
      </c>
      <c r="P351" s="132"/>
    </row>
    <row r="352" spans="1:52">
      <c r="A352" s="78">
        <f t="shared" si="173"/>
        <v>346</v>
      </c>
      <c r="C352" s="78">
        <v>31</v>
      </c>
      <c r="D352" s="78" t="s">
        <v>70</v>
      </c>
      <c r="E352" s="113">
        <f t="shared" si="174"/>
        <v>47027</v>
      </c>
      <c r="F352" s="85">
        <f t="shared" si="171"/>
        <v>21</v>
      </c>
      <c r="G352" s="84">
        <f t="shared" si="176"/>
        <v>10</v>
      </c>
      <c r="H352" s="84"/>
      <c r="I352" s="84"/>
      <c r="K352" s="93">
        <f t="shared" si="167"/>
        <v>47027</v>
      </c>
      <c r="L352" s="131">
        <v>7.2588109014845012E-2</v>
      </c>
      <c r="M352" s="131">
        <v>5.8952095642361008E-2</v>
      </c>
      <c r="N352" s="132">
        <f t="shared" si="172"/>
        <v>0.12922086791008761</v>
      </c>
      <c r="P352" s="132"/>
    </row>
    <row r="353" spans="1:52">
      <c r="A353" s="78">
        <f t="shared" si="173"/>
        <v>347</v>
      </c>
      <c r="C353" s="78">
        <v>30</v>
      </c>
      <c r="D353" s="78" t="s">
        <v>71</v>
      </c>
      <c r="E353" s="113">
        <f t="shared" si="174"/>
        <v>47058</v>
      </c>
      <c r="F353" s="85">
        <f t="shared" si="171"/>
        <v>22</v>
      </c>
      <c r="G353" s="84">
        <f t="shared" si="176"/>
        <v>8</v>
      </c>
      <c r="H353" s="84"/>
      <c r="I353" s="84"/>
      <c r="K353" s="93">
        <f t="shared" si="167"/>
        <v>47058</v>
      </c>
      <c r="L353" s="131">
        <v>7.2576010714262992E-2</v>
      </c>
      <c r="M353" s="131">
        <v>5.8888562953125001E-2</v>
      </c>
      <c r="N353" s="132">
        <f t="shared" si="172"/>
        <v>0.12848439975450379</v>
      </c>
      <c r="P353" s="132"/>
    </row>
    <row r="354" spans="1:52">
      <c r="A354" s="78">
        <f t="shared" si="173"/>
        <v>348</v>
      </c>
      <c r="C354" s="78">
        <v>31</v>
      </c>
      <c r="D354" s="78" t="s">
        <v>72</v>
      </c>
      <c r="E354" s="113">
        <f t="shared" si="174"/>
        <v>47088</v>
      </c>
      <c r="F354" s="85">
        <f t="shared" si="171"/>
        <v>23</v>
      </c>
      <c r="G354" s="84">
        <f t="shared" si="176"/>
        <v>8</v>
      </c>
      <c r="H354" s="84">
        <f>SUM(F343:G354)</f>
        <v>366</v>
      </c>
      <c r="I354" s="84"/>
      <c r="K354" s="93">
        <f t="shared" si="167"/>
        <v>47088</v>
      </c>
      <c r="L354" s="131">
        <v>7.2564302681486004E-2</v>
      </c>
      <c r="M354" s="131">
        <v>5.8827079732307996E-2</v>
      </c>
      <c r="N354" s="132">
        <f t="shared" si="172"/>
        <v>0.12777592665412391</v>
      </c>
      <c r="P354" s="132"/>
      <c r="AZ354" s="85">
        <f>AY354*N354</f>
        <v>0</v>
      </c>
    </row>
    <row r="355" spans="1:52">
      <c r="A355" s="78">
        <f t="shared" si="173"/>
        <v>349</v>
      </c>
      <c r="C355" s="78">
        <v>31</v>
      </c>
      <c r="D355" s="78" t="s">
        <v>62</v>
      </c>
      <c r="E355" s="113">
        <f t="shared" si="174"/>
        <v>47119</v>
      </c>
      <c r="F355" s="85">
        <f t="shared" si="171"/>
        <v>23</v>
      </c>
      <c r="G355" s="84">
        <f>C355-F355</f>
        <v>8</v>
      </c>
      <c r="H355" s="84"/>
      <c r="I355" s="84"/>
      <c r="K355" s="93">
        <f t="shared" si="167"/>
        <v>47119</v>
      </c>
      <c r="L355" s="131">
        <v>7.2552204381000004E-2</v>
      </c>
      <c r="M355" s="131">
        <v>5.8763547098523009E-2</v>
      </c>
      <c r="N355" s="132">
        <f t="shared" si="172"/>
        <v>0.12704818956928421</v>
      </c>
      <c r="P355" s="132"/>
    </row>
    <row r="356" spans="1:52">
      <c r="A356" s="78">
        <f t="shared" si="173"/>
        <v>350</v>
      </c>
      <c r="C356" s="78">
        <v>28</v>
      </c>
      <c r="D356" s="78" t="s">
        <v>63</v>
      </c>
      <c r="E356" s="113">
        <f t="shared" si="174"/>
        <v>47150</v>
      </c>
      <c r="F356" s="85">
        <f t="shared" si="171"/>
        <v>20</v>
      </c>
      <c r="G356" s="84">
        <f t="shared" ref="G356:G366" si="177">C356-F356</f>
        <v>8</v>
      </c>
      <c r="H356" s="84"/>
      <c r="I356" s="84"/>
      <c r="K356" s="93">
        <f t="shared" si="167"/>
        <v>47150</v>
      </c>
      <c r="L356" s="131">
        <v>7.2540106080558012E-2</v>
      </c>
      <c r="M356" s="131">
        <v>5.8700014492918007E-2</v>
      </c>
      <c r="N356" s="132">
        <f t="shared" si="172"/>
        <v>0.12632484784398981</v>
      </c>
      <c r="P356" s="132"/>
    </row>
    <row r="357" spans="1:52">
      <c r="A357" s="78">
        <f t="shared" si="173"/>
        <v>351</v>
      </c>
      <c r="C357" s="78">
        <v>31</v>
      </c>
      <c r="D357" s="78" t="s">
        <v>64</v>
      </c>
      <c r="E357" s="113">
        <f t="shared" si="174"/>
        <v>47178</v>
      </c>
      <c r="F357" s="85">
        <f t="shared" si="171"/>
        <v>22</v>
      </c>
      <c r="G357" s="84">
        <f t="shared" si="177"/>
        <v>9</v>
      </c>
      <c r="H357" s="84"/>
      <c r="I357" s="84"/>
      <c r="K357" s="93">
        <f t="shared" si="167"/>
        <v>47178</v>
      </c>
      <c r="L357" s="131">
        <v>7.2529178583428E-2</v>
      </c>
      <c r="M357" s="131">
        <v>5.8642630228208009E-2</v>
      </c>
      <c r="N357" s="132">
        <f t="shared" si="172"/>
        <v>0.12567526163842871</v>
      </c>
      <c r="P357" s="132"/>
    </row>
    <row r="358" spans="1:52">
      <c r="A358" s="78">
        <f t="shared" si="173"/>
        <v>352</v>
      </c>
      <c r="C358" s="78">
        <v>30</v>
      </c>
      <c r="D358" s="78" t="s">
        <v>65</v>
      </c>
      <c r="E358" s="113">
        <f t="shared" si="174"/>
        <v>47209</v>
      </c>
      <c r="F358" s="85">
        <f t="shared" si="171"/>
        <v>21</v>
      </c>
      <c r="G358" s="84">
        <f t="shared" si="177"/>
        <v>9</v>
      </c>
      <c r="H358" s="84"/>
      <c r="I358" s="84"/>
      <c r="K358" s="93">
        <f t="shared" si="167"/>
        <v>47209</v>
      </c>
      <c r="L358" s="131">
        <v>7.2517080283080015E-2</v>
      </c>
      <c r="M358" s="131">
        <v>5.8579097676240012E-2</v>
      </c>
      <c r="N358" s="132">
        <f t="shared" si="172"/>
        <v>0.12496020839136983</v>
      </c>
      <c r="P358" s="132"/>
    </row>
    <row r="359" spans="1:52">
      <c r="A359" s="78">
        <f t="shared" si="173"/>
        <v>353</v>
      </c>
      <c r="C359" s="78">
        <v>31</v>
      </c>
      <c r="D359" s="78" t="s">
        <v>38</v>
      </c>
      <c r="E359" s="113">
        <f t="shared" si="174"/>
        <v>47239</v>
      </c>
      <c r="F359" s="85">
        <f t="shared" si="171"/>
        <v>23</v>
      </c>
      <c r="G359" s="84">
        <f t="shared" si="177"/>
        <v>8</v>
      </c>
      <c r="H359" s="84"/>
      <c r="I359" s="84"/>
      <c r="K359" s="93">
        <f t="shared" ref="K359:K369" si="178">E359</f>
        <v>47239</v>
      </c>
      <c r="L359" s="131">
        <v>7.250537225053201E-2</v>
      </c>
      <c r="M359" s="131">
        <v>5.8517614588267992E-2</v>
      </c>
      <c r="N359" s="132">
        <f t="shared" si="172"/>
        <v>0.12427233003176791</v>
      </c>
      <c r="P359" s="132"/>
    </row>
    <row r="360" spans="1:52">
      <c r="A360" s="78">
        <f t="shared" si="173"/>
        <v>354</v>
      </c>
      <c r="C360" s="78">
        <v>30</v>
      </c>
      <c r="D360" s="78" t="s">
        <v>66</v>
      </c>
      <c r="E360" s="113">
        <f t="shared" si="174"/>
        <v>47270</v>
      </c>
      <c r="F360" s="85">
        <f t="shared" si="171"/>
        <v>21</v>
      </c>
      <c r="G360" s="84">
        <f t="shared" si="177"/>
        <v>9</v>
      </c>
      <c r="H360" s="84"/>
      <c r="I360" s="84"/>
      <c r="K360" s="93">
        <f t="shared" si="178"/>
        <v>47270</v>
      </c>
      <c r="L360" s="131">
        <v>7.2493273950279019E-2</v>
      </c>
      <c r="M360" s="131">
        <v>5.8454082091759015E-2</v>
      </c>
      <c r="N360" s="132">
        <f t="shared" si="172"/>
        <v>0.12356574137824879</v>
      </c>
      <c r="P360" s="132"/>
    </row>
    <row r="361" spans="1:52">
      <c r="A361" s="78">
        <f t="shared" si="173"/>
        <v>355</v>
      </c>
      <c r="C361" s="78">
        <v>31</v>
      </c>
      <c r="D361" s="78" t="s">
        <v>67</v>
      </c>
      <c r="E361" s="113">
        <f t="shared" si="174"/>
        <v>47300</v>
      </c>
      <c r="F361" s="85">
        <f t="shared" si="171"/>
        <v>22</v>
      </c>
      <c r="G361" s="84">
        <f t="shared" si="177"/>
        <v>9</v>
      </c>
      <c r="H361" s="84"/>
      <c r="I361" s="84"/>
      <c r="K361" s="93">
        <f t="shared" si="178"/>
        <v>47300</v>
      </c>
      <c r="L361" s="131">
        <v>7.248156591782301E-2</v>
      </c>
      <c r="M361" s="131">
        <v>5.8392599057457022E-2</v>
      </c>
      <c r="N361" s="132">
        <f t="shared" si="172"/>
        <v>0.12288600347626455</v>
      </c>
      <c r="P361" s="132"/>
    </row>
    <row r="362" spans="1:52">
      <c r="A362" s="78">
        <f t="shared" si="173"/>
        <v>356</v>
      </c>
      <c r="C362" s="78">
        <v>31</v>
      </c>
      <c r="D362" s="78" t="s">
        <v>68</v>
      </c>
      <c r="E362" s="113">
        <f t="shared" si="174"/>
        <v>47331</v>
      </c>
      <c r="F362" s="85">
        <f t="shared" si="171"/>
        <v>23</v>
      </c>
      <c r="G362" s="84">
        <f t="shared" si="177"/>
        <v>8</v>
      </c>
      <c r="H362" s="84"/>
      <c r="I362" s="84"/>
      <c r="K362" s="93">
        <f t="shared" si="178"/>
        <v>47331</v>
      </c>
      <c r="L362" s="131">
        <v>7.2469467617666011E-2</v>
      </c>
      <c r="M362" s="131">
        <v>5.8329066616410012E-2</v>
      </c>
      <c r="N362" s="132">
        <f t="shared" si="172"/>
        <v>0.1221877741870519</v>
      </c>
      <c r="P362" s="132"/>
    </row>
    <row r="363" spans="1:52">
      <c r="A363" s="78">
        <f t="shared" si="173"/>
        <v>357</v>
      </c>
      <c r="C363" s="78">
        <v>30</v>
      </c>
      <c r="D363" s="78" t="s">
        <v>69</v>
      </c>
      <c r="E363" s="113">
        <f t="shared" si="174"/>
        <v>47362</v>
      </c>
      <c r="F363" s="85">
        <f t="shared" si="171"/>
        <v>20</v>
      </c>
      <c r="G363" s="84">
        <f t="shared" si="177"/>
        <v>10</v>
      </c>
      <c r="H363" s="84"/>
      <c r="I363" s="84"/>
      <c r="K363" s="93">
        <f t="shared" si="178"/>
        <v>47362</v>
      </c>
      <c r="L363" s="131">
        <v>7.2457369317556003E-2</v>
      </c>
      <c r="M363" s="131">
        <v>5.8265534203550011E-2</v>
      </c>
    </row>
    <row r="364" spans="1:52">
      <c r="A364" s="78">
        <f t="shared" si="173"/>
        <v>358</v>
      </c>
      <c r="C364" s="78">
        <v>31</v>
      </c>
      <c r="D364" s="78" t="s">
        <v>70</v>
      </c>
      <c r="E364" s="113">
        <f t="shared" si="174"/>
        <v>47392</v>
      </c>
      <c r="F364" s="85">
        <f t="shared" si="171"/>
        <v>23</v>
      </c>
      <c r="G364" s="84">
        <f t="shared" si="177"/>
        <v>8</v>
      </c>
      <c r="H364" s="84"/>
      <c r="I364" s="84"/>
      <c r="K364" s="93">
        <f t="shared" si="178"/>
        <v>47392</v>
      </c>
      <c r="L364" s="131">
        <v>7.2445661285239007E-2</v>
      </c>
      <c r="M364" s="131">
        <v>5.8204051250201012E-2</v>
      </c>
    </row>
    <row r="365" spans="1:52">
      <c r="A365" s="78">
        <f t="shared" si="173"/>
        <v>359</v>
      </c>
      <c r="C365" s="78">
        <v>30</v>
      </c>
      <c r="D365" s="78" t="s">
        <v>71</v>
      </c>
      <c r="E365" s="113">
        <f t="shared" si="174"/>
        <v>47423</v>
      </c>
      <c r="F365" s="85">
        <f t="shared" si="171"/>
        <v>22</v>
      </c>
      <c r="G365" s="84">
        <f t="shared" si="177"/>
        <v>8</v>
      </c>
      <c r="H365" s="84"/>
      <c r="I365" s="84"/>
      <c r="K365" s="93">
        <f t="shared" si="178"/>
        <v>47423</v>
      </c>
      <c r="L365" s="131">
        <v>7.2433562985224006E-2</v>
      </c>
      <c r="M365" s="131">
        <v>5.8140518892807018E-2</v>
      </c>
    </row>
    <row r="366" spans="1:52">
      <c r="A366" s="78">
        <f t="shared" si="173"/>
        <v>360</v>
      </c>
      <c r="C366" s="78">
        <v>31</v>
      </c>
      <c r="D366" s="78" t="s">
        <v>72</v>
      </c>
      <c r="E366" s="113">
        <f t="shared" si="174"/>
        <v>47453</v>
      </c>
      <c r="F366" s="85">
        <f t="shared" si="171"/>
        <v>21</v>
      </c>
      <c r="G366" s="84">
        <f t="shared" si="177"/>
        <v>10</v>
      </c>
      <c r="H366" s="84">
        <f>SUM(F355:G366)</f>
        <v>365</v>
      </c>
      <c r="I366" s="84"/>
      <c r="K366" s="93">
        <f t="shared" si="178"/>
        <v>47453</v>
      </c>
      <c r="L366" s="131">
        <v>7.2421854953000006E-2</v>
      </c>
      <c r="M366" s="131">
        <v>5.8079035993137004E-2</v>
      </c>
      <c r="AZ366" s="85">
        <f>AY366*N366</f>
        <v>0</v>
      </c>
    </row>
    <row r="367" spans="1:52">
      <c r="A367" s="78">
        <f t="shared" si="173"/>
        <v>361</v>
      </c>
      <c r="C367" s="78">
        <v>31</v>
      </c>
      <c r="D367" s="78" t="s">
        <v>62</v>
      </c>
      <c r="E367" s="113">
        <f t="shared" si="174"/>
        <v>47484</v>
      </c>
      <c r="F367" s="85">
        <f t="shared" si="171"/>
        <v>23</v>
      </c>
      <c r="G367" s="84">
        <f>C367-F367</f>
        <v>8</v>
      </c>
      <c r="H367" s="84"/>
      <c r="I367" s="84"/>
      <c r="K367" s="93">
        <f t="shared" si="178"/>
        <v>47484</v>
      </c>
      <c r="L367" s="131">
        <v>7.2409756653080012E-2</v>
      </c>
      <c r="M367" s="131">
        <v>5.8015503691214006E-2</v>
      </c>
    </row>
    <row r="368" spans="1:52">
      <c r="A368" s="78">
        <f t="shared" si="173"/>
        <v>362</v>
      </c>
      <c r="C368" s="78">
        <v>28</v>
      </c>
      <c r="D368" s="78" t="s">
        <v>63</v>
      </c>
      <c r="E368" s="113">
        <f t="shared" si="174"/>
        <v>47515</v>
      </c>
      <c r="F368" s="85">
        <f t="shared" si="171"/>
        <v>20</v>
      </c>
      <c r="G368" s="84">
        <f t="shared" ref="G368:G378" si="179">C368-F368</f>
        <v>8</v>
      </c>
      <c r="H368" s="84"/>
      <c r="I368" s="84"/>
      <c r="K368" s="93">
        <f t="shared" si="178"/>
        <v>47515</v>
      </c>
      <c r="L368" s="80">
        <v>7.2397658353210007E-2</v>
      </c>
      <c r="M368" s="147">
        <v>5.7951971417481013E-2</v>
      </c>
    </row>
    <row r="369" spans="1:52">
      <c r="A369" s="78">
        <f t="shared" si="173"/>
        <v>363</v>
      </c>
      <c r="C369" s="78">
        <v>31</v>
      </c>
      <c r="D369" s="78" t="s">
        <v>64</v>
      </c>
      <c r="E369" s="113">
        <f t="shared" si="174"/>
        <v>47543</v>
      </c>
      <c r="F369" s="85">
        <f t="shared" si="171"/>
        <v>21</v>
      </c>
      <c r="G369" s="84">
        <f t="shared" si="179"/>
        <v>10</v>
      </c>
      <c r="H369" s="84"/>
      <c r="I369" s="84"/>
      <c r="K369" s="93">
        <f t="shared" si="178"/>
        <v>47543</v>
      </c>
      <c r="L369" s="78">
        <v>7.2386730856594028E-2</v>
      </c>
      <c r="M369" s="78">
        <v>5.7894587452535021E-2</v>
      </c>
    </row>
    <row r="370" spans="1:52">
      <c r="A370" s="78">
        <f t="shared" si="173"/>
        <v>364</v>
      </c>
      <c r="C370" s="78">
        <v>30</v>
      </c>
      <c r="D370" s="78" t="s">
        <v>65</v>
      </c>
      <c r="E370" s="113">
        <f t="shared" si="174"/>
        <v>47574</v>
      </c>
      <c r="F370" s="85">
        <f t="shared" si="171"/>
        <v>22</v>
      </c>
      <c r="G370" s="84">
        <f t="shared" si="179"/>
        <v>8</v>
      </c>
      <c r="H370" s="84"/>
      <c r="I370" s="84"/>
      <c r="L370" s="78">
        <v>7.2864037472239018E-2</v>
      </c>
      <c r="M370" s="78">
        <v>5.7831055232458017E-2</v>
      </c>
    </row>
    <row r="371" spans="1:52">
      <c r="A371" s="78">
        <f t="shared" si="173"/>
        <v>365</v>
      </c>
      <c r="C371" s="78">
        <v>31</v>
      </c>
      <c r="D371" s="78" t="s">
        <v>38</v>
      </c>
      <c r="E371" s="113">
        <f t="shared" si="174"/>
        <v>47604</v>
      </c>
      <c r="F371" s="85">
        <f t="shared" si="171"/>
        <v>23</v>
      </c>
      <c r="G371" s="84">
        <f t="shared" si="179"/>
        <v>8</v>
      </c>
      <c r="H371" s="84"/>
      <c r="I371" s="84"/>
    </row>
    <row r="372" spans="1:52">
      <c r="A372" s="78">
        <f t="shared" si="173"/>
        <v>366</v>
      </c>
      <c r="C372" s="78">
        <v>30</v>
      </c>
      <c r="D372" s="78" t="s">
        <v>66</v>
      </c>
      <c r="E372" s="113">
        <f t="shared" si="174"/>
        <v>47635</v>
      </c>
      <c r="F372" s="85">
        <f t="shared" si="171"/>
        <v>20</v>
      </c>
      <c r="G372" s="84">
        <f t="shared" si="179"/>
        <v>10</v>
      </c>
      <c r="H372" s="84"/>
      <c r="I372" s="84"/>
    </row>
    <row r="373" spans="1:52">
      <c r="A373" s="78">
        <f t="shared" si="173"/>
        <v>367</v>
      </c>
      <c r="C373" s="78">
        <v>31</v>
      </c>
      <c r="D373" s="78" t="s">
        <v>67</v>
      </c>
      <c r="E373" s="113">
        <f t="shared" si="174"/>
        <v>47665</v>
      </c>
      <c r="F373" s="85">
        <f t="shared" si="171"/>
        <v>23</v>
      </c>
      <c r="G373" s="84">
        <f t="shared" si="179"/>
        <v>8</v>
      </c>
      <c r="H373" s="84"/>
      <c r="I373" s="84"/>
    </row>
    <row r="374" spans="1:52">
      <c r="A374" s="78">
        <f t="shared" si="173"/>
        <v>368</v>
      </c>
      <c r="C374" s="78">
        <v>31</v>
      </c>
      <c r="D374" s="78" t="s">
        <v>68</v>
      </c>
      <c r="E374" s="113">
        <f t="shared" si="174"/>
        <v>47696</v>
      </c>
      <c r="F374" s="85">
        <f t="shared" si="171"/>
        <v>22</v>
      </c>
      <c r="G374" s="84">
        <f t="shared" si="179"/>
        <v>9</v>
      </c>
      <c r="H374" s="84"/>
      <c r="I374" s="84"/>
    </row>
    <row r="375" spans="1:52">
      <c r="A375" s="78">
        <f t="shared" si="173"/>
        <v>369</v>
      </c>
      <c r="C375" s="78">
        <v>30</v>
      </c>
      <c r="D375" s="78" t="s">
        <v>69</v>
      </c>
      <c r="E375" s="113">
        <f t="shared" si="174"/>
        <v>47727</v>
      </c>
      <c r="F375" s="85">
        <f t="shared" si="171"/>
        <v>21</v>
      </c>
      <c r="G375" s="84">
        <f t="shared" si="179"/>
        <v>9</v>
      </c>
      <c r="H375" s="84"/>
      <c r="I375" s="84"/>
    </row>
    <row r="376" spans="1:52">
      <c r="A376" s="78">
        <f t="shared" si="173"/>
        <v>370</v>
      </c>
      <c r="C376" s="78">
        <v>31</v>
      </c>
      <c r="D376" s="78" t="s">
        <v>70</v>
      </c>
      <c r="E376" s="113">
        <f t="shared" si="174"/>
        <v>47757</v>
      </c>
      <c r="F376" s="85">
        <f t="shared" si="171"/>
        <v>23</v>
      </c>
      <c r="G376" s="84">
        <f t="shared" si="179"/>
        <v>8</v>
      </c>
      <c r="H376" s="84"/>
      <c r="I376" s="84"/>
    </row>
    <row r="377" spans="1:52">
      <c r="A377" s="78">
        <f t="shared" si="173"/>
        <v>371</v>
      </c>
      <c r="C377" s="78">
        <v>30</v>
      </c>
      <c r="D377" s="78" t="s">
        <v>71</v>
      </c>
      <c r="E377" s="113">
        <f t="shared" si="174"/>
        <v>47788</v>
      </c>
      <c r="F377" s="85">
        <f t="shared" si="171"/>
        <v>21</v>
      </c>
      <c r="G377" s="84">
        <f t="shared" si="179"/>
        <v>9</v>
      </c>
      <c r="H377" s="84"/>
      <c r="I377" s="84"/>
    </row>
    <row r="378" spans="1:52">
      <c r="A378" s="78">
        <f t="shared" si="173"/>
        <v>372</v>
      </c>
      <c r="C378" s="78">
        <v>31</v>
      </c>
      <c r="D378" s="78" t="s">
        <v>72</v>
      </c>
      <c r="E378" s="113">
        <f t="shared" si="174"/>
        <v>47818</v>
      </c>
      <c r="F378" s="85">
        <f t="shared" si="171"/>
        <v>22</v>
      </c>
      <c r="G378" s="84">
        <f t="shared" si="179"/>
        <v>9</v>
      </c>
      <c r="H378" s="84">
        <f>SUM(F367:G378)</f>
        <v>365</v>
      </c>
      <c r="I378" s="84"/>
      <c r="AZ378" s="85">
        <f>AY378*N378</f>
        <v>0</v>
      </c>
    </row>
    <row r="379" spans="1:52">
      <c r="A379" s="78">
        <f t="shared" si="173"/>
        <v>373</v>
      </c>
      <c r="C379" s="78">
        <v>31</v>
      </c>
      <c r="D379" s="78" t="s">
        <v>62</v>
      </c>
      <c r="E379" s="113">
        <f t="shared" si="174"/>
        <v>47849</v>
      </c>
      <c r="F379" s="85">
        <f t="shared" si="171"/>
        <v>23</v>
      </c>
      <c r="G379" s="84">
        <f>C379-F379</f>
        <v>8</v>
      </c>
      <c r="H379" s="84"/>
      <c r="I379" s="84"/>
    </row>
    <row r="380" spans="1:52">
      <c r="A380" s="78">
        <f t="shared" si="173"/>
        <v>374</v>
      </c>
      <c r="C380" s="78">
        <v>28</v>
      </c>
      <c r="D380" s="78" t="s">
        <v>63</v>
      </c>
      <c r="E380" s="113">
        <f t="shared" si="174"/>
        <v>47880</v>
      </c>
      <c r="F380" s="85">
        <f t="shared" si="171"/>
        <v>20</v>
      </c>
      <c r="G380" s="84">
        <f t="shared" ref="G380:G390" si="180">C380-F380</f>
        <v>8</v>
      </c>
      <c r="H380" s="84"/>
      <c r="I380" s="84"/>
    </row>
    <row r="381" spans="1:52">
      <c r="A381" s="78">
        <f t="shared" si="173"/>
        <v>375</v>
      </c>
      <c r="C381" s="78">
        <v>31</v>
      </c>
      <c r="D381" s="78" t="s">
        <v>64</v>
      </c>
      <c r="E381" s="113">
        <f t="shared" si="174"/>
        <v>47908</v>
      </c>
      <c r="F381" s="85">
        <f t="shared" si="171"/>
        <v>21</v>
      </c>
      <c r="G381" s="84">
        <f t="shared" si="180"/>
        <v>10</v>
      </c>
      <c r="H381" s="84"/>
      <c r="I381" s="84"/>
    </row>
    <row r="382" spans="1:52">
      <c r="A382" s="78">
        <f t="shared" si="173"/>
        <v>376</v>
      </c>
      <c r="C382" s="78">
        <v>30</v>
      </c>
      <c r="D382" s="78" t="s">
        <v>65</v>
      </c>
      <c r="E382" s="113">
        <f t="shared" si="174"/>
        <v>47939</v>
      </c>
      <c r="F382" s="85">
        <f t="shared" si="171"/>
        <v>22</v>
      </c>
      <c r="G382" s="84">
        <f t="shared" si="180"/>
        <v>8</v>
      </c>
      <c r="H382" s="84"/>
      <c r="I382" s="84"/>
    </row>
    <row r="383" spans="1:52">
      <c r="A383" s="78">
        <f t="shared" si="173"/>
        <v>377</v>
      </c>
      <c r="C383" s="78">
        <v>31</v>
      </c>
      <c r="D383" s="78" t="s">
        <v>38</v>
      </c>
      <c r="E383" s="113">
        <f t="shared" si="174"/>
        <v>47969</v>
      </c>
      <c r="F383" s="85">
        <f t="shared" si="171"/>
        <v>22</v>
      </c>
      <c r="G383" s="84">
        <f t="shared" si="180"/>
        <v>9</v>
      </c>
      <c r="H383" s="84"/>
      <c r="I383" s="84"/>
    </row>
    <row r="384" spans="1:52">
      <c r="A384" s="78">
        <f t="shared" si="173"/>
        <v>378</v>
      </c>
      <c r="C384" s="78">
        <v>30</v>
      </c>
      <c r="D384" s="78" t="s">
        <v>66</v>
      </c>
      <c r="E384" s="113">
        <f t="shared" si="174"/>
        <v>48000</v>
      </c>
      <c r="F384" s="85">
        <f t="shared" si="171"/>
        <v>21</v>
      </c>
      <c r="G384" s="84">
        <f t="shared" si="180"/>
        <v>9</v>
      </c>
      <c r="H384" s="84"/>
      <c r="I384" s="84"/>
    </row>
    <row r="385" spans="1:52">
      <c r="A385" s="78">
        <f t="shared" si="173"/>
        <v>379</v>
      </c>
      <c r="C385" s="78">
        <v>31</v>
      </c>
      <c r="D385" s="78" t="s">
        <v>67</v>
      </c>
      <c r="E385" s="113">
        <f t="shared" si="174"/>
        <v>48030</v>
      </c>
      <c r="F385" s="85">
        <f t="shared" si="171"/>
        <v>23</v>
      </c>
      <c r="G385" s="84">
        <f t="shared" si="180"/>
        <v>8</v>
      </c>
      <c r="H385" s="84"/>
      <c r="I385" s="84"/>
    </row>
    <row r="386" spans="1:52">
      <c r="A386" s="78">
        <f t="shared" si="173"/>
        <v>380</v>
      </c>
      <c r="C386" s="78">
        <v>31</v>
      </c>
      <c r="D386" s="78" t="s">
        <v>68</v>
      </c>
      <c r="E386" s="113">
        <f t="shared" si="174"/>
        <v>48061</v>
      </c>
      <c r="F386" s="85">
        <f t="shared" si="171"/>
        <v>21</v>
      </c>
      <c r="G386" s="84">
        <f t="shared" si="180"/>
        <v>10</v>
      </c>
      <c r="H386" s="84"/>
      <c r="I386" s="84"/>
    </row>
    <row r="387" spans="1:52">
      <c r="A387" s="78">
        <f t="shared" si="173"/>
        <v>381</v>
      </c>
      <c r="C387" s="78">
        <v>30</v>
      </c>
      <c r="D387" s="78" t="s">
        <v>69</v>
      </c>
      <c r="E387" s="113">
        <f t="shared" si="174"/>
        <v>48092</v>
      </c>
      <c r="F387" s="85">
        <f t="shared" si="171"/>
        <v>22</v>
      </c>
      <c r="G387" s="84">
        <f t="shared" si="180"/>
        <v>8</v>
      </c>
      <c r="H387" s="84"/>
      <c r="I387" s="84"/>
    </row>
    <row r="388" spans="1:52">
      <c r="A388" s="78">
        <f t="shared" si="173"/>
        <v>382</v>
      </c>
      <c r="C388" s="78">
        <v>31</v>
      </c>
      <c r="D388" s="78" t="s">
        <v>70</v>
      </c>
      <c r="E388" s="113">
        <f t="shared" si="174"/>
        <v>48122</v>
      </c>
      <c r="F388" s="85">
        <f t="shared" ref="F388:F451" si="181">F340</f>
        <v>23</v>
      </c>
      <c r="G388" s="84">
        <f t="shared" si="180"/>
        <v>8</v>
      </c>
      <c r="H388" s="84"/>
      <c r="I388" s="84"/>
    </row>
    <row r="389" spans="1:52">
      <c r="A389" s="78">
        <f t="shared" si="173"/>
        <v>383</v>
      </c>
      <c r="C389" s="78">
        <v>30</v>
      </c>
      <c r="D389" s="78" t="s">
        <v>71</v>
      </c>
      <c r="E389" s="113">
        <f t="shared" si="174"/>
        <v>48153</v>
      </c>
      <c r="F389" s="85">
        <f t="shared" si="181"/>
        <v>20</v>
      </c>
      <c r="G389" s="84">
        <f t="shared" si="180"/>
        <v>10</v>
      </c>
      <c r="H389" s="84"/>
      <c r="I389" s="84"/>
    </row>
    <row r="390" spans="1:52">
      <c r="A390" s="78">
        <f t="shared" si="173"/>
        <v>384</v>
      </c>
      <c r="C390" s="78">
        <v>31</v>
      </c>
      <c r="D390" s="78" t="s">
        <v>72</v>
      </c>
      <c r="E390" s="113">
        <f t="shared" si="174"/>
        <v>48183</v>
      </c>
      <c r="F390" s="85">
        <f t="shared" si="181"/>
        <v>23</v>
      </c>
      <c r="G390" s="84">
        <f t="shared" si="180"/>
        <v>8</v>
      </c>
      <c r="H390" s="84">
        <f>SUM(F379:G390)</f>
        <v>365</v>
      </c>
      <c r="I390" s="84"/>
      <c r="AZ390" s="85">
        <f>AY390*N390</f>
        <v>0</v>
      </c>
    </row>
    <row r="391" spans="1:52">
      <c r="A391" s="78">
        <f t="shared" si="173"/>
        <v>385</v>
      </c>
      <c r="C391" s="78">
        <v>31</v>
      </c>
      <c r="D391" s="78" t="s">
        <v>62</v>
      </c>
      <c r="E391" s="113">
        <f t="shared" si="174"/>
        <v>48214</v>
      </c>
      <c r="F391" s="85">
        <f t="shared" si="181"/>
        <v>22</v>
      </c>
      <c r="G391" s="84">
        <f>C391-F391</f>
        <v>9</v>
      </c>
      <c r="H391" s="84"/>
      <c r="I391" s="84"/>
    </row>
    <row r="392" spans="1:52">
      <c r="A392" s="78">
        <f t="shared" si="173"/>
        <v>386</v>
      </c>
      <c r="C392" s="140">
        <v>29</v>
      </c>
      <c r="D392" s="141" t="s">
        <v>63</v>
      </c>
      <c r="E392" s="113">
        <f t="shared" si="174"/>
        <v>48245</v>
      </c>
      <c r="F392" s="85">
        <f t="shared" si="181"/>
        <v>20</v>
      </c>
      <c r="G392" s="84">
        <f t="shared" ref="G392:G402" si="182">C392-F392</f>
        <v>9</v>
      </c>
      <c r="H392" s="84"/>
      <c r="I392" s="84"/>
    </row>
    <row r="393" spans="1:52">
      <c r="A393" s="78">
        <f t="shared" ref="A393:A456" si="183">A392+1</f>
        <v>387</v>
      </c>
      <c r="C393" s="78">
        <v>31</v>
      </c>
      <c r="D393" s="78" t="s">
        <v>64</v>
      </c>
      <c r="E393" s="113">
        <f t="shared" ref="E393:E456" si="184">E392+C392</f>
        <v>48274</v>
      </c>
      <c r="F393" s="85">
        <f t="shared" si="181"/>
        <v>23</v>
      </c>
      <c r="G393" s="84">
        <f t="shared" si="182"/>
        <v>8</v>
      </c>
      <c r="H393" s="84"/>
      <c r="I393" s="84"/>
    </row>
    <row r="394" spans="1:52">
      <c r="A394" s="78">
        <f t="shared" si="183"/>
        <v>388</v>
      </c>
      <c r="C394" s="78">
        <v>30</v>
      </c>
      <c r="D394" s="78" t="s">
        <v>65</v>
      </c>
      <c r="E394" s="113">
        <f t="shared" si="184"/>
        <v>48305</v>
      </c>
      <c r="F394" s="85">
        <f t="shared" si="181"/>
        <v>22</v>
      </c>
      <c r="G394" s="84">
        <f t="shared" si="182"/>
        <v>8</v>
      </c>
      <c r="H394" s="84"/>
      <c r="I394" s="84"/>
    </row>
    <row r="395" spans="1:52">
      <c r="A395" s="78">
        <f t="shared" si="183"/>
        <v>389</v>
      </c>
      <c r="C395" s="78">
        <v>31</v>
      </c>
      <c r="D395" s="78" t="s">
        <v>38</v>
      </c>
      <c r="E395" s="113">
        <f t="shared" si="184"/>
        <v>48335</v>
      </c>
      <c r="F395" s="85">
        <f t="shared" si="181"/>
        <v>21</v>
      </c>
      <c r="G395" s="84">
        <f t="shared" si="182"/>
        <v>10</v>
      </c>
      <c r="H395" s="84"/>
      <c r="I395" s="84"/>
    </row>
    <row r="396" spans="1:52">
      <c r="A396" s="78">
        <f t="shared" si="183"/>
        <v>390</v>
      </c>
      <c r="C396" s="78">
        <v>30</v>
      </c>
      <c r="D396" s="78" t="s">
        <v>66</v>
      </c>
      <c r="E396" s="113">
        <f t="shared" si="184"/>
        <v>48366</v>
      </c>
      <c r="F396" s="85">
        <f t="shared" si="181"/>
        <v>22</v>
      </c>
      <c r="G396" s="84">
        <f t="shared" si="182"/>
        <v>8</v>
      </c>
      <c r="H396" s="84"/>
      <c r="I396" s="84"/>
    </row>
    <row r="397" spans="1:52">
      <c r="A397" s="78">
        <f t="shared" si="183"/>
        <v>391</v>
      </c>
      <c r="C397" s="78">
        <v>31</v>
      </c>
      <c r="D397" s="78" t="s">
        <v>67</v>
      </c>
      <c r="E397" s="113">
        <f t="shared" si="184"/>
        <v>48396</v>
      </c>
      <c r="F397" s="85">
        <f t="shared" si="181"/>
        <v>22</v>
      </c>
      <c r="G397" s="84">
        <f t="shared" si="182"/>
        <v>9</v>
      </c>
      <c r="H397" s="84"/>
      <c r="I397" s="84"/>
    </row>
    <row r="398" spans="1:52">
      <c r="A398" s="78">
        <f t="shared" si="183"/>
        <v>392</v>
      </c>
      <c r="C398" s="78">
        <v>31</v>
      </c>
      <c r="D398" s="78" t="s">
        <v>68</v>
      </c>
      <c r="E398" s="113">
        <f t="shared" si="184"/>
        <v>48427</v>
      </c>
      <c r="F398" s="85">
        <f t="shared" si="181"/>
        <v>22</v>
      </c>
      <c r="G398" s="84">
        <f t="shared" si="182"/>
        <v>9</v>
      </c>
      <c r="H398" s="84"/>
      <c r="I398" s="84"/>
    </row>
    <row r="399" spans="1:52">
      <c r="A399" s="78">
        <f t="shared" si="183"/>
        <v>393</v>
      </c>
      <c r="C399" s="78">
        <v>30</v>
      </c>
      <c r="D399" s="78" t="s">
        <v>69</v>
      </c>
      <c r="E399" s="113">
        <f t="shared" si="184"/>
        <v>48458</v>
      </c>
      <c r="F399" s="85">
        <f t="shared" si="181"/>
        <v>22</v>
      </c>
      <c r="G399" s="84">
        <f t="shared" si="182"/>
        <v>8</v>
      </c>
      <c r="H399" s="84"/>
      <c r="I399" s="84"/>
    </row>
    <row r="400" spans="1:52">
      <c r="A400" s="78">
        <f t="shared" si="183"/>
        <v>394</v>
      </c>
      <c r="C400" s="78">
        <v>31</v>
      </c>
      <c r="D400" s="78" t="s">
        <v>70</v>
      </c>
      <c r="E400" s="113">
        <f t="shared" si="184"/>
        <v>48488</v>
      </c>
      <c r="F400" s="85">
        <f t="shared" si="181"/>
        <v>21</v>
      </c>
      <c r="G400" s="84">
        <f t="shared" si="182"/>
        <v>10</v>
      </c>
      <c r="H400" s="84"/>
      <c r="I400" s="84"/>
    </row>
    <row r="401" spans="1:9">
      <c r="A401" s="78">
        <f t="shared" si="183"/>
        <v>395</v>
      </c>
      <c r="C401" s="78">
        <v>30</v>
      </c>
      <c r="D401" s="78" t="s">
        <v>71</v>
      </c>
      <c r="E401" s="113">
        <f t="shared" si="184"/>
        <v>48519</v>
      </c>
      <c r="F401" s="85">
        <f t="shared" si="181"/>
        <v>22</v>
      </c>
      <c r="G401" s="84">
        <f t="shared" si="182"/>
        <v>8</v>
      </c>
      <c r="H401" s="84"/>
      <c r="I401" s="84"/>
    </row>
    <row r="402" spans="1:9">
      <c r="A402" s="78">
        <f t="shared" si="183"/>
        <v>396</v>
      </c>
      <c r="C402" s="78">
        <v>31</v>
      </c>
      <c r="D402" s="78" t="s">
        <v>72</v>
      </c>
      <c r="E402" s="113">
        <f t="shared" si="184"/>
        <v>48549</v>
      </c>
      <c r="F402" s="85">
        <f t="shared" si="181"/>
        <v>23</v>
      </c>
      <c r="G402" s="84">
        <f t="shared" si="182"/>
        <v>8</v>
      </c>
      <c r="H402" s="84">
        <f>SUM(F391:G402)</f>
        <v>366</v>
      </c>
      <c r="I402" s="84"/>
    </row>
    <row r="403" spans="1:9">
      <c r="A403" s="78">
        <f t="shared" si="183"/>
        <v>397</v>
      </c>
      <c r="C403" s="78">
        <v>31</v>
      </c>
      <c r="D403" s="78" t="s">
        <v>62</v>
      </c>
      <c r="E403" s="113">
        <f t="shared" si="184"/>
        <v>48580</v>
      </c>
      <c r="F403" s="85">
        <f t="shared" si="181"/>
        <v>23</v>
      </c>
      <c r="G403" s="84">
        <f>C403-F403</f>
        <v>8</v>
      </c>
      <c r="H403" s="84"/>
      <c r="I403" s="84"/>
    </row>
    <row r="404" spans="1:9">
      <c r="A404" s="78">
        <f t="shared" si="183"/>
        <v>398</v>
      </c>
      <c r="C404" s="78">
        <v>28</v>
      </c>
      <c r="D404" s="78" t="s">
        <v>63</v>
      </c>
      <c r="E404" s="113">
        <f t="shared" si="184"/>
        <v>48611</v>
      </c>
      <c r="F404" s="85">
        <f t="shared" si="181"/>
        <v>20</v>
      </c>
      <c r="G404" s="84">
        <f t="shared" ref="G404:G414" si="185">C404-F404</f>
        <v>8</v>
      </c>
      <c r="H404" s="84"/>
      <c r="I404" s="84"/>
    </row>
    <row r="405" spans="1:9">
      <c r="A405" s="78">
        <f t="shared" si="183"/>
        <v>399</v>
      </c>
      <c r="C405" s="78">
        <v>31</v>
      </c>
      <c r="D405" s="78" t="s">
        <v>64</v>
      </c>
      <c r="E405" s="113">
        <f t="shared" si="184"/>
        <v>48639</v>
      </c>
      <c r="F405" s="85">
        <f t="shared" si="181"/>
        <v>22</v>
      </c>
      <c r="G405" s="84">
        <f t="shared" si="185"/>
        <v>9</v>
      </c>
      <c r="H405" s="84"/>
      <c r="I405" s="84"/>
    </row>
    <row r="406" spans="1:9">
      <c r="A406" s="78">
        <f t="shared" si="183"/>
        <v>400</v>
      </c>
      <c r="C406" s="78">
        <v>30</v>
      </c>
      <c r="D406" s="78" t="s">
        <v>65</v>
      </c>
      <c r="E406" s="113">
        <f t="shared" si="184"/>
        <v>48670</v>
      </c>
      <c r="F406" s="85">
        <f t="shared" si="181"/>
        <v>21</v>
      </c>
      <c r="G406" s="84">
        <f t="shared" si="185"/>
        <v>9</v>
      </c>
      <c r="H406" s="84"/>
      <c r="I406" s="84"/>
    </row>
    <row r="407" spans="1:9">
      <c r="A407" s="78">
        <f t="shared" si="183"/>
        <v>401</v>
      </c>
      <c r="C407" s="78">
        <v>31</v>
      </c>
      <c r="D407" s="78" t="s">
        <v>38</v>
      </c>
      <c r="E407" s="113">
        <f t="shared" si="184"/>
        <v>48700</v>
      </c>
      <c r="F407" s="85">
        <f t="shared" si="181"/>
        <v>23</v>
      </c>
      <c r="G407" s="84">
        <f t="shared" si="185"/>
        <v>8</v>
      </c>
      <c r="H407" s="84"/>
      <c r="I407" s="84"/>
    </row>
    <row r="408" spans="1:9">
      <c r="A408" s="78">
        <f t="shared" si="183"/>
        <v>402</v>
      </c>
      <c r="C408" s="78">
        <v>30</v>
      </c>
      <c r="D408" s="78" t="s">
        <v>66</v>
      </c>
      <c r="E408" s="113">
        <f t="shared" si="184"/>
        <v>48731</v>
      </c>
      <c r="F408" s="85">
        <f t="shared" si="181"/>
        <v>21</v>
      </c>
      <c r="G408" s="84">
        <f t="shared" si="185"/>
        <v>9</v>
      </c>
      <c r="H408" s="84"/>
      <c r="I408" s="84"/>
    </row>
    <row r="409" spans="1:9">
      <c r="A409" s="78">
        <f t="shared" si="183"/>
        <v>403</v>
      </c>
      <c r="C409" s="78">
        <v>31</v>
      </c>
      <c r="D409" s="78" t="s">
        <v>67</v>
      </c>
      <c r="E409" s="113">
        <f t="shared" si="184"/>
        <v>48761</v>
      </c>
      <c r="F409" s="85">
        <f t="shared" si="181"/>
        <v>22</v>
      </c>
      <c r="G409" s="84">
        <f t="shared" si="185"/>
        <v>9</v>
      </c>
      <c r="H409" s="84"/>
      <c r="I409" s="84"/>
    </row>
    <row r="410" spans="1:9">
      <c r="A410" s="78">
        <f t="shared" si="183"/>
        <v>404</v>
      </c>
      <c r="C410" s="78">
        <v>31</v>
      </c>
      <c r="D410" s="78" t="s">
        <v>68</v>
      </c>
      <c r="E410" s="113">
        <f t="shared" si="184"/>
        <v>48792</v>
      </c>
      <c r="F410" s="85">
        <f t="shared" si="181"/>
        <v>23</v>
      </c>
      <c r="G410" s="84">
        <f t="shared" si="185"/>
        <v>8</v>
      </c>
      <c r="H410" s="84"/>
      <c r="I410" s="84"/>
    </row>
    <row r="411" spans="1:9">
      <c r="A411" s="78">
        <f t="shared" si="183"/>
        <v>405</v>
      </c>
      <c r="C411" s="78">
        <v>30</v>
      </c>
      <c r="D411" s="78" t="s">
        <v>69</v>
      </c>
      <c r="E411" s="113">
        <f t="shared" si="184"/>
        <v>48823</v>
      </c>
      <c r="F411" s="85">
        <f t="shared" si="181"/>
        <v>20</v>
      </c>
      <c r="G411" s="84">
        <f t="shared" si="185"/>
        <v>10</v>
      </c>
      <c r="H411" s="84"/>
      <c r="I411" s="84"/>
    </row>
    <row r="412" spans="1:9">
      <c r="A412" s="78">
        <f t="shared" si="183"/>
        <v>406</v>
      </c>
      <c r="C412" s="78">
        <v>31</v>
      </c>
      <c r="D412" s="78" t="s">
        <v>70</v>
      </c>
      <c r="E412" s="113">
        <f t="shared" si="184"/>
        <v>48853</v>
      </c>
      <c r="F412" s="85">
        <f t="shared" si="181"/>
        <v>23</v>
      </c>
      <c r="G412" s="84">
        <f t="shared" si="185"/>
        <v>8</v>
      </c>
      <c r="H412" s="84"/>
      <c r="I412" s="84"/>
    </row>
    <row r="413" spans="1:9">
      <c r="A413" s="78">
        <f t="shared" si="183"/>
        <v>407</v>
      </c>
      <c r="C413" s="78">
        <v>30</v>
      </c>
      <c r="D413" s="78" t="s">
        <v>71</v>
      </c>
      <c r="E413" s="113">
        <f t="shared" si="184"/>
        <v>48884</v>
      </c>
      <c r="F413" s="85">
        <f t="shared" si="181"/>
        <v>22</v>
      </c>
      <c r="G413" s="84">
        <f t="shared" si="185"/>
        <v>8</v>
      </c>
      <c r="H413" s="84"/>
      <c r="I413" s="84"/>
    </row>
    <row r="414" spans="1:9">
      <c r="A414" s="78">
        <f t="shared" si="183"/>
        <v>408</v>
      </c>
      <c r="C414" s="78">
        <v>31</v>
      </c>
      <c r="D414" s="78" t="s">
        <v>72</v>
      </c>
      <c r="E414" s="113">
        <f t="shared" si="184"/>
        <v>48914</v>
      </c>
      <c r="F414" s="85">
        <f t="shared" si="181"/>
        <v>21</v>
      </c>
      <c r="G414" s="84">
        <f t="shared" si="185"/>
        <v>10</v>
      </c>
      <c r="H414" s="84">
        <f>SUM(F403:G414)</f>
        <v>365</v>
      </c>
      <c r="I414" s="84"/>
    </row>
    <row r="415" spans="1:9">
      <c r="A415" s="78">
        <f t="shared" si="183"/>
        <v>409</v>
      </c>
      <c r="C415" s="78">
        <v>31</v>
      </c>
      <c r="D415" s="78" t="s">
        <v>62</v>
      </c>
      <c r="E415" s="113">
        <f t="shared" si="184"/>
        <v>48945</v>
      </c>
      <c r="F415" s="85">
        <f t="shared" si="181"/>
        <v>23</v>
      </c>
      <c r="G415" s="84">
        <f>C415-F415</f>
        <v>8</v>
      </c>
      <c r="H415" s="84"/>
      <c r="I415" s="84"/>
    </row>
    <row r="416" spans="1:9">
      <c r="A416" s="78">
        <f t="shared" si="183"/>
        <v>410</v>
      </c>
      <c r="C416" s="78">
        <v>28</v>
      </c>
      <c r="D416" s="78" t="s">
        <v>63</v>
      </c>
      <c r="E416" s="113">
        <f t="shared" si="184"/>
        <v>48976</v>
      </c>
      <c r="F416" s="85">
        <f t="shared" si="181"/>
        <v>20</v>
      </c>
      <c r="G416" s="84">
        <f t="shared" ref="G416:G426" si="186">C416-F416</f>
        <v>8</v>
      </c>
      <c r="H416" s="84"/>
      <c r="I416" s="84"/>
    </row>
    <row r="417" spans="1:9">
      <c r="A417" s="78">
        <f t="shared" si="183"/>
        <v>411</v>
      </c>
      <c r="C417" s="78">
        <v>31</v>
      </c>
      <c r="D417" s="78" t="s">
        <v>64</v>
      </c>
      <c r="E417" s="113">
        <f t="shared" si="184"/>
        <v>49004</v>
      </c>
      <c r="F417" s="85">
        <f t="shared" si="181"/>
        <v>21</v>
      </c>
      <c r="G417" s="84">
        <f t="shared" si="186"/>
        <v>10</v>
      </c>
      <c r="H417" s="84"/>
      <c r="I417" s="84"/>
    </row>
    <row r="418" spans="1:9">
      <c r="A418" s="78">
        <f t="shared" si="183"/>
        <v>412</v>
      </c>
      <c r="C418" s="78">
        <v>30</v>
      </c>
      <c r="D418" s="78" t="s">
        <v>65</v>
      </c>
      <c r="E418" s="113">
        <f t="shared" si="184"/>
        <v>49035</v>
      </c>
      <c r="F418" s="85">
        <f t="shared" si="181"/>
        <v>22</v>
      </c>
      <c r="G418" s="84">
        <f t="shared" si="186"/>
        <v>8</v>
      </c>
      <c r="H418" s="84"/>
      <c r="I418" s="84"/>
    </row>
    <row r="419" spans="1:9">
      <c r="A419" s="78">
        <f t="shared" si="183"/>
        <v>413</v>
      </c>
      <c r="C419" s="78">
        <v>31</v>
      </c>
      <c r="D419" s="78" t="s">
        <v>38</v>
      </c>
      <c r="E419" s="113">
        <f t="shared" si="184"/>
        <v>49065</v>
      </c>
      <c r="F419" s="85">
        <f t="shared" si="181"/>
        <v>23</v>
      </c>
      <c r="G419" s="84">
        <f t="shared" si="186"/>
        <v>8</v>
      </c>
      <c r="H419" s="84"/>
      <c r="I419" s="84"/>
    </row>
    <row r="420" spans="1:9">
      <c r="A420" s="78">
        <f t="shared" si="183"/>
        <v>414</v>
      </c>
      <c r="C420" s="78">
        <v>30</v>
      </c>
      <c r="D420" s="78" t="s">
        <v>66</v>
      </c>
      <c r="E420" s="113">
        <f t="shared" si="184"/>
        <v>49096</v>
      </c>
      <c r="F420" s="85">
        <f t="shared" si="181"/>
        <v>20</v>
      </c>
      <c r="G420" s="84">
        <f t="shared" si="186"/>
        <v>10</v>
      </c>
      <c r="H420" s="84"/>
      <c r="I420" s="84"/>
    </row>
    <row r="421" spans="1:9">
      <c r="A421" s="78">
        <f t="shared" si="183"/>
        <v>415</v>
      </c>
      <c r="C421" s="78">
        <v>31</v>
      </c>
      <c r="D421" s="78" t="s">
        <v>67</v>
      </c>
      <c r="E421" s="113">
        <f t="shared" si="184"/>
        <v>49126</v>
      </c>
      <c r="F421" s="85">
        <f t="shared" si="181"/>
        <v>23</v>
      </c>
      <c r="G421" s="84">
        <f t="shared" si="186"/>
        <v>8</v>
      </c>
      <c r="H421" s="84"/>
      <c r="I421" s="84"/>
    </row>
    <row r="422" spans="1:9">
      <c r="A422" s="78">
        <f t="shared" si="183"/>
        <v>416</v>
      </c>
      <c r="C422" s="78">
        <v>31</v>
      </c>
      <c r="D422" s="78" t="s">
        <v>68</v>
      </c>
      <c r="E422" s="113">
        <f t="shared" si="184"/>
        <v>49157</v>
      </c>
      <c r="F422" s="85">
        <f t="shared" si="181"/>
        <v>22</v>
      </c>
      <c r="G422" s="84">
        <f t="shared" si="186"/>
        <v>9</v>
      </c>
      <c r="H422" s="84"/>
      <c r="I422" s="84"/>
    </row>
    <row r="423" spans="1:9">
      <c r="A423" s="78">
        <f t="shared" si="183"/>
        <v>417</v>
      </c>
      <c r="C423" s="78">
        <v>30</v>
      </c>
      <c r="D423" s="78" t="s">
        <v>69</v>
      </c>
      <c r="E423" s="113">
        <f t="shared" si="184"/>
        <v>49188</v>
      </c>
      <c r="F423" s="85">
        <f t="shared" si="181"/>
        <v>21</v>
      </c>
      <c r="G423" s="84">
        <f t="shared" si="186"/>
        <v>9</v>
      </c>
      <c r="H423" s="84"/>
      <c r="I423" s="84"/>
    </row>
    <row r="424" spans="1:9">
      <c r="A424" s="78">
        <f t="shared" si="183"/>
        <v>418</v>
      </c>
      <c r="C424" s="78">
        <v>31</v>
      </c>
      <c r="D424" s="78" t="s">
        <v>70</v>
      </c>
      <c r="E424" s="113">
        <f t="shared" si="184"/>
        <v>49218</v>
      </c>
      <c r="F424" s="85">
        <f t="shared" si="181"/>
        <v>23</v>
      </c>
      <c r="G424" s="84">
        <f t="shared" si="186"/>
        <v>8</v>
      </c>
      <c r="H424" s="84"/>
      <c r="I424" s="84"/>
    </row>
    <row r="425" spans="1:9">
      <c r="A425" s="78">
        <f t="shared" si="183"/>
        <v>419</v>
      </c>
      <c r="C425" s="78">
        <v>30</v>
      </c>
      <c r="D425" s="78" t="s">
        <v>71</v>
      </c>
      <c r="E425" s="113">
        <f t="shared" si="184"/>
        <v>49249</v>
      </c>
      <c r="F425" s="85">
        <f t="shared" si="181"/>
        <v>21</v>
      </c>
      <c r="G425" s="84">
        <f t="shared" si="186"/>
        <v>9</v>
      </c>
      <c r="H425" s="84"/>
      <c r="I425" s="84"/>
    </row>
    <row r="426" spans="1:9">
      <c r="A426" s="78">
        <f t="shared" si="183"/>
        <v>420</v>
      </c>
      <c r="C426" s="78">
        <v>31</v>
      </c>
      <c r="D426" s="78" t="s">
        <v>72</v>
      </c>
      <c r="E426" s="113">
        <f t="shared" si="184"/>
        <v>49279</v>
      </c>
      <c r="F426" s="85">
        <f t="shared" si="181"/>
        <v>22</v>
      </c>
      <c r="G426" s="84">
        <f t="shared" si="186"/>
        <v>9</v>
      </c>
      <c r="H426" s="84">
        <f>SUM(F415:G426)</f>
        <v>365</v>
      </c>
      <c r="I426" s="84"/>
    </row>
    <row r="427" spans="1:9">
      <c r="A427" s="78">
        <f t="shared" si="183"/>
        <v>421</v>
      </c>
      <c r="C427" s="78">
        <v>31</v>
      </c>
      <c r="D427" s="78" t="s">
        <v>62</v>
      </c>
      <c r="E427" s="113">
        <f t="shared" si="184"/>
        <v>49310</v>
      </c>
      <c r="F427" s="85">
        <f t="shared" si="181"/>
        <v>23</v>
      </c>
      <c r="G427" s="84">
        <f>C427-F427</f>
        <v>8</v>
      </c>
      <c r="H427" s="84"/>
      <c r="I427" s="84"/>
    </row>
    <row r="428" spans="1:9">
      <c r="A428" s="78">
        <f t="shared" si="183"/>
        <v>422</v>
      </c>
      <c r="C428" s="78">
        <v>28</v>
      </c>
      <c r="D428" s="78" t="s">
        <v>63</v>
      </c>
      <c r="E428" s="113">
        <f t="shared" si="184"/>
        <v>49341</v>
      </c>
      <c r="F428" s="85">
        <f t="shared" si="181"/>
        <v>20</v>
      </c>
      <c r="G428" s="84">
        <f t="shared" ref="G428:G438" si="187">C428-F428</f>
        <v>8</v>
      </c>
      <c r="H428" s="84"/>
      <c r="I428" s="84"/>
    </row>
    <row r="429" spans="1:9">
      <c r="A429" s="78">
        <f t="shared" si="183"/>
        <v>423</v>
      </c>
      <c r="C429" s="78">
        <v>31</v>
      </c>
      <c r="D429" s="78" t="s">
        <v>64</v>
      </c>
      <c r="E429" s="113">
        <f t="shared" si="184"/>
        <v>49369</v>
      </c>
      <c r="F429" s="85">
        <f t="shared" si="181"/>
        <v>21</v>
      </c>
      <c r="G429" s="84">
        <f t="shared" si="187"/>
        <v>10</v>
      </c>
      <c r="H429" s="84"/>
      <c r="I429" s="84"/>
    </row>
    <row r="430" spans="1:9">
      <c r="A430" s="78">
        <f t="shared" si="183"/>
        <v>424</v>
      </c>
      <c r="C430" s="78">
        <v>30</v>
      </c>
      <c r="D430" s="78" t="s">
        <v>65</v>
      </c>
      <c r="E430" s="113">
        <f t="shared" si="184"/>
        <v>49400</v>
      </c>
      <c r="F430" s="85">
        <f t="shared" si="181"/>
        <v>22</v>
      </c>
      <c r="G430" s="84">
        <f t="shared" si="187"/>
        <v>8</v>
      </c>
      <c r="H430" s="84"/>
      <c r="I430" s="84"/>
    </row>
    <row r="431" spans="1:9">
      <c r="A431" s="78">
        <f t="shared" si="183"/>
        <v>425</v>
      </c>
      <c r="C431" s="78">
        <v>31</v>
      </c>
      <c r="D431" s="78" t="s">
        <v>38</v>
      </c>
      <c r="E431" s="113">
        <f t="shared" si="184"/>
        <v>49430</v>
      </c>
      <c r="F431" s="85">
        <f t="shared" si="181"/>
        <v>22</v>
      </c>
      <c r="G431" s="84">
        <f t="shared" si="187"/>
        <v>9</v>
      </c>
      <c r="H431" s="84"/>
      <c r="I431" s="84"/>
    </row>
    <row r="432" spans="1:9">
      <c r="A432" s="78">
        <f t="shared" si="183"/>
        <v>426</v>
      </c>
      <c r="C432" s="78">
        <v>30</v>
      </c>
      <c r="D432" s="78" t="s">
        <v>66</v>
      </c>
      <c r="E432" s="113">
        <f t="shared" si="184"/>
        <v>49461</v>
      </c>
      <c r="F432" s="85">
        <f t="shared" si="181"/>
        <v>21</v>
      </c>
      <c r="G432" s="84">
        <f t="shared" si="187"/>
        <v>9</v>
      </c>
      <c r="H432" s="84"/>
      <c r="I432" s="84"/>
    </row>
    <row r="433" spans="1:9">
      <c r="A433" s="78">
        <f t="shared" si="183"/>
        <v>427</v>
      </c>
      <c r="C433" s="78">
        <v>31</v>
      </c>
      <c r="D433" s="78" t="s">
        <v>67</v>
      </c>
      <c r="E433" s="113">
        <f t="shared" si="184"/>
        <v>49491</v>
      </c>
      <c r="F433" s="85">
        <f t="shared" si="181"/>
        <v>23</v>
      </c>
      <c r="G433" s="84">
        <f t="shared" si="187"/>
        <v>8</v>
      </c>
      <c r="H433" s="84"/>
      <c r="I433" s="84"/>
    </row>
    <row r="434" spans="1:9">
      <c r="A434" s="78">
        <f t="shared" si="183"/>
        <v>428</v>
      </c>
      <c r="C434" s="78">
        <v>31</v>
      </c>
      <c r="D434" s="78" t="s">
        <v>68</v>
      </c>
      <c r="E434" s="113">
        <f t="shared" si="184"/>
        <v>49522</v>
      </c>
      <c r="F434" s="85">
        <f t="shared" si="181"/>
        <v>21</v>
      </c>
      <c r="G434" s="84">
        <f t="shared" si="187"/>
        <v>10</v>
      </c>
      <c r="H434" s="84"/>
      <c r="I434" s="84"/>
    </row>
    <row r="435" spans="1:9">
      <c r="A435" s="78">
        <f t="shared" si="183"/>
        <v>429</v>
      </c>
      <c r="C435" s="78">
        <v>30</v>
      </c>
      <c r="D435" s="78" t="s">
        <v>69</v>
      </c>
      <c r="E435" s="113">
        <f t="shared" si="184"/>
        <v>49553</v>
      </c>
      <c r="F435" s="85">
        <f t="shared" si="181"/>
        <v>22</v>
      </c>
      <c r="G435" s="84">
        <f t="shared" si="187"/>
        <v>8</v>
      </c>
      <c r="H435" s="84"/>
      <c r="I435" s="84"/>
    </row>
    <row r="436" spans="1:9">
      <c r="A436" s="78">
        <f t="shared" si="183"/>
        <v>430</v>
      </c>
      <c r="C436" s="78">
        <v>31</v>
      </c>
      <c r="D436" s="78" t="s">
        <v>70</v>
      </c>
      <c r="E436" s="113">
        <f t="shared" si="184"/>
        <v>49583</v>
      </c>
      <c r="F436" s="85">
        <f t="shared" si="181"/>
        <v>23</v>
      </c>
      <c r="G436" s="84">
        <f t="shared" si="187"/>
        <v>8</v>
      </c>
      <c r="H436" s="84"/>
      <c r="I436" s="84"/>
    </row>
    <row r="437" spans="1:9">
      <c r="A437" s="78">
        <f t="shared" si="183"/>
        <v>431</v>
      </c>
      <c r="C437" s="78">
        <v>30</v>
      </c>
      <c r="D437" s="78" t="s">
        <v>71</v>
      </c>
      <c r="E437" s="113">
        <f t="shared" si="184"/>
        <v>49614</v>
      </c>
      <c r="F437" s="85">
        <f t="shared" si="181"/>
        <v>20</v>
      </c>
      <c r="G437" s="84">
        <f t="shared" si="187"/>
        <v>10</v>
      </c>
      <c r="H437" s="84"/>
      <c r="I437" s="84"/>
    </row>
    <row r="438" spans="1:9">
      <c r="A438" s="78">
        <f t="shared" si="183"/>
        <v>432</v>
      </c>
      <c r="C438" s="78">
        <v>31</v>
      </c>
      <c r="D438" s="78" t="s">
        <v>72</v>
      </c>
      <c r="E438" s="113">
        <f t="shared" si="184"/>
        <v>49644</v>
      </c>
      <c r="F438" s="85">
        <f t="shared" si="181"/>
        <v>23</v>
      </c>
      <c r="G438" s="84">
        <f t="shared" si="187"/>
        <v>8</v>
      </c>
      <c r="H438" s="84">
        <f>SUM(F427:G438)</f>
        <v>365</v>
      </c>
      <c r="I438" s="84"/>
    </row>
    <row r="439" spans="1:9">
      <c r="A439" s="78">
        <f t="shared" si="183"/>
        <v>433</v>
      </c>
      <c r="C439" s="78">
        <v>31</v>
      </c>
      <c r="D439" s="78" t="s">
        <v>62</v>
      </c>
      <c r="E439" s="113">
        <f t="shared" si="184"/>
        <v>49675</v>
      </c>
      <c r="F439" s="85">
        <f t="shared" si="181"/>
        <v>22</v>
      </c>
      <c r="G439" s="84">
        <f>C439-F439</f>
        <v>9</v>
      </c>
      <c r="H439" s="84"/>
      <c r="I439" s="84"/>
    </row>
    <row r="440" spans="1:9">
      <c r="A440" s="78">
        <f t="shared" si="183"/>
        <v>434</v>
      </c>
      <c r="C440" s="140">
        <v>29</v>
      </c>
      <c r="D440" s="141" t="s">
        <v>63</v>
      </c>
      <c r="E440" s="113">
        <f t="shared" si="184"/>
        <v>49706</v>
      </c>
      <c r="F440" s="85">
        <f t="shared" si="181"/>
        <v>20</v>
      </c>
      <c r="G440" s="84">
        <f t="shared" ref="G440:G450" si="188">C440-F440</f>
        <v>9</v>
      </c>
      <c r="H440" s="84"/>
      <c r="I440" s="84"/>
    </row>
    <row r="441" spans="1:9">
      <c r="A441" s="78">
        <f t="shared" si="183"/>
        <v>435</v>
      </c>
      <c r="C441" s="78">
        <v>31</v>
      </c>
      <c r="D441" s="78" t="s">
        <v>64</v>
      </c>
      <c r="E441" s="113">
        <f t="shared" si="184"/>
        <v>49735</v>
      </c>
      <c r="F441" s="85">
        <f t="shared" si="181"/>
        <v>23</v>
      </c>
      <c r="G441" s="84">
        <f t="shared" si="188"/>
        <v>8</v>
      </c>
      <c r="H441" s="84"/>
      <c r="I441" s="84"/>
    </row>
    <row r="442" spans="1:9">
      <c r="A442" s="78">
        <f t="shared" si="183"/>
        <v>436</v>
      </c>
      <c r="C442" s="78">
        <v>30</v>
      </c>
      <c r="D442" s="78" t="s">
        <v>65</v>
      </c>
      <c r="E442" s="113">
        <f t="shared" si="184"/>
        <v>49766</v>
      </c>
      <c r="F442" s="85">
        <f t="shared" si="181"/>
        <v>22</v>
      </c>
      <c r="G442" s="84">
        <f t="shared" si="188"/>
        <v>8</v>
      </c>
      <c r="H442" s="84"/>
      <c r="I442" s="84"/>
    </row>
    <row r="443" spans="1:9">
      <c r="A443" s="78">
        <f t="shared" si="183"/>
        <v>437</v>
      </c>
      <c r="C443" s="78">
        <v>31</v>
      </c>
      <c r="D443" s="78" t="s">
        <v>38</v>
      </c>
      <c r="E443" s="113">
        <f t="shared" si="184"/>
        <v>49796</v>
      </c>
      <c r="F443" s="85">
        <f t="shared" si="181"/>
        <v>21</v>
      </c>
      <c r="G443" s="84">
        <f t="shared" si="188"/>
        <v>10</v>
      </c>
      <c r="H443" s="84"/>
      <c r="I443" s="84"/>
    </row>
    <row r="444" spans="1:9">
      <c r="A444" s="78">
        <f t="shared" si="183"/>
        <v>438</v>
      </c>
      <c r="C444" s="78">
        <v>30</v>
      </c>
      <c r="D444" s="78" t="s">
        <v>66</v>
      </c>
      <c r="E444" s="113">
        <f t="shared" si="184"/>
        <v>49827</v>
      </c>
      <c r="F444" s="85">
        <f t="shared" si="181"/>
        <v>22</v>
      </c>
      <c r="G444" s="84">
        <f t="shared" si="188"/>
        <v>8</v>
      </c>
      <c r="H444" s="84"/>
      <c r="I444" s="84"/>
    </row>
    <row r="445" spans="1:9">
      <c r="A445" s="78">
        <f t="shared" si="183"/>
        <v>439</v>
      </c>
      <c r="C445" s="78">
        <v>31</v>
      </c>
      <c r="D445" s="78" t="s">
        <v>67</v>
      </c>
      <c r="E445" s="113">
        <f t="shared" si="184"/>
        <v>49857</v>
      </c>
      <c r="F445" s="85">
        <f t="shared" si="181"/>
        <v>22</v>
      </c>
      <c r="G445" s="84">
        <f t="shared" si="188"/>
        <v>9</v>
      </c>
      <c r="H445" s="84"/>
      <c r="I445" s="84"/>
    </row>
    <row r="446" spans="1:9">
      <c r="A446" s="78">
        <f t="shared" si="183"/>
        <v>440</v>
      </c>
      <c r="C446" s="78">
        <v>31</v>
      </c>
      <c r="D446" s="78" t="s">
        <v>68</v>
      </c>
      <c r="E446" s="113">
        <f t="shared" si="184"/>
        <v>49888</v>
      </c>
      <c r="F446" s="85">
        <f t="shared" si="181"/>
        <v>22</v>
      </c>
      <c r="G446" s="84">
        <f t="shared" si="188"/>
        <v>9</v>
      </c>
      <c r="H446" s="84"/>
      <c r="I446" s="84"/>
    </row>
    <row r="447" spans="1:9">
      <c r="A447" s="78">
        <f t="shared" si="183"/>
        <v>441</v>
      </c>
      <c r="C447" s="78">
        <v>30</v>
      </c>
      <c r="D447" s="78" t="s">
        <v>69</v>
      </c>
      <c r="E447" s="113">
        <f t="shared" si="184"/>
        <v>49919</v>
      </c>
      <c r="F447" s="85">
        <f t="shared" si="181"/>
        <v>22</v>
      </c>
      <c r="G447" s="84">
        <f t="shared" si="188"/>
        <v>8</v>
      </c>
      <c r="H447" s="84"/>
      <c r="I447" s="84"/>
    </row>
    <row r="448" spans="1:9">
      <c r="A448" s="78">
        <f t="shared" si="183"/>
        <v>442</v>
      </c>
      <c r="C448" s="78">
        <v>31</v>
      </c>
      <c r="D448" s="78" t="s">
        <v>70</v>
      </c>
      <c r="E448" s="113">
        <f t="shared" si="184"/>
        <v>49949</v>
      </c>
      <c r="F448" s="85">
        <f t="shared" si="181"/>
        <v>21</v>
      </c>
      <c r="G448" s="84">
        <f t="shared" si="188"/>
        <v>10</v>
      </c>
      <c r="H448" s="84"/>
      <c r="I448" s="84"/>
    </row>
    <row r="449" spans="1:9">
      <c r="A449" s="78">
        <f t="shared" si="183"/>
        <v>443</v>
      </c>
      <c r="C449" s="78">
        <v>30</v>
      </c>
      <c r="D449" s="78" t="s">
        <v>71</v>
      </c>
      <c r="E449" s="113">
        <f t="shared" si="184"/>
        <v>49980</v>
      </c>
      <c r="F449" s="85">
        <f t="shared" si="181"/>
        <v>22</v>
      </c>
      <c r="G449" s="84">
        <f t="shared" si="188"/>
        <v>8</v>
      </c>
      <c r="H449" s="84"/>
      <c r="I449" s="84"/>
    </row>
    <row r="450" spans="1:9">
      <c r="A450" s="78">
        <f t="shared" si="183"/>
        <v>444</v>
      </c>
      <c r="C450" s="78">
        <v>31</v>
      </c>
      <c r="D450" s="78" t="s">
        <v>72</v>
      </c>
      <c r="E450" s="113">
        <f t="shared" si="184"/>
        <v>50010</v>
      </c>
      <c r="F450" s="85">
        <f t="shared" si="181"/>
        <v>23</v>
      </c>
      <c r="G450" s="84">
        <f t="shared" si="188"/>
        <v>8</v>
      </c>
      <c r="H450" s="84">
        <f>SUM(F439:G450)</f>
        <v>366</v>
      </c>
      <c r="I450" s="84"/>
    </row>
    <row r="451" spans="1:9">
      <c r="A451" s="78">
        <f t="shared" si="183"/>
        <v>445</v>
      </c>
      <c r="C451" s="78">
        <v>31</v>
      </c>
      <c r="D451" s="78" t="s">
        <v>62</v>
      </c>
      <c r="E451" s="113">
        <f t="shared" si="184"/>
        <v>50041</v>
      </c>
      <c r="F451" s="85">
        <f t="shared" si="181"/>
        <v>23</v>
      </c>
      <c r="G451" s="84">
        <f>C451-F451</f>
        <v>8</v>
      </c>
      <c r="H451" s="84"/>
      <c r="I451" s="84"/>
    </row>
    <row r="452" spans="1:9">
      <c r="A452" s="78">
        <f t="shared" si="183"/>
        <v>446</v>
      </c>
      <c r="C452" s="78">
        <v>28</v>
      </c>
      <c r="D452" s="78" t="s">
        <v>63</v>
      </c>
      <c r="E452" s="113">
        <f t="shared" si="184"/>
        <v>50072</v>
      </c>
      <c r="F452" s="85">
        <f t="shared" ref="F452:F515" si="189">F404</f>
        <v>20</v>
      </c>
      <c r="G452" s="84">
        <f t="shared" ref="G452:G462" si="190">C452-F452</f>
        <v>8</v>
      </c>
      <c r="H452" s="84"/>
      <c r="I452" s="84"/>
    </row>
    <row r="453" spans="1:9">
      <c r="A453" s="78">
        <f t="shared" si="183"/>
        <v>447</v>
      </c>
      <c r="C453" s="78">
        <v>31</v>
      </c>
      <c r="D453" s="78" t="s">
        <v>64</v>
      </c>
      <c r="E453" s="113">
        <f t="shared" si="184"/>
        <v>50100</v>
      </c>
      <c r="F453" s="85">
        <f t="shared" si="189"/>
        <v>22</v>
      </c>
      <c r="G453" s="84">
        <f t="shared" si="190"/>
        <v>9</v>
      </c>
      <c r="H453" s="84"/>
      <c r="I453" s="84"/>
    </row>
    <row r="454" spans="1:9">
      <c r="A454" s="78">
        <f t="shared" si="183"/>
        <v>448</v>
      </c>
      <c r="C454" s="78">
        <v>30</v>
      </c>
      <c r="D454" s="78" t="s">
        <v>65</v>
      </c>
      <c r="E454" s="113">
        <f t="shared" si="184"/>
        <v>50131</v>
      </c>
      <c r="F454" s="85">
        <f t="shared" si="189"/>
        <v>21</v>
      </c>
      <c r="G454" s="84">
        <f t="shared" si="190"/>
        <v>9</v>
      </c>
      <c r="H454" s="84"/>
      <c r="I454" s="84"/>
    </row>
    <row r="455" spans="1:9">
      <c r="A455" s="78">
        <f t="shared" si="183"/>
        <v>449</v>
      </c>
      <c r="C455" s="78">
        <v>31</v>
      </c>
      <c r="D455" s="78" t="s">
        <v>38</v>
      </c>
      <c r="E455" s="113">
        <f t="shared" si="184"/>
        <v>50161</v>
      </c>
      <c r="F455" s="85">
        <f t="shared" si="189"/>
        <v>23</v>
      </c>
      <c r="G455" s="84">
        <f t="shared" si="190"/>
        <v>8</v>
      </c>
      <c r="H455" s="84"/>
      <c r="I455" s="84"/>
    </row>
    <row r="456" spans="1:9">
      <c r="A456" s="78">
        <f t="shared" si="183"/>
        <v>450</v>
      </c>
      <c r="C456" s="78">
        <v>30</v>
      </c>
      <c r="D456" s="78" t="s">
        <v>66</v>
      </c>
      <c r="E456" s="113">
        <f t="shared" si="184"/>
        <v>50192</v>
      </c>
      <c r="F456" s="85">
        <f t="shared" si="189"/>
        <v>21</v>
      </c>
      <c r="G456" s="84">
        <f t="shared" si="190"/>
        <v>9</v>
      </c>
      <c r="H456" s="84"/>
      <c r="I456" s="84"/>
    </row>
    <row r="457" spans="1:9">
      <c r="A457" s="78">
        <f t="shared" ref="A457:A520" si="191">A456+1</f>
        <v>451</v>
      </c>
      <c r="C457" s="78">
        <v>31</v>
      </c>
      <c r="D457" s="78" t="s">
        <v>67</v>
      </c>
      <c r="E457" s="113">
        <f t="shared" ref="E457:E520" si="192">E456+C456</f>
        <v>50222</v>
      </c>
      <c r="F457" s="85">
        <f t="shared" si="189"/>
        <v>22</v>
      </c>
      <c r="G457" s="84">
        <f t="shared" si="190"/>
        <v>9</v>
      </c>
      <c r="H457" s="84"/>
      <c r="I457" s="84"/>
    </row>
    <row r="458" spans="1:9">
      <c r="A458" s="78">
        <f t="shared" si="191"/>
        <v>452</v>
      </c>
      <c r="C458" s="78">
        <v>31</v>
      </c>
      <c r="D458" s="78" t="s">
        <v>68</v>
      </c>
      <c r="E458" s="113">
        <f t="shared" si="192"/>
        <v>50253</v>
      </c>
      <c r="F458" s="85">
        <f t="shared" si="189"/>
        <v>23</v>
      </c>
      <c r="G458" s="84">
        <f t="shared" si="190"/>
        <v>8</v>
      </c>
      <c r="H458" s="84"/>
      <c r="I458" s="84"/>
    </row>
    <row r="459" spans="1:9">
      <c r="A459" s="78">
        <f t="shared" si="191"/>
        <v>453</v>
      </c>
      <c r="C459" s="78">
        <v>30</v>
      </c>
      <c r="D459" s="78" t="s">
        <v>69</v>
      </c>
      <c r="E459" s="113">
        <f t="shared" si="192"/>
        <v>50284</v>
      </c>
      <c r="F459" s="85">
        <f t="shared" si="189"/>
        <v>20</v>
      </c>
      <c r="G459" s="84">
        <f t="shared" si="190"/>
        <v>10</v>
      </c>
      <c r="H459" s="84"/>
      <c r="I459" s="84"/>
    </row>
    <row r="460" spans="1:9">
      <c r="A460" s="78">
        <f t="shared" si="191"/>
        <v>454</v>
      </c>
      <c r="C460" s="78">
        <v>31</v>
      </c>
      <c r="D460" s="78" t="s">
        <v>70</v>
      </c>
      <c r="E460" s="113">
        <f t="shared" si="192"/>
        <v>50314</v>
      </c>
      <c r="F460" s="85">
        <f t="shared" si="189"/>
        <v>23</v>
      </c>
      <c r="G460" s="84">
        <f t="shared" si="190"/>
        <v>8</v>
      </c>
      <c r="H460" s="84"/>
      <c r="I460" s="84"/>
    </row>
    <row r="461" spans="1:9">
      <c r="A461" s="78">
        <f t="shared" si="191"/>
        <v>455</v>
      </c>
      <c r="C461" s="78">
        <v>30</v>
      </c>
      <c r="D461" s="78" t="s">
        <v>71</v>
      </c>
      <c r="E461" s="113">
        <f t="shared" si="192"/>
        <v>50345</v>
      </c>
      <c r="F461" s="85">
        <f t="shared" si="189"/>
        <v>22</v>
      </c>
      <c r="G461" s="84">
        <f t="shared" si="190"/>
        <v>8</v>
      </c>
      <c r="H461" s="84"/>
      <c r="I461" s="84"/>
    </row>
    <row r="462" spans="1:9">
      <c r="A462" s="78">
        <f t="shared" si="191"/>
        <v>456</v>
      </c>
      <c r="C462" s="78">
        <v>31</v>
      </c>
      <c r="D462" s="78" t="s">
        <v>72</v>
      </c>
      <c r="E462" s="113">
        <f t="shared" si="192"/>
        <v>50375</v>
      </c>
      <c r="F462" s="85">
        <f t="shared" si="189"/>
        <v>21</v>
      </c>
      <c r="G462" s="84">
        <f t="shared" si="190"/>
        <v>10</v>
      </c>
      <c r="H462" s="84">
        <f>SUM(F451:G462)</f>
        <v>365</v>
      </c>
      <c r="I462" s="84"/>
    </row>
    <row r="463" spans="1:9">
      <c r="A463" s="78">
        <f t="shared" si="191"/>
        <v>457</v>
      </c>
      <c r="C463" s="78">
        <v>31</v>
      </c>
      <c r="D463" s="78" t="s">
        <v>62</v>
      </c>
      <c r="E463" s="113">
        <f t="shared" si="192"/>
        <v>50406</v>
      </c>
      <c r="F463" s="85">
        <f t="shared" si="189"/>
        <v>23</v>
      </c>
      <c r="G463" s="84">
        <f>C463-F463</f>
        <v>8</v>
      </c>
      <c r="H463" s="84"/>
      <c r="I463" s="84"/>
    </row>
    <row r="464" spans="1:9">
      <c r="A464" s="78">
        <f t="shared" si="191"/>
        <v>458</v>
      </c>
      <c r="C464" s="78">
        <v>28</v>
      </c>
      <c r="D464" s="78" t="s">
        <v>63</v>
      </c>
      <c r="E464" s="113">
        <f t="shared" si="192"/>
        <v>50437</v>
      </c>
      <c r="F464" s="85">
        <f t="shared" si="189"/>
        <v>20</v>
      </c>
      <c r="G464" s="84">
        <f t="shared" ref="G464:G474" si="193">C464-F464</f>
        <v>8</v>
      </c>
      <c r="H464" s="84"/>
      <c r="I464" s="84"/>
    </row>
    <row r="465" spans="1:9">
      <c r="A465" s="78">
        <f t="shared" si="191"/>
        <v>459</v>
      </c>
      <c r="C465" s="78">
        <v>31</v>
      </c>
      <c r="D465" s="78" t="s">
        <v>64</v>
      </c>
      <c r="E465" s="113">
        <f t="shared" si="192"/>
        <v>50465</v>
      </c>
      <c r="F465" s="85">
        <f t="shared" si="189"/>
        <v>21</v>
      </c>
      <c r="G465" s="84">
        <f t="shared" si="193"/>
        <v>10</v>
      </c>
      <c r="H465" s="84"/>
      <c r="I465" s="84"/>
    </row>
    <row r="466" spans="1:9">
      <c r="A466" s="78">
        <f t="shared" si="191"/>
        <v>460</v>
      </c>
      <c r="C466" s="78">
        <v>30</v>
      </c>
      <c r="D466" s="78" t="s">
        <v>65</v>
      </c>
      <c r="E466" s="113">
        <f t="shared" si="192"/>
        <v>50496</v>
      </c>
      <c r="F466" s="85">
        <f t="shared" si="189"/>
        <v>22</v>
      </c>
      <c r="G466" s="84">
        <f t="shared" si="193"/>
        <v>8</v>
      </c>
      <c r="H466" s="84"/>
      <c r="I466" s="84"/>
    </row>
    <row r="467" spans="1:9">
      <c r="A467" s="78">
        <f t="shared" si="191"/>
        <v>461</v>
      </c>
      <c r="C467" s="78">
        <v>31</v>
      </c>
      <c r="D467" s="78" t="s">
        <v>38</v>
      </c>
      <c r="E467" s="113">
        <f t="shared" si="192"/>
        <v>50526</v>
      </c>
      <c r="F467" s="85">
        <f t="shared" si="189"/>
        <v>23</v>
      </c>
      <c r="G467" s="84">
        <f t="shared" si="193"/>
        <v>8</v>
      </c>
      <c r="H467" s="84"/>
      <c r="I467" s="84"/>
    </row>
    <row r="468" spans="1:9">
      <c r="A468" s="78">
        <f t="shared" si="191"/>
        <v>462</v>
      </c>
      <c r="C468" s="78">
        <v>30</v>
      </c>
      <c r="D468" s="78" t="s">
        <v>66</v>
      </c>
      <c r="E468" s="113">
        <f t="shared" si="192"/>
        <v>50557</v>
      </c>
      <c r="F468" s="85">
        <f t="shared" si="189"/>
        <v>20</v>
      </c>
      <c r="G468" s="84">
        <f t="shared" si="193"/>
        <v>10</v>
      </c>
      <c r="H468" s="84"/>
      <c r="I468" s="84"/>
    </row>
    <row r="469" spans="1:9">
      <c r="A469" s="78">
        <f t="shared" si="191"/>
        <v>463</v>
      </c>
      <c r="C469" s="78">
        <v>31</v>
      </c>
      <c r="D469" s="78" t="s">
        <v>67</v>
      </c>
      <c r="E469" s="113">
        <f t="shared" si="192"/>
        <v>50587</v>
      </c>
      <c r="F469" s="85">
        <f t="shared" si="189"/>
        <v>23</v>
      </c>
      <c r="G469" s="84">
        <f t="shared" si="193"/>
        <v>8</v>
      </c>
      <c r="H469" s="84"/>
      <c r="I469" s="84"/>
    </row>
    <row r="470" spans="1:9">
      <c r="A470" s="78">
        <f t="shared" si="191"/>
        <v>464</v>
      </c>
      <c r="C470" s="78">
        <v>31</v>
      </c>
      <c r="D470" s="78" t="s">
        <v>68</v>
      </c>
      <c r="E470" s="113">
        <f t="shared" si="192"/>
        <v>50618</v>
      </c>
      <c r="F470" s="85">
        <f t="shared" si="189"/>
        <v>22</v>
      </c>
      <c r="G470" s="84">
        <f t="shared" si="193"/>
        <v>9</v>
      </c>
      <c r="H470" s="84"/>
      <c r="I470" s="84"/>
    </row>
    <row r="471" spans="1:9">
      <c r="A471" s="78">
        <f t="shared" si="191"/>
        <v>465</v>
      </c>
      <c r="C471" s="78">
        <v>30</v>
      </c>
      <c r="D471" s="78" t="s">
        <v>69</v>
      </c>
      <c r="E471" s="113">
        <f t="shared" si="192"/>
        <v>50649</v>
      </c>
      <c r="F471" s="85">
        <f t="shared" si="189"/>
        <v>21</v>
      </c>
      <c r="G471" s="84">
        <f t="shared" si="193"/>
        <v>9</v>
      </c>
      <c r="H471" s="84"/>
      <c r="I471" s="84"/>
    </row>
    <row r="472" spans="1:9">
      <c r="A472" s="78">
        <f t="shared" si="191"/>
        <v>466</v>
      </c>
      <c r="C472" s="78">
        <v>31</v>
      </c>
      <c r="D472" s="78" t="s">
        <v>70</v>
      </c>
      <c r="E472" s="113">
        <f t="shared" si="192"/>
        <v>50679</v>
      </c>
      <c r="F472" s="85">
        <f t="shared" si="189"/>
        <v>23</v>
      </c>
      <c r="G472" s="84">
        <f t="shared" si="193"/>
        <v>8</v>
      </c>
      <c r="H472" s="84"/>
      <c r="I472" s="84"/>
    </row>
    <row r="473" spans="1:9">
      <c r="A473" s="78">
        <f t="shared" si="191"/>
        <v>467</v>
      </c>
      <c r="C473" s="78">
        <v>30</v>
      </c>
      <c r="D473" s="78" t="s">
        <v>71</v>
      </c>
      <c r="E473" s="113">
        <f t="shared" si="192"/>
        <v>50710</v>
      </c>
      <c r="F473" s="85">
        <f t="shared" si="189"/>
        <v>21</v>
      </c>
      <c r="G473" s="84">
        <f t="shared" si="193"/>
        <v>9</v>
      </c>
      <c r="H473" s="84"/>
      <c r="I473" s="84"/>
    </row>
    <row r="474" spans="1:9">
      <c r="A474" s="78">
        <f t="shared" si="191"/>
        <v>468</v>
      </c>
      <c r="C474" s="78">
        <v>31</v>
      </c>
      <c r="D474" s="78" t="s">
        <v>72</v>
      </c>
      <c r="E474" s="113">
        <f t="shared" si="192"/>
        <v>50740</v>
      </c>
      <c r="F474" s="85">
        <f t="shared" si="189"/>
        <v>22</v>
      </c>
      <c r="G474" s="84">
        <f t="shared" si="193"/>
        <v>9</v>
      </c>
      <c r="H474" s="84">
        <f>SUM(F463:G474)</f>
        <v>365</v>
      </c>
      <c r="I474" s="84"/>
    </row>
    <row r="475" spans="1:9">
      <c r="A475" s="78">
        <f t="shared" si="191"/>
        <v>469</v>
      </c>
      <c r="C475" s="78">
        <v>31</v>
      </c>
      <c r="D475" s="78" t="s">
        <v>62</v>
      </c>
      <c r="E475" s="113">
        <f t="shared" si="192"/>
        <v>50771</v>
      </c>
      <c r="F475" s="85">
        <f t="shared" si="189"/>
        <v>23</v>
      </c>
      <c r="G475" s="84">
        <f>C475-F475</f>
        <v>8</v>
      </c>
      <c r="H475" s="84"/>
      <c r="I475" s="84"/>
    </row>
    <row r="476" spans="1:9">
      <c r="A476" s="78">
        <f t="shared" si="191"/>
        <v>470</v>
      </c>
      <c r="C476" s="78">
        <v>28</v>
      </c>
      <c r="D476" s="78" t="s">
        <v>63</v>
      </c>
      <c r="E476" s="113">
        <f t="shared" si="192"/>
        <v>50802</v>
      </c>
      <c r="F476" s="85">
        <f t="shared" si="189"/>
        <v>20</v>
      </c>
      <c r="G476" s="84">
        <f t="shared" ref="G476:G486" si="194">C476-F476</f>
        <v>8</v>
      </c>
      <c r="H476" s="84"/>
      <c r="I476" s="84"/>
    </row>
    <row r="477" spans="1:9">
      <c r="A477" s="78">
        <f t="shared" si="191"/>
        <v>471</v>
      </c>
      <c r="C477" s="78">
        <v>31</v>
      </c>
      <c r="D477" s="78" t="s">
        <v>64</v>
      </c>
      <c r="E477" s="113">
        <f t="shared" si="192"/>
        <v>50830</v>
      </c>
      <c r="F477" s="85">
        <f t="shared" si="189"/>
        <v>21</v>
      </c>
      <c r="G477" s="84">
        <f t="shared" si="194"/>
        <v>10</v>
      </c>
      <c r="H477" s="84"/>
      <c r="I477" s="84"/>
    </row>
    <row r="478" spans="1:9">
      <c r="A478" s="78">
        <f t="shared" si="191"/>
        <v>472</v>
      </c>
      <c r="C478" s="78">
        <v>30</v>
      </c>
      <c r="D478" s="78" t="s">
        <v>65</v>
      </c>
      <c r="E478" s="113">
        <f t="shared" si="192"/>
        <v>50861</v>
      </c>
      <c r="F478" s="85">
        <f t="shared" si="189"/>
        <v>22</v>
      </c>
      <c r="G478" s="84">
        <f t="shared" si="194"/>
        <v>8</v>
      </c>
      <c r="H478" s="84"/>
      <c r="I478" s="84"/>
    </row>
    <row r="479" spans="1:9">
      <c r="A479" s="78">
        <f t="shared" si="191"/>
        <v>473</v>
      </c>
      <c r="C479" s="78">
        <v>31</v>
      </c>
      <c r="D479" s="78" t="s">
        <v>38</v>
      </c>
      <c r="E479" s="113">
        <f t="shared" si="192"/>
        <v>50891</v>
      </c>
      <c r="F479" s="85">
        <f t="shared" si="189"/>
        <v>22</v>
      </c>
      <c r="G479" s="84">
        <f t="shared" si="194"/>
        <v>9</v>
      </c>
      <c r="H479" s="84"/>
      <c r="I479" s="84"/>
    </row>
    <row r="480" spans="1:9">
      <c r="A480" s="78">
        <f t="shared" si="191"/>
        <v>474</v>
      </c>
      <c r="C480" s="78">
        <v>30</v>
      </c>
      <c r="D480" s="78" t="s">
        <v>66</v>
      </c>
      <c r="E480" s="113">
        <f t="shared" si="192"/>
        <v>50922</v>
      </c>
      <c r="F480" s="85">
        <f t="shared" si="189"/>
        <v>21</v>
      </c>
      <c r="G480" s="84">
        <f t="shared" si="194"/>
        <v>9</v>
      </c>
      <c r="H480" s="84"/>
      <c r="I480" s="84"/>
    </row>
    <row r="481" spans="1:9">
      <c r="A481" s="78">
        <f t="shared" si="191"/>
        <v>475</v>
      </c>
      <c r="C481" s="78">
        <v>31</v>
      </c>
      <c r="D481" s="78" t="s">
        <v>67</v>
      </c>
      <c r="E481" s="113">
        <f t="shared" si="192"/>
        <v>50952</v>
      </c>
      <c r="F481" s="85">
        <f t="shared" si="189"/>
        <v>23</v>
      </c>
      <c r="G481" s="84">
        <f t="shared" si="194"/>
        <v>8</v>
      </c>
      <c r="H481" s="84"/>
      <c r="I481" s="84"/>
    </row>
    <row r="482" spans="1:9">
      <c r="A482" s="78">
        <f t="shared" si="191"/>
        <v>476</v>
      </c>
      <c r="C482" s="78">
        <v>31</v>
      </c>
      <c r="D482" s="78" t="s">
        <v>68</v>
      </c>
      <c r="E482" s="113">
        <f t="shared" si="192"/>
        <v>50983</v>
      </c>
      <c r="F482" s="85">
        <f t="shared" si="189"/>
        <v>21</v>
      </c>
      <c r="G482" s="84">
        <f t="shared" si="194"/>
        <v>10</v>
      </c>
      <c r="H482" s="84"/>
      <c r="I482" s="84"/>
    </row>
    <row r="483" spans="1:9">
      <c r="A483" s="78">
        <f t="shared" si="191"/>
        <v>477</v>
      </c>
      <c r="C483" s="78">
        <v>30</v>
      </c>
      <c r="D483" s="78" t="s">
        <v>69</v>
      </c>
      <c r="E483" s="113">
        <f t="shared" si="192"/>
        <v>51014</v>
      </c>
      <c r="F483" s="85">
        <f t="shared" si="189"/>
        <v>22</v>
      </c>
      <c r="G483" s="84">
        <f t="shared" si="194"/>
        <v>8</v>
      </c>
      <c r="H483" s="84"/>
      <c r="I483" s="84"/>
    </row>
    <row r="484" spans="1:9">
      <c r="A484" s="78">
        <f t="shared" si="191"/>
        <v>478</v>
      </c>
      <c r="C484" s="78">
        <v>31</v>
      </c>
      <c r="D484" s="78" t="s">
        <v>70</v>
      </c>
      <c r="E484" s="113">
        <f t="shared" si="192"/>
        <v>51044</v>
      </c>
      <c r="F484" s="85">
        <f t="shared" si="189"/>
        <v>23</v>
      </c>
      <c r="G484" s="84">
        <f t="shared" si="194"/>
        <v>8</v>
      </c>
      <c r="H484" s="84"/>
      <c r="I484" s="84"/>
    </row>
    <row r="485" spans="1:9">
      <c r="A485" s="78">
        <f t="shared" si="191"/>
        <v>479</v>
      </c>
      <c r="C485" s="78">
        <v>30</v>
      </c>
      <c r="D485" s="78" t="s">
        <v>71</v>
      </c>
      <c r="E485" s="113">
        <f t="shared" si="192"/>
        <v>51075</v>
      </c>
      <c r="F485" s="85">
        <f t="shared" si="189"/>
        <v>20</v>
      </c>
      <c r="G485" s="84">
        <f t="shared" si="194"/>
        <v>10</v>
      </c>
      <c r="H485" s="84"/>
      <c r="I485" s="84"/>
    </row>
    <row r="486" spans="1:9">
      <c r="A486" s="78">
        <f t="shared" si="191"/>
        <v>480</v>
      </c>
      <c r="C486" s="78">
        <v>31</v>
      </c>
      <c r="D486" s="78" t="s">
        <v>72</v>
      </c>
      <c r="E486" s="113">
        <f t="shared" si="192"/>
        <v>51105</v>
      </c>
      <c r="F486" s="85">
        <f t="shared" si="189"/>
        <v>23</v>
      </c>
      <c r="G486" s="84">
        <f t="shared" si="194"/>
        <v>8</v>
      </c>
      <c r="H486" s="84">
        <f>SUM(F475:G486)</f>
        <v>365</v>
      </c>
      <c r="I486" s="84"/>
    </row>
    <row r="487" spans="1:9">
      <c r="A487" s="78">
        <f t="shared" si="191"/>
        <v>481</v>
      </c>
      <c r="C487" s="78">
        <v>31</v>
      </c>
      <c r="D487" s="78" t="s">
        <v>62</v>
      </c>
      <c r="E487" s="113">
        <f t="shared" si="192"/>
        <v>51136</v>
      </c>
      <c r="F487" s="85">
        <f t="shared" si="189"/>
        <v>22</v>
      </c>
      <c r="G487" s="84">
        <f>C487-F487</f>
        <v>9</v>
      </c>
      <c r="H487" s="84"/>
      <c r="I487" s="84"/>
    </row>
    <row r="488" spans="1:9">
      <c r="A488" s="78">
        <f t="shared" si="191"/>
        <v>482</v>
      </c>
      <c r="C488" s="140">
        <v>29</v>
      </c>
      <c r="D488" s="141" t="s">
        <v>63</v>
      </c>
      <c r="E488" s="113">
        <f t="shared" si="192"/>
        <v>51167</v>
      </c>
      <c r="F488" s="85">
        <f t="shared" si="189"/>
        <v>20</v>
      </c>
      <c r="G488" s="84">
        <f t="shared" ref="G488:G498" si="195">C488-F488</f>
        <v>9</v>
      </c>
      <c r="H488" s="84"/>
      <c r="I488" s="84"/>
    </row>
    <row r="489" spans="1:9">
      <c r="A489" s="78">
        <f t="shared" si="191"/>
        <v>483</v>
      </c>
      <c r="C489" s="78">
        <v>31</v>
      </c>
      <c r="D489" s="78" t="s">
        <v>64</v>
      </c>
      <c r="E489" s="113">
        <f t="shared" si="192"/>
        <v>51196</v>
      </c>
      <c r="F489" s="85">
        <f t="shared" si="189"/>
        <v>23</v>
      </c>
      <c r="G489" s="84">
        <f t="shared" si="195"/>
        <v>8</v>
      </c>
      <c r="H489" s="84"/>
      <c r="I489" s="84"/>
    </row>
    <row r="490" spans="1:9">
      <c r="A490" s="78">
        <f t="shared" si="191"/>
        <v>484</v>
      </c>
      <c r="C490" s="78">
        <v>30</v>
      </c>
      <c r="D490" s="78" t="s">
        <v>65</v>
      </c>
      <c r="E490" s="113">
        <f t="shared" si="192"/>
        <v>51227</v>
      </c>
      <c r="F490" s="85">
        <f t="shared" si="189"/>
        <v>22</v>
      </c>
      <c r="G490" s="84">
        <f t="shared" si="195"/>
        <v>8</v>
      </c>
      <c r="H490" s="84"/>
      <c r="I490" s="84"/>
    </row>
    <row r="491" spans="1:9">
      <c r="A491" s="78">
        <f t="shared" si="191"/>
        <v>485</v>
      </c>
      <c r="C491" s="78">
        <v>31</v>
      </c>
      <c r="D491" s="78" t="s">
        <v>38</v>
      </c>
      <c r="E491" s="113">
        <f t="shared" si="192"/>
        <v>51257</v>
      </c>
      <c r="F491" s="85">
        <f t="shared" si="189"/>
        <v>21</v>
      </c>
      <c r="G491" s="84">
        <f t="shared" si="195"/>
        <v>10</v>
      </c>
      <c r="H491" s="84"/>
      <c r="I491" s="84"/>
    </row>
    <row r="492" spans="1:9">
      <c r="A492" s="78">
        <f t="shared" si="191"/>
        <v>486</v>
      </c>
      <c r="C492" s="78">
        <v>30</v>
      </c>
      <c r="D492" s="78" t="s">
        <v>66</v>
      </c>
      <c r="E492" s="113">
        <f t="shared" si="192"/>
        <v>51288</v>
      </c>
      <c r="F492" s="85">
        <f t="shared" si="189"/>
        <v>22</v>
      </c>
      <c r="G492" s="84">
        <f t="shared" si="195"/>
        <v>8</v>
      </c>
      <c r="H492" s="84"/>
      <c r="I492" s="84"/>
    </row>
    <row r="493" spans="1:9">
      <c r="A493" s="78">
        <f t="shared" si="191"/>
        <v>487</v>
      </c>
      <c r="C493" s="78">
        <v>31</v>
      </c>
      <c r="D493" s="78" t="s">
        <v>67</v>
      </c>
      <c r="E493" s="113">
        <f t="shared" si="192"/>
        <v>51318</v>
      </c>
      <c r="F493" s="85">
        <f t="shared" si="189"/>
        <v>22</v>
      </c>
      <c r="G493" s="84">
        <f t="shared" si="195"/>
        <v>9</v>
      </c>
      <c r="H493" s="84"/>
      <c r="I493" s="84"/>
    </row>
    <row r="494" spans="1:9">
      <c r="A494" s="78">
        <f t="shared" si="191"/>
        <v>488</v>
      </c>
      <c r="C494" s="78">
        <v>31</v>
      </c>
      <c r="D494" s="78" t="s">
        <v>68</v>
      </c>
      <c r="E494" s="113">
        <f t="shared" si="192"/>
        <v>51349</v>
      </c>
      <c r="F494" s="85">
        <f t="shared" si="189"/>
        <v>22</v>
      </c>
      <c r="G494" s="84">
        <f t="shared" si="195"/>
        <v>9</v>
      </c>
      <c r="H494" s="84"/>
      <c r="I494" s="84"/>
    </row>
    <row r="495" spans="1:9">
      <c r="A495" s="78">
        <f t="shared" si="191"/>
        <v>489</v>
      </c>
      <c r="C495" s="78">
        <v>30</v>
      </c>
      <c r="D495" s="78" t="s">
        <v>69</v>
      </c>
      <c r="E495" s="113">
        <f t="shared" si="192"/>
        <v>51380</v>
      </c>
      <c r="F495" s="85">
        <f t="shared" si="189"/>
        <v>22</v>
      </c>
      <c r="G495" s="84">
        <f t="shared" si="195"/>
        <v>8</v>
      </c>
      <c r="H495" s="84"/>
      <c r="I495" s="84"/>
    </row>
    <row r="496" spans="1:9">
      <c r="A496" s="78">
        <f t="shared" si="191"/>
        <v>490</v>
      </c>
      <c r="C496" s="78">
        <v>31</v>
      </c>
      <c r="D496" s="78" t="s">
        <v>70</v>
      </c>
      <c r="E496" s="113">
        <f t="shared" si="192"/>
        <v>51410</v>
      </c>
      <c r="F496" s="85">
        <f t="shared" si="189"/>
        <v>21</v>
      </c>
      <c r="G496" s="84">
        <f t="shared" si="195"/>
        <v>10</v>
      </c>
      <c r="H496" s="84"/>
      <c r="I496" s="84"/>
    </row>
    <row r="497" spans="1:9">
      <c r="A497" s="78">
        <f t="shared" si="191"/>
        <v>491</v>
      </c>
      <c r="C497" s="78">
        <v>30</v>
      </c>
      <c r="D497" s="78" t="s">
        <v>71</v>
      </c>
      <c r="E497" s="113">
        <f t="shared" si="192"/>
        <v>51441</v>
      </c>
      <c r="F497" s="85">
        <f t="shared" si="189"/>
        <v>22</v>
      </c>
      <c r="G497" s="84">
        <f t="shared" si="195"/>
        <v>8</v>
      </c>
      <c r="H497" s="84"/>
      <c r="I497" s="84"/>
    </row>
    <row r="498" spans="1:9">
      <c r="A498" s="78">
        <f t="shared" si="191"/>
        <v>492</v>
      </c>
      <c r="C498" s="78">
        <v>31</v>
      </c>
      <c r="D498" s="78" t="s">
        <v>72</v>
      </c>
      <c r="E498" s="113">
        <f t="shared" si="192"/>
        <v>51471</v>
      </c>
      <c r="F498" s="85">
        <f t="shared" si="189"/>
        <v>23</v>
      </c>
      <c r="G498" s="84">
        <f t="shared" si="195"/>
        <v>8</v>
      </c>
      <c r="H498" s="84">
        <f>SUM(F487:G498)</f>
        <v>366</v>
      </c>
      <c r="I498" s="84"/>
    </row>
    <row r="499" spans="1:9">
      <c r="A499" s="78">
        <f t="shared" si="191"/>
        <v>493</v>
      </c>
      <c r="C499" s="78">
        <v>31</v>
      </c>
      <c r="D499" s="78" t="s">
        <v>62</v>
      </c>
      <c r="E499" s="113">
        <f t="shared" si="192"/>
        <v>51502</v>
      </c>
      <c r="F499" s="85">
        <f t="shared" si="189"/>
        <v>23</v>
      </c>
      <c r="G499" s="84">
        <f>C499-F499</f>
        <v>8</v>
      </c>
      <c r="H499" s="84"/>
      <c r="I499" s="84"/>
    </row>
    <row r="500" spans="1:9">
      <c r="A500" s="78">
        <f t="shared" si="191"/>
        <v>494</v>
      </c>
      <c r="C500" s="78">
        <v>28</v>
      </c>
      <c r="D500" s="78" t="s">
        <v>63</v>
      </c>
      <c r="E500" s="113">
        <f t="shared" si="192"/>
        <v>51533</v>
      </c>
      <c r="F500" s="85">
        <f t="shared" si="189"/>
        <v>20</v>
      </c>
      <c r="G500" s="84">
        <f t="shared" ref="G500:G510" si="196">C500-F500</f>
        <v>8</v>
      </c>
      <c r="H500" s="84"/>
      <c r="I500" s="84"/>
    </row>
    <row r="501" spans="1:9">
      <c r="A501" s="78">
        <f t="shared" si="191"/>
        <v>495</v>
      </c>
      <c r="C501" s="78">
        <v>31</v>
      </c>
      <c r="D501" s="78" t="s">
        <v>64</v>
      </c>
      <c r="E501" s="113">
        <f t="shared" si="192"/>
        <v>51561</v>
      </c>
      <c r="F501" s="85">
        <f t="shared" si="189"/>
        <v>22</v>
      </c>
      <c r="G501" s="84">
        <f t="shared" si="196"/>
        <v>9</v>
      </c>
      <c r="H501" s="84"/>
      <c r="I501" s="84"/>
    </row>
    <row r="502" spans="1:9">
      <c r="A502" s="78">
        <f t="shared" si="191"/>
        <v>496</v>
      </c>
      <c r="C502" s="78">
        <v>30</v>
      </c>
      <c r="D502" s="78" t="s">
        <v>65</v>
      </c>
      <c r="E502" s="113">
        <f t="shared" si="192"/>
        <v>51592</v>
      </c>
      <c r="F502" s="85">
        <f t="shared" si="189"/>
        <v>21</v>
      </c>
      <c r="G502" s="84">
        <f t="shared" si="196"/>
        <v>9</v>
      </c>
      <c r="H502" s="84"/>
      <c r="I502" s="84"/>
    </row>
    <row r="503" spans="1:9">
      <c r="A503" s="78">
        <f t="shared" si="191"/>
        <v>497</v>
      </c>
      <c r="C503" s="78">
        <v>31</v>
      </c>
      <c r="D503" s="78" t="s">
        <v>38</v>
      </c>
      <c r="E503" s="113">
        <f t="shared" si="192"/>
        <v>51622</v>
      </c>
      <c r="F503" s="85">
        <f t="shared" si="189"/>
        <v>23</v>
      </c>
      <c r="G503" s="84">
        <f t="shared" si="196"/>
        <v>8</v>
      </c>
      <c r="H503" s="84"/>
      <c r="I503" s="84"/>
    </row>
    <row r="504" spans="1:9">
      <c r="A504" s="78">
        <f t="shared" si="191"/>
        <v>498</v>
      </c>
      <c r="C504" s="78">
        <v>30</v>
      </c>
      <c r="D504" s="78" t="s">
        <v>66</v>
      </c>
      <c r="E504" s="113">
        <f t="shared" si="192"/>
        <v>51653</v>
      </c>
      <c r="F504" s="85">
        <f t="shared" si="189"/>
        <v>21</v>
      </c>
      <c r="G504" s="84">
        <f t="shared" si="196"/>
        <v>9</v>
      </c>
      <c r="H504" s="84"/>
      <c r="I504" s="84"/>
    </row>
    <row r="505" spans="1:9">
      <c r="A505" s="78">
        <f t="shared" si="191"/>
        <v>499</v>
      </c>
      <c r="C505" s="78">
        <v>31</v>
      </c>
      <c r="D505" s="78" t="s">
        <v>67</v>
      </c>
      <c r="E505" s="113">
        <f t="shared" si="192"/>
        <v>51683</v>
      </c>
      <c r="F505" s="85">
        <f t="shared" si="189"/>
        <v>22</v>
      </c>
      <c r="G505" s="84">
        <f t="shared" si="196"/>
        <v>9</v>
      </c>
      <c r="H505" s="84"/>
      <c r="I505" s="84"/>
    </row>
    <row r="506" spans="1:9">
      <c r="A506" s="78">
        <f t="shared" si="191"/>
        <v>500</v>
      </c>
      <c r="C506" s="78">
        <v>31</v>
      </c>
      <c r="D506" s="78" t="s">
        <v>68</v>
      </c>
      <c r="E506" s="113">
        <f t="shared" si="192"/>
        <v>51714</v>
      </c>
      <c r="F506" s="85">
        <f t="shared" si="189"/>
        <v>23</v>
      </c>
      <c r="G506" s="84">
        <f t="shared" si="196"/>
        <v>8</v>
      </c>
      <c r="H506" s="84"/>
      <c r="I506" s="84"/>
    </row>
    <row r="507" spans="1:9">
      <c r="A507" s="78">
        <f t="shared" si="191"/>
        <v>501</v>
      </c>
      <c r="C507" s="78">
        <v>30</v>
      </c>
      <c r="D507" s="78" t="s">
        <v>69</v>
      </c>
      <c r="E507" s="113">
        <f t="shared" si="192"/>
        <v>51745</v>
      </c>
      <c r="F507" s="85">
        <f t="shared" si="189"/>
        <v>20</v>
      </c>
      <c r="G507" s="84">
        <f t="shared" si="196"/>
        <v>10</v>
      </c>
      <c r="H507" s="84"/>
      <c r="I507" s="84"/>
    </row>
    <row r="508" spans="1:9">
      <c r="A508" s="78">
        <f t="shared" si="191"/>
        <v>502</v>
      </c>
      <c r="C508" s="78">
        <v>31</v>
      </c>
      <c r="D508" s="78" t="s">
        <v>70</v>
      </c>
      <c r="E508" s="113">
        <f t="shared" si="192"/>
        <v>51775</v>
      </c>
      <c r="F508" s="85">
        <f t="shared" si="189"/>
        <v>23</v>
      </c>
      <c r="G508" s="84">
        <f t="shared" si="196"/>
        <v>8</v>
      </c>
      <c r="H508" s="84"/>
      <c r="I508" s="84"/>
    </row>
    <row r="509" spans="1:9">
      <c r="A509" s="78">
        <f t="shared" si="191"/>
        <v>503</v>
      </c>
      <c r="C509" s="78">
        <v>30</v>
      </c>
      <c r="D509" s="78" t="s">
        <v>71</v>
      </c>
      <c r="E509" s="113">
        <f t="shared" si="192"/>
        <v>51806</v>
      </c>
      <c r="F509" s="85">
        <f t="shared" si="189"/>
        <v>22</v>
      </c>
      <c r="G509" s="84">
        <f t="shared" si="196"/>
        <v>8</v>
      </c>
      <c r="H509" s="84"/>
      <c r="I509" s="84"/>
    </row>
    <row r="510" spans="1:9">
      <c r="A510" s="78">
        <f t="shared" si="191"/>
        <v>504</v>
      </c>
      <c r="C510" s="78">
        <v>31</v>
      </c>
      <c r="D510" s="78" t="s">
        <v>72</v>
      </c>
      <c r="E510" s="113">
        <f t="shared" si="192"/>
        <v>51836</v>
      </c>
      <c r="F510" s="85">
        <f t="shared" si="189"/>
        <v>21</v>
      </c>
      <c r="G510" s="84">
        <f t="shared" si="196"/>
        <v>10</v>
      </c>
      <c r="H510" s="84">
        <f>SUM(F499:G510)</f>
        <v>365</v>
      </c>
      <c r="I510" s="84"/>
    </row>
    <row r="511" spans="1:9">
      <c r="A511" s="78">
        <f t="shared" si="191"/>
        <v>505</v>
      </c>
      <c r="C511" s="78">
        <v>31</v>
      </c>
      <c r="D511" s="78" t="s">
        <v>62</v>
      </c>
      <c r="E511" s="113">
        <f t="shared" si="192"/>
        <v>51867</v>
      </c>
      <c r="F511" s="85">
        <f t="shared" si="189"/>
        <v>23</v>
      </c>
      <c r="G511" s="84">
        <f>C511-F511</f>
        <v>8</v>
      </c>
      <c r="H511" s="84"/>
      <c r="I511" s="84"/>
    </row>
    <row r="512" spans="1:9">
      <c r="A512" s="78">
        <f t="shared" si="191"/>
        <v>506</v>
      </c>
      <c r="C512" s="78">
        <v>28</v>
      </c>
      <c r="D512" s="78" t="s">
        <v>63</v>
      </c>
      <c r="E512" s="113">
        <f t="shared" si="192"/>
        <v>51898</v>
      </c>
      <c r="F512" s="85">
        <f t="shared" si="189"/>
        <v>20</v>
      </c>
      <c r="G512" s="84">
        <f t="shared" ref="G512:G522" si="197">C512-F512</f>
        <v>8</v>
      </c>
      <c r="H512" s="84"/>
      <c r="I512" s="84"/>
    </row>
    <row r="513" spans="1:9">
      <c r="A513" s="78">
        <f t="shared" si="191"/>
        <v>507</v>
      </c>
      <c r="C513" s="78">
        <v>31</v>
      </c>
      <c r="D513" s="78" t="s">
        <v>64</v>
      </c>
      <c r="E513" s="113">
        <f t="shared" si="192"/>
        <v>51926</v>
      </c>
      <c r="F513" s="85">
        <f t="shared" si="189"/>
        <v>21</v>
      </c>
      <c r="G513" s="84">
        <f t="shared" si="197"/>
        <v>10</v>
      </c>
      <c r="H513" s="84"/>
      <c r="I513" s="84"/>
    </row>
    <row r="514" spans="1:9">
      <c r="A514" s="78">
        <f t="shared" si="191"/>
        <v>508</v>
      </c>
      <c r="C514" s="78">
        <v>30</v>
      </c>
      <c r="D514" s="78" t="s">
        <v>65</v>
      </c>
      <c r="E514" s="113">
        <f t="shared" si="192"/>
        <v>51957</v>
      </c>
      <c r="F514" s="85">
        <f t="shared" si="189"/>
        <v>22</v>
      </c>
      <c r="G514" s="84">
        <f t="shared" si="197"/>
        <v>8</v>
      </c>
      <c r="H514" s="84"/>
      <c r="I514" s="84"/>
    </row>
    <row r="515" spans="1:9">
      <c r="A515" s="78">
        <f t="shared" si="191"/>
        <v>509</v>
      </c>
      <c r="C515" s="78">
        <v>31</v>
      </c>
      <c r="D515" s="78" t="s">
        <v>38</v>
      </c>
      <c r="E515" s="113">
        <f t="shared" si="192"/>
        <v>51987</v>
      </c>
      <c r="F515" s="85">
        <f t="shared" si="189"/>
        <v>23</v>
      </c>
      <c r="G515" s="84">
        <f t="shared" si="197"/>
        <v>8</v>
      </c>
      <c r="H515" s="84"/>
      <c r="I515" s="84"/>
    </row>
    <row r="516" spans="1:9">
      <c r="A516" s="78">
        <f t="shared" si="191"/>
        <v>510</v>
      </c>
      <c r="C516" s="78">
        <v>30</v>
      </c>
      <c r="D516" s="78" t="s">
        <v>66</v>
      </c>
      <c r="E516" s="113">
        <f t="shared" si="192"/>
        <v>52018</v>
      </c>
      <c r="F516" s="85">
        <f t="shared" ref="F516:F579" si="198">F468</f>
        <v>20</v>
      </c>
      <c r="G516" s="84">
        <f t="shared" si="197"/>
        <v>10</v>
      </c>
      <c r="H516" s="84"/>
      <c r="I516" s="84"/>
    </row>
    <row r="517" spans="1:9">
      <c r="A517" s="78">
        <f t="shared" si="191"/>
        <v>511</v>
      </c>
      <c r="C517" s="78">
        <v>31</v>
      </c>
      <c r="D517" s="78" t="s">
        <v>67</v>
      </c>
      <c r="E517" s="113">
        <f t="shared" si="192"/>
        <v>52048</v>
      </c>
      <c r="F517" s="85">
        <f t="shared" si="198"/>
        <v>23</v>
      </c>
      <c r="G517" s="84">
        <f t="shared" si="197"/>
        <v>8</v>
      </c>
      <c r="H517" s="84"/>
      <c r="I517" s="84"/>
    </row>
    <row r="518" spans="1:9">
      <c r="A518" s="78">
        <f t="shared" si="191"/>
        <v>512</v>
      </c>
      <c r="C518" s="78">
        <v>31</v>
      </c>
      <c r="D518" s="78" t="s">
        <v>68</v>
      </c>
      <c r="E518" s="113">
        <f t="shared" si="192"/>
        <v>52079</v>
      </c>
      <c r="F518" s="85">
        <f t="shared" si="198"/>
        <v>22</v>
      </c>
      <c r="G518" s="84">
        <f t="shared" si="197"/>
        <v>9</v>
      </c>
      <c r="H518" s="84"/>
      <c r="I518" s="84"/>
    </row>
    <row r="519" spans="1:9">
      <c r="A519" s="78">
        <f t="shared" si="191"/>
        <v>513</v>
      </c>
      <c r="C519" s="78">
        <v>30</v>
      </c>
      <c r="D519" s="78" t="s">
        <v>69</v>
      </c>
      <c r="E519" s="113">
        <f t="shared" si="192"/>
        <v>52110</v>
      </c>
      <c r="F519" s="85">
        <f t="shared" si="198"/>
        <v>21</v>
      </c>
      <c r="G519" s="84">
        <f t="shared" si="197"/>
        <v>9</v>
      </c>
      <c r="H519" s="84"/>
      <c r="I519" s="84"/>
    </row>
    <row r="520" spans="1:9">
      <c r="A520" s="78">
        <f t="shared" si="191"/>
        <v>514</v>
      </c>
      <c r="C520" s="78">
        <v>31</v>
      </c>
      <c r="D520" s="78" t="s">
        <v>70</v>
      </c>
      <c r="E520" s="113">
        <f t="shared" si="192"/>
        <v>52140</v>
      </c>
      <c r="F520" s="85">
        <f t="shared" si="198"/>
        <v>23</v>
      </c>
      <c r="G520" s="84">
        <f t="shared" si="197"/>
        <v>8</v>
      </c>
      <c r="H520" s="84"/>
      <c r="I520" s="84"/>
    </row>
    <row r="521" spans="1:9">
      <c r="A521" s="78">
        <f t="shared" ref="A521:A584" si="199">A520+1</f>
        <v>515</v>
      </c>
      <c r="C521" s="78">
        <v>30</v>
      </c>
      <c r="D521" s="78" t="s">
        <v>71</v>
      </c>
      <c r="E521" s="113">
        <f t="shared" ref="E521:E584" si="200">E520+C520</f>
        <v>52171</v>
      </c>
      <c r="F521" s="85">
        <f t="shared" si="198"/>
        <v>21</v>
      </c>
      <c r="G521" s="84">
        <f t="shared" si="197"/>
        <v>9</v>
      </c>
      <c r="H521" s="84"/>
      <c r="I521" s="84"/>
    </row>
    <row r="522" spans="1:9">
      <c r="A522" s="78">
        <f t="shared" si="199"/>
        <v>516</v>
      </c>
      <c r="C522" s="78">
        <v>31</v>
      </c>
      <c r="D522" s="78" t="s">
        <v>72</v>
      </c>
      <c r="E522" s="113">
        <f t="shared" si="200"/>
        <v>52201</v>
      </c>
      <c r="F522" s="85">
        <f t="shared" si="198"/>
        <v>22</v>
      </c>
      <c r="G522" s="84">
        <f t="shared" si="197"/>
        <v>9</v>
      </c>
      <c r="H522" s="84">
        <f>SUM(F511:G522)</f>
        <v>365</v>
      </c>
      <c r="I522" s="84"/>
    </row>
    <row r="523" spans="1:9">
      <c r="A523" s="78">
        <f t="shared" si="199"/>
        <v>517</v>
      </c>
      <c r="C523" s="78">
        <v>31</v>
      </c>
      <c r="D523" s="78" t="s">
        <v>62</v>
      </c>
      <c r="E523" s="113">
        <f t="shared" si="200"/>
        <v>52232</v>
      </c>
      <c r="F523" s="85">
        <f t="shared" si="198"/>
        <v>23</v>
      </c>
      <c r="G523" s="84">
        <f>C523-F523</f>
        <v>8</v>
      </c>
      <c r="H523" s="84"/>
      <c r="I523" s="84"/>
    </row>
    <row r="524" spans="1:9">
      <c r="A524" s="78">
        <f t="shared" si="199"/>
        <v>518</v>
      </c>
      <c r="C524" s="78">
        <v>28</v>
      </c>
      <c r="D524" s="78" t="s">
        <v>63</v>
      </c>
      <c r="E524" s="113">
        <f t="shared" si="200"/>
        <v>52263</v>
      </c>
      <c r="F524" s="85">
        <f t="shared" si="198"/>
        <v>20</v>
      </c>
      <c r="G524" s="84">
        <f t="shared" ref="G524:G534" si="201">C524-F524</f>
        <v>8</v>
      </c>
      <c r="H524" s="84"/>
      <c r="I524" s="84"/>
    </row>
    <row r="525" spans="1:9">
      <c r="A525" s="78">
        <f t="shared" si="199"/>
        <v>519</v>
      </c>
      <c r="C525" s="78">
        <v>31</v>
      </c>
      <c r="D525" s="78" t="s">
        <v>64</v>
      </c>
      <c r="E525" s="113">
        <f t="shared" si="200"/>
        <v>52291</v>
      </c>
      <c r="F525" s="85">
        <f t="shared" si="198"/>
        <v>21</v>
      </c>
      <c r="G525" s="84">
        <f t="shared" si="201"/>
        <v>10</v>
      </c>
      <c r="H525" s="84"/>
      <c r="I525" s="84"/>
    </row>
    <row r="526" spans="1:9">
      <c r="A526" s="78">
        <f t="shared" si="199"/>
        <v>520</v>
      </c>
      <c r="C526" s="78">
        <v>30</v>
      </c>
      <c r="D526" s="78" t="s">
        <v>65</v>
      </c>
      <c r="E526" s="113">
        <f t="shared" si="200"/>
        <v>52322</v>
      </c>
      <c r="F526" s="85">
        <f t="shared" si="198"/>
        <v>22</v>
      </c>
      <c r="G526" s="84">
        <f t="shared" si="201"/>
        <v>8</v>
      </c>
      <c r="H526" s="84"/>
      <c r="I526" s="84"/>
    </row>
    <row r="527" spans="1:9">
      <c r="A527" s="78">
        <f t="shared" si="199"/>
        <v>521</v>
      </c>
      <c r="C527" s="78">
        <v>31</v>
      </c>
      <c r="D527" s="78" t="s">
        <v>38</v>
      </c>
      <c r="E527" s="113">
        <f t="shared" si="200"/>
        <v>52352</v>
      </c>
      <c r="F527" s="85">
        <f t="shared" si="198"/>
        <v>22</v>
      </c>
      <c r="G527" s="84">
        <f t="shared" si="201"/>
        <v>9</v>
      </c>
      <c r="H527" s="84"/>
      <c r="I527" s="84"/>
    </row>
    <row r="528" spans="1:9">
      <c r="A528" s="78">
        <f t="shared" si="199"/>
        <v>522</v>
      </c>
      <c r="C528" s="78">
        <v>30</v>
      </c>
      <c r="D528" s="78" t="s">
        <v>66</v>
      </c>
      <c r="E528" s="113">
        <f t="shared" si="200"/>
        <v>52383</v>
      </c>
      <c r="F528" s="85">
        <f t="shared" si="198"/>
        <v>21</v>
      </c>
      <c r="G528" s="84">
        <f t="shared" si="201"/>
        <v>9</v>
      </c>
      <c r="H528" s="84"/>
      <c r="I528" s="84"/>
    </row>
    <row r="529" spans="1:9">
      <c r="A529" s="78">
        <f t="shared" si="199"/>
        <v>523</v>
      </c>
      <c r="C529" s="78">
        <v>31</v>
      </c>
      <c r="D529" s="78" t="s">
        <v>67</v>
      </c>
      <c r="E529" s="113">
        <f t="shared" si="200"/>
        <v>52413</v>
      </c>
      <c r="F529" s="85">
        <f t="shared" si="198"/>
        <v>23</v>
      </c>
      <c r="G529" s="84">
        <f t="shared" si="201"/>
        <v>8</v>
      </c>
      <c r="H529" s="84"/>
      <c r="I529" s="84"/>
    </row>
    <row r="530" spans="1:9">
      <c r="A530" s="78">
        <f t="shared" si="199"/>
        <v>524</v>
      </c>
      <c r="C530" s="78">
        <v>31</v>
      </c>
      <c r="D530" s="78" t="s">
        <v>68</v>
      </c>
      <c r="E530" s="113">
        <f t="shared" si="200"/>
        <v>52444</v>
      </c>
      <c r="F530" s="85">
        <f t="shared" si="198"/>
        <v>21</v>
      </c>
      <c r="G530" s="84">
        <f t="shared" si="201"/>
        <v>10</v>
      </c>
      <c r="H530" s="84"/>
      <c r="I530" s="84"/>
    </row>
    <row r="531" spans="1:9">
      <c r="A531" s="78">
        <f t="shared" si="199"/>
        <v>525</v>
      </c>
      <c r="C531" s="78">
        <v>30</v>
      </c>
      <c r="D531" s="78" t="s">
        <v>69</v>
      </c>
      <c r="E531" s="113">
        <f t="shared" si="200"/>
        <v>52475</v>
      </c>
      <c r="F531" s="85">
        <f t="shared" si="198"/>
        <v>22</v>
      </c>
      <c r="G531" s="84">
        <f t="shared" si="201"/>
        <v>8</v>
      </c>
      <c r="H531" s="84"/>
      <c r="I531" s="84"/>
    </row>
    <row r="532" spans="1:9">
      <c r="A532" s="78">
        <f t="shared" si="199"/>
        <v>526</v>
      </c>
      <c r="C532" s="78">
        <v>31</v>
      </c>
      <c r="D532" s="78" t="s">
        <v>70</v>
      </c>
      <c r="E532" s="113">
        <f t="shared" si="200"/>
        <v>52505</v>
      </c>
      <c r="F532" s="85">
        <f t="shared" si="198"/>
        <v>23</v>
      </c>
      <c r="G532" s="84">
        <f t="shared" si="201"/>
        <v>8</v>
      </c>
      <c r="H532" s="84"/>
      <c r="I532" s="84"/>
    </row>
    <row r="533" spans="1:9">
      <c r="A533" s="78">
        <f t="shared" si="199"/>
        <v>527</v>
      </c>
      <c r="C533" s="78">
        <v>30</v>
      </c>
      <c r="D533" s="78" t="s">
        <v>71</v>
      </c>
      <c r="E533" s="113">
        <f t="shared" si="200"/>
        <v>52536</v>
      </c>
      <c r="F533" s="85">
        <f t="shared" si="198"/>
        <v>20</v>
      </c>
      <c r="G533" s="84">
        <f t="shared" si="201"/>
        <v>10</v>
      </c>
      <c r="H533" s="84"/>
      <c r="I533" s="84"/>
    </row>
    <row r="534" spans="1:9">
      <c r="A534" s="78">
        <f t="shared" si="199"/>
        <v>528</v>
      </c>
      <c r="C534" s="78">
        <v>31</v>
      </c>
      <c r="D534" s="78" t="s">
        <v>72</v>
      </c>
      <c r="E534" s="113">
        <f t="shared" si="200"/>
        <v>52566</v>
      </c>
      <c r="F534" s="85">
        <f t="shared" si="198"/>
        <v>23</v>
      </c>
      <c r="G534" s="84">
        <f t="shared" si="201"/>
        <v>8</v>
      </c>
      <c r="H534" s="84">
        <f>SUM(F523:G534)</f>
        <v>365</v>
      </c>
      <c r="I534" s="84"/>
    </row>
    <row r="535" spans="1:9">
      <c r="A535" s="78">
        <f t="shared" si="199"/>
        <v>529</v>
      </c>
      <c r="C535" s="78">
        <v>31</v>
      </c>
      <c r="D535" s="78" t="s">
        <v>62</v>
      </c>
      <c r="E535" s="113">
        <f t="shared" si="200"/>
        <v>52597</v>
      </c>
      <c r="F535" s="85">
        <f t="shared" si="198"/>
        <v>22</v>
      </c>
      <c r="G535" s="84">
        <f>C535-F535</f>
        <v>9</v>
      </c>
      <c r="H535" s="84"/>
      <c r="I535" s="84"/>
    </row>
    <row r="536" spans="1:9">
      <c r="A536" s="78">
        <f t="shared" si="199"/>
        <v>530</v>
      </c>
      <c r="C536" s="140">
        <v>29</v>
      </c>
      <c r="D536" s="141" t="s">
        <v>63</v>
      </c>
      <c r="E536" s="113">
        <f t="shared" si="200"/>
        <v>52628</v>
      </c>
      <c r="F536" s="85">
        <f t="shared" si="198"/>
        <v>20</v>
      </c>
      <c r="G536" s="84">
        <f t="shared" ref="G536:G546" si="202">C536-F536</f>
        <v>9</v>
      </c>
      <c r="H536" s="84"/>
      <c r="I536" s="84"/>
    </row>
    <row r="537" spans="1:9">
      <c r="A537" s="78">
        <f t="shared" si="199"/>
        <v>531</v>
      </c>
      <c r="C537" s="78">
        <v>31</v>
      </c>
      <c r="D537" s="78" t="s">
        <v>64</v>
      </c>
      <c r="E537" s="113">
        <f t="shared" si="200"/>
        <v>52657</v>
      </c>
      <c r="F537" s="85">
        <f t="shared" si="198"/>
        <v>23</v>
      </c>
      <c r="G537" s="84">
        <f t="shared" si="202"/>
        <v>8</v>
      </c>
      <c r="H537" s="84"/>
      <c r="I537" s="84"/>
    </row>
    <row r="538" spans="1:9">
      <c r="A538" s="78">
        <f t="shared" si="199"/>
        <v>532</v>
      </c>
      <c r="C538" s="78">
        <v>30</v>
      </c>
      <c r="D538" s="78" t="s">
        <v>65</v>
      </c>
      <c r="E538" s="113">
        <f t="shared" si="200"/>
        <v>52688</v>
      </c>
      <c r="F538" s="85">
        <f t="shared" si="198"/>
        <v>22</v>
      </c>
      <c r="G538" s="84">
        <f t="shared" si="202"/>
        <v>8</v>
      </c>
      <c r="H538" s="84"/>
      <c r="I538" s="84"/>
    </row>
    <row r="539" spans="1:9">
      <c r="A539" s="78">
        <f t="shared" si="199"/>
        <v>533</v>
      </c>
      <c r="C539" s="78">
        <v>31</v>
      </c>
      <c r="D539" s="78" t="s">
        <v>38</v>
      </c>
      <c r="E539" s="113">
        <f t="shared" si="200"/>
        <v>52718</v>
      </c>
      <c r="F539" s="85">
        <f t="shared" si="198"/>
        <v>21</v>
      </c>
      <c r="G539" s="84">
        <f t="shared" si="202"/>
        <v>10</v>
      </c>
      <c r="H539" s="84"/>
      <c r="I539" s="84"/>
    </row>
    <row r="540" spans="1:9">
      <c r="A540" s="78">
        <f t="shared" si="199"/>
        <v>534</v>
      </c>
      <c r="C540" s="78">
        <v>30</v>
      </c>
      <c r="D540" s="78" t="s">
        <v>66</v>
      </c>
      <c r="E540" s="113">
        <f t="shared" si="200"/>
        <v>52749</v>
      </c>
      <c r="F540" s="85">
        <f t="shared" si="198"/>
        <v>22</v>
      </c>
      <c r="G540" s="84">
        <f t="shared" si="202"/>
        <v>8</v>
      </c>
      <c r="H540" s="84"/>
      <c r="I540" s="84"/>
    </row>
    <row r="541" spans="1:9">
      <c r="A541" s="78">
        <f t="shared" si="199"/>
        <v>535</v>
      </c>
      <c r="C541" s="78">
        <v>31</v>
      </c>
      <c r="D541" s="78" t="s">
        <v>67</v>
      </c>
      <c r="E541" s="113">
        <f t="shared" si="200"/>
        <v>52779</v>
      </c>
      <c r="F541" s="85">
        <f t="shared" si="198"/>
        <v>22</v>
      </c>
      <c r="G541" s="84">
        <f t="shared" si="202"/>
        <v>9</v>
      </c>
      <c r="H541" s="84"/>
      <c r="I541" s="84"/>
    </row>
    <row r="542" spans="1:9">
      <c r="A542" s="78">
        <f t="shared" si="199"/>
        <v>536</v>
      </c>
      <c r="C542" s="78">
        <v>31</v>
      </c>
      <c r="D542" s="78" t="s">
        <v>68</v>
      </c>
      <c r="E542" s="113">
        <f t="shared" si="200"/>
        <v>52810</v>
      </c>
      <c r="F542" s="85">
        <f t="shared" si="198"/>
        <v>22</v>
      </c>
      <c r="G542" s="84">
        <f t="shared" si="202"/>
        <v>9</v>
      </c>
      <c r="H542" s="84"/>
      <c r="I542" s="84"/>
    </row>
    <row r="543" spans="1:9">
      <c r="A543" s="78">
        <f t="shared" si="199"/>
        <v>537</v>
      </c>
      <c r="C543" s="78">
        <v>30</v>
      </c>
      <c r="D543" s="78" t="s">
        <v>69</v>
      </c>
      <c r="E543" s="113">
        <f t="shared" si="200"/>
        <v>52841</v>
      </c>
      <c r="F543" s="85">
        <f t="shared" si="198"/>
        <v>22</v>
      </c>
      <c r="G543" s="84">
        <f t="shared" si="202"/>
        <v>8</v>
      </c>
      <c r="H543" s="84"/>
      <c r="I543" s="84"/>
    </row>
    <row r="544" spans="1:9">
      <c r="A544" s="78">
        <f t="shared" si="199"/>
        <v>538</v>
      </c>
      <c r="C544" s="78">
        <v>31</v>
      </c>
      <c r="D544" s="78" t="s">
        <v>70</v>
      </c>
      <c r="E544" s="113">
        <f t="shared" si="200"/>
        <v>52871</v>
      </c>
      <c r="F544" s="85">
        <f t="shared" si="198"/>
        <v>21</v>
      </c>
      <c r="G544" s="84">
        <f t="shared" si="202"/>
        <v>10</v>
      </c>
      <c r="H544" s="84"/>
      <c r="I544" s="84"/>
    </row>
    <row r="545" spans="1:9">
      <c r="A545" s="78">
        <f t="shared" si="199"/>
        <v>539</v>
      </c>
      <c r="C545" s="78">
        <v>30</v>
      </c>
      <c r="D545" s="78" t="s">
        <v>71</v>
      </c>
      <c r="E545" s="113">
        <f t="shared" si="200"/>
        <v>52902</v>
      </c>
      <c r="F545" s="85">
        <f t="shared" si="198"/>
        <v>22</v>
      </c>
      <c r="G545" s="84">
        <f t="shared" si="202"/>
        <v>8</v>
      </c>
      <c r="H545" s="84"/>
      <c r="I545" s="84"/>
    </row>
    <row r="546" spans="1:9">
      <c r="A546" s="78">
        <f t="shared" si="199"/>
        <v>540</v>
      </c>
      <c r="C546" s="78">
        <v>31</v>
      </c>
      <c r="D546" s="78" t="s">
        <v>72</v>
      </c>
      <c r="E546" s="113">
        <f t="shared" si="200"/>
        <v>52932</v>
      </c>
      <c r="F546" s="85">
        <f t="shared" si="198"/>
        <v>23</v>
      </c>
      <c r="G546" s="84">
        <f t="shared" si="202"/>
        <v>8</v>
      </c>
      <c r="H546" s="84">
        <f>SUM(F535:G546)</f>
        <v>366</v>
      </c>
      <c r="I546" s="84"/>
    </row>
    <row r="547" spans="1:9">
      <c r="A547" s="78">
        <f t="shared" si="199"/>
        <v>541</v>
      </c>
      <c r="C547" s="78">
        <v>31</v>
      </c>
      <c r="D547" s="78" t="s">
        <v>62</v>
      </c>
      <c r="E547" s="113">
        <f t="shared" si="200"/>
        <v>52963</v>
      </c>
      <c r="F547" s="85">
        <f t="shared" si="198"/>
        <v>23</v>
      </c>
      <c r="G547" s="84">
        <f>C547-F547</f>
        <v>8</v>
      </c>
      <c r="H547" s="84"/>
      <c r="I547" s="84"/>
    </row>
    <row r="548" spans="1:9">
      <c r="A548" s="78">
        <f t="shared" si="199"/>
        <v>542</v>
      </c>
      <c r="C548" s="78">
        <v>28</v>
      </c>
      <c r="D548" s="78" t="s">
        <v>63</v>
      </c>
      <c r="E548" s="113">
        <f t="shared" si="200"/>
        <v>52994</v>
      </c>
      <c r="F548" s="85">
        <f t="shared" si="198"/>
        <v>20</v>
      </c>
      <c r="G548" s="84">
        <f t="shared" ref="G548:G558" si="203">C548-F548</f>
        <v>8</v>
      </c>
      <c r="H548" s="84"/>
      <c r="I548" s="84"/>
    </row>
    <row r="549" spans="1:9">
      <c r="A549" s="78">
        <f t="shared" si="199"/>
        <v>543</v>
      </c>
      <c r="C549" s="78">
        <v>31</v>
      </c>
      <c r="D549" s="78" t="s">
        <v>64</v>
      </c>
      <c r="E549" s="113">
        <f t="shared" si="200"/>
        <v>53022</v>
      </c>
      <c r="F549" s="85">
        <f t="shared" si="198"/>
        <v>22</v>
      </c>
      <c r="G549" s="84">
        <f t="shared" si="203"/>
        <v>9</v>
      </c>
      <c r="H549" s="84"/>
      <c r="I549" s="84"/>
    </row>
    <row r="550" spans="1:9">
      <c r="A550" s="78">
        <f t="shared" si="199"/>
        <v>544</v>
      </c>
      <c r="C550" s="78">
        <v>30</v>
      </c>
      <c r="D550" s="78" t="s">
        <v>65</v>
      </c>
      <c r="E550" s="113">
        <f t="shared" si="200"/>
        <v>53053</v>
      </c>
      <c r="F550" s="85">
        <f t="shared" si="198"/>
        <v>21</v>
      </c>
      <c r="G550" s="84">
        <f t="shared" si="203"/>
        <v>9</v>
      </c>
      <c r="H550" s="84"/>
      <c r="I550" s="84"/>
    </row>
    <row r="551" spans="1:9">
      <c r="A551" s="78">
        <f t="shared" si="199"/>
        <v>545</v>
      </c>
      <c r="C551" s="78">
        <v>31</v>
      </c>
      <c r="D551" s="78" t="s">
        <v>38</v>
      </c>
      <c r="E551" s="113">
        <f t="shared" si="200"/>
        <v>53083</v>
      </c>
      <c r="F551" s="85">
        <f t="shared" si="198"/>
        <v>23</v>
      </c>
      <c r="G551" s="84">
        <f t="shared" si="203"/>
        <v>8</v>
      </c>
      <c r="H551" s="84"/>
      <c r="I551" s="84"/>
    </row>
    <row r="552" spans="1:9">
      <c r="A552" s="78">
        <f t="shared" si="199"/>
        <v>546</v>
      </c>
      <c r="C552" s="78">
        <v>30</v>
      </c>
      <c r="D552" s="78" t="s">
        <v>66</v>
      </c>
      <c r="E552" s="113">
        <f t="shared" si="200"/>
        <v>53114</v>
      </c>
      <c r="F552" s="85">
        <f t="shared" si="198"/>
        <v>21</v>
      </c>
      <c r="G552" s="84">
        <f t="shared" si="203"/>
        <v>9</v>
      </c>
      <c r="H552" s="84"/>
      <c r="I552" s="84"/>
    </row>
    <row r="553" spans="1:9">
      <c r="A553" s="78">
        <f t="shared" si="199"/>
        <v>547</v>
      </c>
      <c r="C553" s="78">
        <v>31</v>
      </c>
      <c r="D553" s="78" t="s">
        <v>67</v>
      </c>
      <c r="E553" s="113">
        <f t="shared" si="200"/>
        <v>53144</v>
      </c>
      <c r="F553" s="85">
        <f t="shared" si="198"/>
        <v>22</v>
      </c>
      <c r="G553" s="84">
        <f t="shared" si="203"/>
        <v>9</v>
      </c>
      <c r="H553" s="84"/>
      <c r="I553" s="84"/>
    </row>
    <row r="554" spans="1:9">
      <c r="A554" s="78">
        <f t="shared" si="199"/>
        <v>548</v>
      </c>
      <c r="C554" s="78">
        <v>31</v>
      </c>
      <c r="D554" s="78" t="s">
        <v>68</v>
      </c>
      <c r="E554" s="113">
        <f t="shared" si="200"/>
        <v>53175</v>
      </c>
      <c r="F554" s="85">
        <f t="shared" si="198"/>
        <v>23</v>
      </c>
      <c r="G554" s="84">
        <f t="shared" si="203"/>
        <v>8</v>
      </c>
      <c r="H554" s="84"/>
      <c r="I554" s="84"/>
    </row>
    <row r="555" spans="1:9">
      <c r="A555" s="78">
        <f t="shared" si="199"/>
        <v>549</v>
      </c>
      <c r="C555" s="78">
        <v>30</v>
      </c>
      <c r="D555" s="78" t="s">
        <v>69</v>
      </c>
      <c r="E555" s="113">
        <f t="shared" si="200"/>
        <v>53206</v>
      </c>
      <c r="F555" s="85">
        <f t="shared" si="198"/>
        <v>20</v>
      </c>
      <c r="G555" s="84">
        <f t="shared" si="203"/>
        <v>10</v>
      </c>
      <c r="H555" s="84"/>
      <c r="I555" s="84"/>
    </row>
    <row r="556" spans="1:9">
      <c r="A556" s="78">
        <f t="shared" si="199"/>
        <v>550</v>
      </c>
      <c r="C556" s="78">
        <v>31</v>
      </c>
      <c r="D556" s="78" t="s">
        <v>70</v>
      </c>
      <c r="E556" s="113">
        <f t="shared" si="200"/>
        <v>53236</v>
      </c>
      <c r="F556" s="85">
        <f t="shared" si="198"/>
        <v>23</v>
      </c>
      <c r="G556" s="84">
        <f t="shared" si="203"/>
        <v>8</v>
      </c>
      <c r="H556" s="84"/>
      <c r="I556" s="84"/>
    </row>
    <row r="557" spans="1:9">
      <c r="A557" s="78">
        <f t="shared" si="199"/>
        <v>551</v>
      </c>
      <c r="C557" s="78">
        <v>30</v>
      </c>
      <c r="D557" s="78" t="s">
        <v>71</v>
      </c>
      <c r="E557" s="113">
        <f t="shared" si="200"/>
        <v>53267</v>
      </c>
      <c r="F557" s="85">
        <f t="shared" si="198"/>
        <v>22</v>
      </c>
      <c r="G557" s="84">
        <f t="shared" si="203"/>
        <v>8</v>
      </c>
      <c r="H557" s="84"/>
      <c r="I557" s="84"/>
    </row>
    <row r="558" spans="1:9">
      <c r="A558" s="78">
        <f t="shared" si="199"/>
        <v>552</v>
      </c>
      <c r="C558" s="78">
        <v>31</v>
      </c>
      <c r="D558" s="78" t="s">
        <v>72</v>
      </c>
      <c r="E558" s="113">
        <f t="shared" si="200"/>
        <v>53297</v>
      </c>
      <c r="F558" s="85">
        <f t="shared" si="198"/>
        <v>21</v>
      </c>
      <c r="G558" s="84">
        <f t="shared" si="203"/>
        <v>10</v>
      </c>
      <c r="H558" s="84">
        <f>SUM(F547:G558)</f>
        <v>365</v>
      </c>
      <c r="I558" s="84"/>
    </row>
    <row r="559" spans="1:9">
      <c r="A559" s="78">
        <f t="shared" si="199"/>
        <v>553</v>
      </c>
      <c r="C559" s="78">
        <v>31</v>
      </c>
      <c r="D559" s="78" t="s">
        <v>62</v>
      </c>
      <c r="E559" s="113">
        <f t="shared" si="200"/>
        <v>53328</v>
      </c>
      <c r="F559" s="85">
        <f t="shared" si="198"/>
        <v>23</v>
      </c>
      <c r="G559" s="84">
        <f>C559-F559</f>
        <v>8</v>
      </c>
      <c r="H559" s="84"/>
      <c r="I559" s="84"/>
    </row>
    <row r="560" spans="1:9">
      <c r="A560" s="78">
        <f t="shared" si="199"/>
        <v>554</v>
      </c>
      <c r="C560" s="78">
        <v>28</v>
      </c>
      <c r="D560" s="78" t="s">
        <v>63</v>
      </c>
      <c r="E560" s="113">
        <f t="shared" si="200"/>
        <v>53359</v>
      </c>
      <c r="F560" s="85">
        <f t="shared" si="198"/>
        <v>20</v>
      </c>
      <c r="G560" s="84">
        <f t="shared" ref="G560:G570" si="204">C560-F560</f>
        <v>8</v>
      </c>
      <c r="H560" s="84"/>
      <c r="I560" s="84"/>
    </row>
    <row r="561" spans="1:9">
      <c r="A561" s="78">
        <f t="shared" si="199"/>
        <v>555</v>
      </c>
      <c r="C561" s="78">
        <v>31</v>
      </c>
      <c r="D561" s="78" t="s">
        <v>64</v>
      </c>
      <c r="E561" s="113">
        <f t="shared" si="200"/>
        <v>53387</v>
      </c>
      <c r="F561" s="85">
        <f t="shared" si="198"/>
        <v>21</v>
      </c>
      <c r="G561" s="84">
        <f t="shared" si="204"/>
        <v>10</v>
      </c>
      <c r="H561" s="84"/>
      <c r="I561" s="84"/>
    </row>
    <row r="562" spans="1:9">
      <c r="A562" s="78">
        <f t="shared" si="199"/>
        <v>556</v>
      </c>
      <c r="C562" s="78">
        <v>30</v>
      </c>
      <c r="D562" s="78" t="s">
        <v>65</v>
      </c>
      <c r="E562" s="113">
        <f t="shared" si="200"/>
        <v>53418</v>
      </c>
      <c r="F562" s="85">
        <f t="shared" si="198"/>
        <v>22</v>
      </c>
      <c r="G562" s="84">
        <f t="shared" si="204"/>
        <v>8</v>
      </c>
      <c r="H562" s="84"/>
      <c r="I562" s="84"/>
    </row>
    <row r="563" spans="1:9">
      <c r="A563" s="78">
        <f t="shared" si="199"/>
        <v>557</v>
      </c>
      <c r="C563" s="78">
        <v>31</v>
      </c>
      <c r="D563" s="78" t="s">
        <v>38</v>
      </c>
      <c r="E563" s="113">
        <f t="shared" si="200"/>
        <v>53448</v>
      </c>
      <c r="F563" s="85">
        <f t="shared" si="198"/>
        <v>23</v>
      </c>
      <c r="G563" s="84">
        <f t="shared" si="204"/>
        <v>8</v>
      </c>
      <c r="H563" s="84"/>
      <c r="I563" s="84"/>
    </row>
    <row r="564" spans="1:9">
      <c r="A564" s="78">
        <f t="shared" si="199"/>
        <v>558</v>
      </c>
      <c r="C564" s="78">
        <v>30</v>
      </c>
      <c r="D564" s="78" t="s">
        <v>66</v>
      </c>
      <c r="E564" s="113">
        <f t="shared" si="200"/>
        <v>53479</v>
      </c>
      <c r="F564" s="85">
        <f t="shared" si="198"/>
        <v>20</v>
      </c>
      <c r="G564" s="84">
        <f t="shared" si="204"/>
        <v>10</v>
      </c>
      <c r="H564" s="84"/>
      <c r="I564" s="84"/>
    </row>
    <row r="565" spans="1:9">
      <c r="A565" s="78">
        <f t="shared" si="199"/>
        <v>559</v>
      </c>
      <c r="C565" s="78">
        <v>31</v>
      </c>
      <c r="D565" s="78" t="s">
        <v>67</v>
      </c>
      <c r="E565" s="113">
        <f t="shared" si="200"/>
        <v>53509</v>
      </c>
      <c r="F565" s="85">
        <f t="shared" si="198"/>
        <v>23</v>
      </c>
      <c r="G565" s="84">
        <f t="shared" si="204"/>
        <v>8</v>
      </c>
      <c r="H565" s="84"/>
      <c r="I565" s="84"/>
    </row>
    <row r="566" spans="1:9">
      <c r="A566" s="78">
        <f t="shared" si="199"/>
        <v>560</v>
      </c>
      <c r="C566" s="78">
        <v>31</v>
      </c>
      <c r="D566" s="78" t="s">
        <v>68</v>
      </c>
      <c r="E566" s="113">
        <f t="shared" si="200"/>
        <v>53540</v>
      </c>
      <c r="F566" s="85">
        <f t="shared" si="198"/>
        <v>22</v>
      </c>
      <c r="G566" s="84">
        <f t="shared" si="204"/>
        <v>9</v>
      </c>
      <c r="H566" s="84"/>
      <c r="I566" s="84"/>
    </row>
    <row r="567" spans="1:9">
      <c r="A567" s="78">
        <f t="shared" si="199"/>
        <v>561</v>
      </c>
      <c r="C567" s="78">
        <v>30</v>
      </c>
      <c r="D567" s="78" t="s">
        <v>69</v>
      </c>
      <c r="E567" s="113">
        <f t="shared" si="200"/>
        <v>53571</v>
      </c>
      <c r="F567" s="85">
        <f t="shared" si="198"/>
        <v>21</v>
      </c>
      <c r="G567" s="84">
        <f t="shared" si="204"/>
        <v>9</v>
      </c>
      <c r="H567" s="84"/>
      <c r="I567" s="84"/>
    </row>
    <row r="568" spans="1:9">
      <c r="A568" s="78">
        <f t="shared" si="199"/>
        <v>562</v>
      </c>
      <c r="C568" s="78">
        <v>31</v>
      </c>
      <c r="D568" s="78" t="s">
        <v>70</v>
      </c>
      <c r="E568" s="113">
        <f t="shared" si="200"/>
        <v>53601</v>
      </c>
      <c r="F568" s="85">
        <f t="shared" si="198"/>
        <v>23</v>
      </c>
      <c r="G568" s="84">
        <f t="shared" si="204"/>
        <v>8</v>
      </c>
      <c r="H568" s="84"/>
      <c r="I568" s="84"/>
    </row>
    <row r="569" spans="1:9">
      <c r="A569" s="78">
        <f t="shared" si="199"/>
        <v>563</v>
      </c>
      <c r="C569" s="78">
        <v>30</v>
      </c>
      <c r="D569" s="78" t="s">
        <v>71</v>
      </c>
      <c r="E569" s="113">
        <f t="shared" si="200"/>
        <v>53632</v>
      </c>
      <c r="F569" s="85">
        <f t="shared" si="198"/>
        <v>21</v>
      </c>
      <c r="G569" s="84">
        <f t="shared" si="204"/>
        <v>9</v>
      </c>
      <c r="H569" s="84"/>
      <c r="I569" s="84"/>
    </row>
    <row r="570" spans="1:9">
      <c r="A570" s="78">
        <f t="shared" si="199"/>
        <v>564</v>
      </c>
      <c r="C570" s="78">
        <v>31</v>
      </c>
      <c r="D570" s="78" t="s">
        <v>72</v>
      </c>
      <c r="E570" s="113">
        <f t="shared" si="200"/>
        <v>53662</v>
      </c>
      <c r="F570" s="85">
        <f t="shared" si="198"/>
        <v>22</v>
      </c>
      <c r="G570" s="84">
        <f t="shared" si="204"/>
        <v>9</v>
      </c>
      <c r="H570" s="84">
        <f>SUM(F559:G570)</f>
        <v>365</v>
      </c>
      <c r="I570" s="84"/>
    </row>
    <row r="571" spans="1:9">
      <c r="A571" s="78">
        <f t="shared" si="199"/>
        <v>565</v>
      </c>
      <c r="C571" s="78">
        <v>31</v>
      </c>
      <c r="D571" s="78" t="s">
        <v>62</v>
      </c>
      <c r="E571" s="113">
        <f t="shared" si="200"/>
        <v>53693</v>
      </c>
      <c r="F571" s="85">
        <f t="shared" si="198"/>
        <v>23</v>
      </c>
      <c r="G571" s="84">
        <f>C571-F571</f>
        <v>8</v>
      </c>
      <c r="H571" s="84"/>
      <c r="I571" s="84"/>
    </row>
    <row r="572" spans="1:9">
      <c r="A572" s="78">
        <f t="shared" si="199"/>
        <v>566</v>
      </c>
      <c r="C572" s="78">
        <v>28</v>
      </c>
      <c r="D572" s="78" t="s">
        <v>63</v>
      </c>
      <c r="E572" s="113">
        <f t="shared" si="200"/>
        <v>53724</v>
      </c>
      <c r="F572" s="85">
        <f t="shared" si="198"/>
        <v>20</v>
      </c>
      <c r="G572" s="84">
        <f t="shared" ref="G572:G582" si="205">C572-F572</f>
        <v>8</v>
      </c>
      <c r="H572" s="84"/>
      <c r="I572" s="84"/>
    </row>
    <row r="573" spans="1:9">
      <c r="A573" s="78">
        <f t="shared" si="199"/>
        <v>567</v>
      </c>
      <c r="C573" s="78">
        <v>31</v>
      </c>
      <c r="D573" s="78" t="s">
        <v>64</v>
      </c>
      <c r="E573" s="113">
        <f t="shared" si="200"/>
        <v>53752</v>
      </c>
      <c r="F573" s="85">
        <f t="shared" si="198"/>
        <v>21</v>
      </c>
      <c r="G573" s="84">
        <f t="shared" si="205"/>
        <v>10</v>
      </c>
      <c r="H573" s="84"/>
      <c r="I573" s="84"/>
    </row>
    <row r="574" spans="1:9">
      <c r="A574" s="78">
        <f t="shared" si="199"/>
        <v>568</v>
      </c>
      <c r="C574" s="78">
        <v>30</v>
      </c>
      <c r="D574" s="78" t="s">
        <v>65</v>
      </c>
      <c r="E574" s="113">
        <f t="shared" si="200"/>
        <v>53783</v>
      </c>
      <c r="F574" s="85">
        <f t="shared" si="198"/>
        <v>22</v>
      </c>
      <c r="G574" s="84">
        <f t="shared" si="205"/>
        <v>8</v>
      </c>
      <c r="H574" s="84"/>
      <c r="I574" s="84"/>
    </row>
    <row r="575" spans="1:9">
      <c r="A575" s="78">
        <f t="shared" si="199"/>
        <v>569</v>
      </c>
      <c r="C575" s="78">
        <v>31</v>
      </c>
      <c r="D575" s="78" t="s">
        <v>38</v>
      </c>
      <c r="E575" s="113">
        <f t="shared" si="200"/>
        <v>53813</v>
      </c>
      <c r="F575" s="85">
        <f t="shared" si="198"/>
        <v>22</v>
      </c>
      <c r="G575" s="84">
        <f t="shared" si="205"/>
        <v>9</v>
      </c>
      <c r="H575" s="84"/>
      <c r="I575" s="84"/>
    </row>
    <row r="576" spans="1:9">
      <c r="A576" s="78">
        <f t="shared" si="199"/>
        <v>570</v>
      </c>
      <c r="C576" s="78">
        <v>30</v>
      </c>
      <c r="D576" s="78" t="s">
        <v>66</v>
      </c>
      <c r="E576" s="113">
        <f t="shared" si="200"/>
        <v>53844</v>
      </c>
      <c r="F576" s="85">
        <f t="shared" si="198"/>
        <v>21</v>
      </c>
      <c r="G576" s="84">
        <f t="shared" si="205"/>
        <v>9</v>
      </c>
      <c r="H576" s="84"/>
      <c r="I576" s="84"/>
    </row>
    <row r="577" spans="1:9">
      <c r="A577" s="78">
        <f t="shared" si="199"/>
        <v>571</v>
      </c>
      <c r="C577" s="78">
        <v>31</v>
      </c>
      <c r="D577" s="78" t="s">
        <v>67</v>
      </c>
      <c r="E577" s="113">
        <f t="shared" si="200"/>
        <v>53874</v>
      </c>
      <c r="F577" s="85">
        <f t="shared" si="198"/>
        <v>23</v>
      </c>
      <c r="G577" s="84">
        <f t="shared" si="205"/>
        <v>8</v>
      </c>
      <c r="H577" s="84"/>
      <c r="I577" s="84"/>
    </row>
    <row r="578" spans="1:9">
      <c r="A578" s="78">
        <f t="shared" si="199"/>
        <v>572</v>
      </c>
      <c r="C578" s="78">
        <v>31</v>
      </c>
      <c r="D578" s="78" t="s">
        <v>68</v>
      </c>
      <c r="E578" s="113">
        <f t="shared" si="200"/>
        <v>53905</v>
      </c>
      <c r="F578" s="85">
        <f t="shared" si="198"/>
        <v>21</v>
      </c>
      <c r="G578" s="84">
        <f t="shared" si="205"/>
        <v>10</v>
      </c>
      <c r="H578" s="84"/>
      <c r="I578" s="84"/>
    </row>
    <row r="579" spans="1:9">
      <c r="A579" s="78">
        <f t="shared" si="199"/>
        <v>573</v>
      </c>
      <c r="C579" s="78">
        <v>30</v>
      </c>
      <c r="D579" s="78" t="s">
        <v>69</v>
      </c>
      <c r="E579" s="113">
        <f t="shared" si="200"/>
        <v>53936</v>
      </c>
      <c r="F579" s="85">
        <f t="shared" si="198"/>
        <v>22</v>
      </c>
      <c r="G579" s="84">
        <f t="shared" si="205"/>
        <v>8</v>
      </c>
      <c r="H579" s="84"/>
      <c r="I579" s="84"/>
    </row>
    <row r="580" spans="1:9">
      <c r="A580" s="78">
        <f t="shared" si="199"/>
        <v>574</v>
      </c>
      <c r="C580" s="78">
        <v>31</v>
      </c>
      <c r="D580" s="78" t="s">
        <v>70</v>
      </c>
      <c r="E580" s="113">
        <f t="shared" si="200"/>
        <v>53966</v>
      </c>
      <c r="F580" s="85">
        <f t="shared" ref="F580:F643" si="206">F532</f>
        <v>23</v>
      </c>
      <c r="G580" s="84">
        <f t="shared" si="205"/>
        <v>8</v>
      </c>
      <c r="H580" s="84"/>
      <c r="I580" s="84"/>
    </row>
    <row r="581" spans="1:9">
      <c r="A581" s="78">
        <f t="shared" si="199"/>
        <v>575</v>
      </c>
      <c r="C581" s="78">
        <v>30</v>
      </c>
      <c r="D581" s="78" t="s">
        <v>71</v>
      </c>
      <c r="E581" s="113">
        <f t="shared" si="200"/>
        <v>53997</v>
      </c>
      <c r="F581" s="85">
        <f t="shared" si="206"/>
        <v>20</v>
      </c>
      <c r="G581" s="84">
        <f t="shared" si="205"/>
        <v>10</v>
      </c>
      <c r="H581" s="84"/>
      <c r="I581" s="84"/>
    </row>
    <row r="582" spans="1:9">
      <c r="A582" s="78">
        <f t="shared" si="199"/>
        <v>576</v>
      </c>
      <c r="C582" s="78">
        <v>31</v>
      </c>
      <c r="D582" s="78" t="s">
        <v>72</v>
      </c>
      <c r="E582" s="113">
        <f t="shared" si="200"/>
        <v>54027</v>
      </c>
      <c r="F582" s="85">
        <f t="shared" si="206"/>
        <v>23</v>
      </c>
      <c r="G582" s="84">
        <f t="shared" si="205"/>
        <v>8</v>
      </c>
      <c r="H582" s="84">
        <f>SUM(F571:G582)</f>
        <v>365</v>
      </c>
      <c r="I582" s="84"/>
    </row>
    <row r="583" spans="1:9">
      <c r="A583" s="78">
        <f t="shared" si="199"/>
        <v>577</v>
      </c>
      <c r="C583" s="78">
        <v>31</v>
      </c>
      <c r="D583" s="78" t="s">
        <v>62</v>
      </c>
      <c r="E583" s="113">
        <f t="shared" si="200"/>
        <v>54058</v>
      </c>
      <c r="F583" s="85">
        <f t="shared" si="206"/>
        <v>22</v>
      </c>
      <c r="G583" s="84">
        <f>C583-F583</f>
        <v>9</v>
      </c>
      <c r="H583" s="84"/>
      <c r="I583" s="84"/>
    </row>
    <row r="584" spans="1:9">
      <c r="A584" s="78">
        <f t="shared" si="199"/>
        <v>578</v>
      </c>
      <c r="C584" s="140">
        <v>29</v>
      </c>
      <c r="D584" s="141" t="s">
        <v>63</v>
      </c>
      <c r="E584" s="113">
        <f t="shared" si="200"/>
        <v>54089</v>
      </c>
      <c r="F584" s="85">
        <f t="shared" si="206"/>
        <v>20</v>
      </c>
      <c r="G584" s="84">
        <f t="shared" ref="G584:G594" si="207">C584-F584</f>
        <v>9</v>
      </c>
      <c r="H584" s="84"/>
      <c r="I584" s="84"/>
    </row>
    <row r="585" spans="1:9">
      <c r="A585" s="78">
        <f t="shared" ref="A585:A648" si="208">A584+1</f>
        <v>579</v>
      </c>
      <c r="C585" s="78">
        <v>31</v>
      </c>
      <c r="D585" s="78" t="s">
        <v>64</v>
      </c>
      <c r="E585" s="113">
        <f t="shared" ref="E585:E648" si="209">E584+C584</f>
        <v>54118</v>
      </c>
      <c r="F585" s="85">
        <f t="shared" si="206"/>
        <v>23</v>
      </c>
      <c r="G585" s="84">
        <f t="shared" si="207"/>
        <v>8</v>
      </c>
      <c r="H585" s="84"/>
      <c r="I585" s="84"/>
    </row>
    <row r="586" spans="1:9">
      <c r="A586" s="78">
        <f t="shared" si="208"/>
        <v>580</v>
      </c>
      <c r="C586" s="78">
        <v>30</v>
      </c>
      <c r="D586" s="78" t="s">
        <v>65</v>
      </c>
      <c r="E586" s="113">
        <f t="shared" si="209"/>
        <v>54149</v>
      </c>
      <c r="F586" s="85">
        <f t="shared" si="206"/>
        <v>22</v>
      </c>
      <c r="G586" s="84">
        <f t="shared" si="207"/>
        <v>8</v>
      </c>
      <c r="H586" s="84"/>
      <c r="I586" s="84"/>
    </row>
    <row r="587" spans="1:9">
      <c r="A587" s="78">
        <f t="shared" si="208"/>
        <v>581</v>
      </c>
      <c r="C587" s="78">
        <v>31</v>
      </c>
      <c r="D587" s="78" t="s">
        <v>38</v>
      </c>
      <c r="E587" s="113">
        <f t="shared" si="209"/>
        <v>54179</v>
      </c>
      <c r="F587" s="85">
        <f t="shared" si="206"/>
        <v>21</v>
      </c>
      <c r="G587" s="84">
        <f t="shared" si="207"/>
        <v>10</v>
      </c>
      <c r="H587" s="84"/>
      <c r="I587" s="84"/>
    </row>
    <row r="588" spans="1:9">
      <c r="A588" s="78">
        <f t="shared" si="208"/>
        <v>582</v>
      </c>
      <c r="C588" s="78">
        <v>30</v>
      </c>
      <c r="D588" s="78" t="s">
        <v>66</v>
      </c>
      <c r="E588" s="113">
        <f t="shared" si="209"/>
        <v>54210</v>
      </c>
      <c r="F588" s="85">
        <f t="shared" si="206"/>
        <v>22</v>
      </c>
      <c r="G588" s="84">
        <f t="shared" si="207"/>
        <v>8</v>
      </c>
      <c r="H588" s="84"/>
      <c r="I588" s="84"/>
    </row>
    <row r="589" spans="1:9">
      <c r="A589" s="78">
        <f t="shared" si="208"/>
        <v>583</v>
      </c>
      <c r="C589" s="78">
        <v>31</v>
      </c>
      <c r="D589" s="78" t="s">
        <v>67</v>
      </c>
      <c r="E589" s="113">
        <f t="shared" si="209"/>
        <v>54240</v>
      </c>
      <c r="F589" s="85">
        <f t="shared" si="206"/>
        <v>22</v>
      </c>
      <c r="G589" s="84">
        <f t="shared" si="207"/>
        <v>9</v>
      </c>
      <c r="H589" s="84"/>
      <c r="I589" s="84"/>
    </row>
    <row r="590" spans="1:9">
      <c r="A590" s="78">
        <f t="shared" si="208"/>
        <v>584</v>
      </c>
      <c r="C590" s="78">
        <v>31</v>
      </c>
      <c r="D590" s="78" t="s">
        <v>68</v>
      </c>
      <c r="E590" s="113">
        <f t="shared" si="209"/>
        <v>54271</v>
      </c>
      <c r="F590" s="85">
        <f t="shared" si="206"/>
        <v>22</v>
      </c>
      <c r="G590" s="84">
        <f t="shared" si="207"/>
        <v>9</v>
      </c>
      <c r="H590" s="84"/>
      <c r="I590" s="84"/>
    </row>
    <row r="591" spans="1:9">
      <c r="A591" s="78">
        <f t="shared" si="208"/>
        <v>585</v>
      </c>
      <c r="C591" s="78">
        <v>30</v>
      </c>
      <c r="D591" s="78" t="s">
        <v>69</v>
      </c>
      <c r="E591" s="113">
        <f t="shared" si="209"/>
        <v>54302</v>
      </c>
      <c r="F591" s="85">
        <f t="shared" si="206"/>
        <v>22</v>
      </c>
      <c r="G591" s="84">
        <f t="shared" si="207"/>
        <v>8</v>
      </c>
      <c r="H591" s="84"/>
      <c r="I591" s="84"/>
    </row>
    <row r="592" spans="1:9">
      <c r="A592" s="78">
        <f t="shared" si="208"/>
        <v>586</v>
      </c>
      <c r="C592" s="78">
        <v>31</v>
      </c>
      <c r="D592" s="78" t="s">
        <v>70</v>
      </c>
      <c r="E592" s="113">
        <f t="shared" si="209"/>
        <v>54332</v>
      </c>
      <c r="F592" s="85">
        <f t="shared" si="206"/>
        <v>21</v>
      </c>
      <c r="G592" s="84">
        <f t="shared" si="207"/>
        <v>10</v>
      </c>
      <c r="H592" s="84"/>
      <c r="I592" s="84"/>
    </row>
    <row r="593" spans="1:9">
      <c r="A593" s="78">
        <f t="shared" si="208"/>
        <v>587</v>
      </c>
      <c r="C593" s="78">
        <v>30</v>
      </c>
      <c r="D593" s="78" t="s">
        <v>71</v>
      </c>
      <c r="E593" s="113">
        <f t="shared" si="209"/>
        <v>54363</v>
      </c>
      <c r="F593" s="85">
        <f t="shared" si="206"/>
        <v>22</v>
      </c>
      <c r="G593" s="84">
        <f t="shared" si="207"/>
        <v>8</v>
      </c>
      <c r="H593" s="84"/>
      <c r="I593" s="84"/>
    </row>
    <row r="594" spans="1:9">
      <c r="A594" s="78">
        <f t="shared" si="208"/>
        <v>588</v>
      </c>
      <c r="C594" s="78">
        <v>31</v>
      </c>
      <c r="D594" s="78" t="s">
        <v>72</v>
      </c>
      <c r="E594" s="113">
        <f t="shared" si="209"/>
        <v>54393</v>
      </c>
      <c r="F594" s="85">
        <f t="shared" si="206"/>
        <v>23</v>
      </c>
      <c r="G594" s="84">
        <f t="shared" si="207"/>
        <v>8</v>
      </c>
      <c r="H594" s="84">
        <f>SUM(F583:G594)</f>
        <v>366</v>
      </c>
      <c r="I594" s="84"/>
    </row>
    <row r="595" spans="1:9">
      <c r="A595" s="78">
        <f t="shared" si="208"/>
        <v>589</v>
      </c>
      <c r="C595" s="78">
        <v>31</v>
      </c>
      <c r="D595" s="78" t="s">
        <v>62</v>
      </c>
      <c r="E595" s="113">
        <f t="shared" si="209"/>
        <v>54424</v>
      </c>
      <c r="F595" s="85">
        <f t="shared" si="206"/>
        <v>23</v>
      </c>
      <c r="G595" s="84">
        <f>C595-F595</f>
        <v>8</v>
      </c>
      <c r="H595" s="84"/>
      <c r="I595" s="84"/>
    </row>
    <row r="596" spans="1:9">
      <c r="A596" s="78">
        <f t="shared" si="208"/>
        <v>590</v>
      </c>
      <c r="C596" s="78">
        <v>28</v>
      </c>
      <c r="D596" s="78" t="s">
        <v>63</v>
      </c>
      <c r="E596" s="113">
        <f t="shared" si="209"/>
        <v>54455</v>
      </c>
      <c r="F596" s="85">
        <f t="shared" si="206"/>
        <v>20</v>
      </c>
      <c r="G596" s="84">
        <f t="shared" ref="G596:G606" si="210">C596-F596</f>
        <v>8</v>
      </c>
      <c r="H596" s="84"/>
      <c r="I596" s="84"/>
    </row>
    <row r="597" spans="1:9">
      <c r="A597" s="78">
        <f t="shared" si="208"/>
        <v>591</v>
      </c>
      <c r="C597" s="78">
        <v>31</v>
      </c>
      <c r="D597" s="78" t="s">
        <v>64</v>
      </c>
      <c r="E597" s="113">
        <f t="shared" si="209"/>
        <v>54483</v>
      </c>
      <c r="F597" s="85">
        <f t="shared" si="206"/>
        <v>22</v>
      </c>
      <c r="G597" s="84">
        <f t="shared" si="210"/>
        <v>9</v>
      </c>
      <c r="H597" s="84"/>
      <c r="I597" s="84"/>
    </row>
    <row r="598" spans="1:9">
      <c r="A598" s="78">
        <f t="shared" si="208"/>
        <v>592</v>
      </c>
      <c r="C598" s="78">
        <v>30</v>
      </c>
      <c r="D598" s="78" t="s">
        <v>65</v>
      </c>
      <c r="E598" s="113">
        <f t="shared" si="209"/>
        <v>54514</v>
      </c>
      <c r="F598" s="85">
        <f t="shared" si="206"/>
        <v>21</v>
      </c>
      <c r="G598" s="84">
        <f t="shared" si="210"/>
        <v>9</v>
      </c>
      <c r="H598" s="84"/>
      <c r="I598" s="84"/>
    </row>
    <row r="599" spans="1:9">
      <c r="A599" s="78">
        <f t="shared" si="208"/>
        <v>593</v>
      </c>
      <c r="C599" s="78">
        <v>31</v>
      </c>
      <c r="D599" s="78" t="s">
        <v>38</v>
      </c>
      <c r="E599" s="113">
        <f t="shared" si="209"/>
        <v>54544</v>
      </c>
      <c r="F599" s="85">
        <f t="shared" si="206"/>
        <v>23</v>
      </c>
      <c r="G599" s="84">
        <f t="shared" si="210"/>
        <v>8</v>
      </c>
      <c r="H599" s="84"/>
      <c r="I599" s="84"/>
    </row>
    <row r="600" spans="1:9">
      <c r="A600" s="78">
        <f t="shared" si="208"/>
        <v>594</v>
      </c>
      <c r="C600" s="78">
        <v>30</v>
      </c>
      <c r="D600" s="78" t="s">
        <v>66</v>
      </c>
      <c r="E600" s="113">
        <f t="shared" si="209"/>
        <v>54575</v>
      </c>
      <c r="F600" s="85">
        <f t="shared" si="206"/>
        <v>21</v>
      </c>
      <c r="G600" s="84">
        <f t="shared" si="210"/>
        <v>9</v>
      </c>
      <c r="H600" s="84"/>
      <c r="I600" s="84"/>
    </row>
    <row r="601" spans="1:9">
      <c r="A601" s="78">
        <f t="shared" si="208"/>
        <v>595</v>
      </c>
      <c r="C601" s="78">
        <v>31</v>
      </c>
      <c r="D601" s="78" t="s">
        <v>67</v>
      </c>
      <c r="E601" s="113">
        <f t="shared" si="209"/>
        <v>54605</v>
      </c>
      <c r="F601" s="85">
        <f t="shared" si="206"/>
        <v>22</v>
      </c>
      <c r="G601" s="84">
        <f t="shared" si="210"/>
        <v>9</v>
      </c>
      <c r="H601" s="84"/>
      <c r="I601" s="84"/>
    </row>
    <row r="602" spans="1:9">
      <c r="A602" s="78">
        <f t="shared" si="208"/>
        <v>596</v>
      </c>
      <c r="C602" s="78">
        <v>31</v>
      </c>
      <c r="D602" s="78" t="s">
        <v>68</v>
      </c>
      <c r="E602" s="113">
        <f t="shared" si="209"/>
        <v>54636</v>
      </c>
      <c r="F602" s="85">
        <f t="shared" si="206"/>
        <v>23</v>
      </c>
      <c r="G602" s="84">
        <f t="shared" si="210"/>
        <v>8</v>
      </c>
      <c r="H602" s="84"/>
      <c r="I602" s="84"/>
    </row>
    <row r="603" spans="1:9">
      <c r="A603" s="78">
        <f t="shared" si="208"/>
        <v>597</v>
      </c>
      <c r="C603" s="78">
        <v>30</v>
      </c>
      <c r="D603" s="78" t="s">
        <v>69</v>
      </c>
      <c r="E603" s="113">
        <f t="shared" si="209"/>
        <v>54667</v>
      </c>
      <c r="F603" s="85">
        <f t="shared" si="206"/>
        <v>20</v>
      </c>
      <c r="G603" s="84">
        <f t="shared" si="210"/>
        <v>10</v>
      </c>
      <c r="H603" s="84"/>
      <c r="I603" s="84"/>
    </row>
    <row r="604" spans="1:9">
      <c r="A604" s="78">
        <f t="shared" si="208"/>
        <v>598</v>
      </c>
      <c r="C604" s="78">
        <v>31</v>
      </c>
      <c r="D604" s="78" t="s">
        <v>70</v>
      </c>
      <c r="E604" s="113">
        <f t="shared" si="209"/>
        <v>54697</v>
      </c>
      <c r="F604" s="85">
        <f t="shared" si="206"/>
        <v>23</v>
      </c>
      <c r="G604" s="84">
        <f t="shared" si="210"/>
        <v>8</v>
      </c>
      <c r="H604" s="84"/>
      <c r="I604" s="84"/>
    </row>
    <row r="605" spans="1:9">
      <c r="A605" s="78">
        <f t="shared" si="208"/>
        <v>599</v>
      </c>
      <c r="C605" s="78">
        <v>30</v>
      </c>
      <c r="D605" s="78" t="s">
        <v>71</v>
      </c>
      <c r="E605" s="113">
        <f t="shared" si="209"/>
        <v>54728</v>
      </c>
      <c r="F605" s="85">
        <f t="shared" si="206"/>
        <v>22</v>
      </c>
      <c r="G605" s="84">
        <f t="shared" si="210"/>
        <v>8</v>
      </c>
      <c r="H605" s="84"/>
      <c r="I605" s="84"/>
    </row>
    <row r="606" spans="1:9">
      <c r="A606" s="78">
        <f t="shared" si="208"/>
        <v>600</v>
      </c>
      <c r="C606" s="78">
        <v>31</v>
      </c>
      <c r="D606" s="78" t="s">
        <v>72</v>
      </c>
      <c r="E606" s="113">
        <f t="shared" si="209"/>
        <v>54758</v>
      </c>
      <c r="F606" s="85">
        <f t="shared" si="206"/>
        <v>21</v>
      </c>
      <c r="G606" s="84">
        <f t="shared" si="210"/>
        <v>10</v>
      </c>
      <c r="H606" s="84">
        <f>SUM(F595:G606)</f>
        <v>365</v>
      </c>
      <c r="I606" s="84"/>
    </row>
    <row r="607" spans="1:9">
      <c r="A607" s="78">
        <f t="shared" si="208"/>
        <v>601</v>
      </c>
      <c r="C607" s="78">
        <v>31</v>
      </c>
      <c r="D607" s="78" t="s">
        <v>62</v>
      </c>
      <c r="E607" s="113">
        <f t="shared" si="209"/>
        <v>54789</v>
      </c>
      <c r="F607" s="85">
        <f t="shared" si="206"/>
        <v>23</v>
      </c>
      <c r="G607" s="84">
        <f>C607-F607</f>
        <v>8</v>
      </c>
      <c r="H607" s="84"/>
      <c r="I607" s="84"/>
    </row>
    <row r="608" spans="1:9">
      <c r="A608" s="78">
        <f t="shared" si="208"/>
        <v>602</v>
      </c>
      <c r="C608" s="78">
        <v>28</v>
      </c>
      <c r="D608" s="78" t="s">
        <v>63</v>
      </c>
      <c r="E608" s="113">
        <f t="shared" si="209"/>
        <v>54820</v>
      </c>
      <c r="F608" s="85">
        <f t="shared" si="206"/>
        <v>20</v>
      </c>
      <c r="G608" s="84">
        <f t="shared" ref="G608:G618" si="211">C608-F608</f>
        <v>8</v>
      </c>
      <c r="H608" s="84"/>
      <c r="I608" s="84"/>
    </row>
    <row r="609" spans="1:9">
      <c r="A609" s="78">
        <f t="shared" si="208"/>
        <v>603</v>
      </c>
      <c r="C609" s="78">
        <v>31</v>
      </c>
      <c r="D609" s="78" t="s">
        <v>64</v>
      </c>
      <c r="E609" s="113">
        <f t="shared" si="209"/>
        <v>54848</v>
      </c>
      <c r="F609" s="85">
        <f t="shared" si="206"/>
        <v>21</v>
      </c>
      <c r="G609" s="84">
        <f t="shared" si="211"/>
        <v>10</v>
      </c>
      <c r="H609" s="84"/>
      <c r="I609" s="84"/>
    </row>
    <row r="610" spans="1:9">
      <c r="A610" s="78">
        <f t="shared" si="208"/>
        <v>604</v>
      </c>
      <c r="C610" s="78">
        <v>30</v>
      </c>
      <c r="D610" s="78" t="s">
        <v>65</v>
      </c>
      <c r="E610" s="113">
        <f t="shared" si="209"/>
        <v>54879</v>
      </c>
      <c r="F610" s="85">
        <f t="shared" si="206"/>
        <v>22</v>
      </c>
      <c r="G610" s="84">
        <f t="shared" si="211"/>
        <v>8</v>
      </c>
      <c r="H610" s="84"/>
      <c r="I610" s="84"/>
    </row>
    <row r="611" spans="1:9">
      <c r="A611" s="78">
        <f t="shared" si="208"/>
        <v>605</v>
      </c>
      <c r="C611" s="78">
        <v>31</v>
      </c>
      <c r="D611" s="78" t="s">
        <v>38</v>
      </c>
      <c r="E611" s="113">
        <f t="shared" si="209"/>
        <v>54909</v>
      </c>
      <c r="F611" s="85">
        <f t="shared" si="206"/>
        <v>23</v>
      </c>
      <c r="G611" s="84">
        <f t="shared" si="211"/>
        <v>8</v>
      </c>
      <c r="H611" s="84"/>
      <c r="I611" s="84"/>
    </row>
    <row r="612" spans="1:9">
      <c r="A612" s="78">
        <f t="shared" si="208"/>
        <v>606</v>
      </c>
      <c r="C612" s="78">
        <v>30</v>
      </c>
      <c r="D612" s="78" t="s">
        <v>66</v>
      </c>
      <c r="E612" s="113">
        <f t="shared" si="209"/>
        <v>54940</v>
      </c>
      <c r="F612" s="85">
        <f t="shared" si="206"/>
        <v>20</v>
      </c>
      <c r="G612" s="84">
        <f t="shared" si="211"/>
        <v>10</v>
      </c>
      <c r="H612" s="84"/>
      <c r="I612" s="84"/>
    </row>
    <row r="613" spans="1:9">
      <c r="A613" s="78">
        <f t="shared" si="208"/>
        <v>607</v>
      </c>
      <c r="C613" s="78">
        <v>31</v>
      </c>
      <c r="D613" s="78" t="s">
        <v>67</v>
      </c>
      <c r="E613" s="113">
        <f t="shared" si="209"/>
        <v>54970</v>
      </c>
      <c r="F613" s="85">
        <f t="shared" si="206"/>
        <v>23</v>
      </c>
      <c r="G613" s="84">
        <f t="shared" si="211"/>
        <v>8</v>
      </c>
      <c r="H613" s="84"/>
      <c r="I613" s="84"/>
    </row>
    <row r="614" spans="1:9">
      <c r="A614" s="78">
        <f t="shared" si="208"/>
        <v>608</v>
      </c>
      <c r="C614" s="78">
        <v>31</v>
      </c>
      <c r="D614" s="78" t="s">
        <v>68</v>
      </c>
      <c r="E614" s="113">
        <f t="shared" si="209"/>
        <v>55001</v>
      </c>
      <c r="F614" s="85">
        <f t="shared" si="206"/>
        <v>22</v>
      </c>
      <c r="G614" s="84">
        <f t="shared" si="211"/>
        <v>9</v>
      </c>
      <c r="H614" s="84"/>
      <c r="I614" s="84"/>
    </row>
    <row r="615" spans="1:9">
      <c r="A615" s="78">
        <f t="shared" si="208"/>
        <v>609</v>
      </c>
      <c r="C615" s="78">
        <v>30</v>
      </c>
      <c r="D615" s="78" t="s">
        <v>69</v>
      </c>
      <c r="E615" s="113">
        <f t="shared" si="209"/>
        <v>55032</v>
      </c>
      <c r="F615" s="85">
        <f t="shared" si="206"/>
        <v>21</v>
      </c>
      <c r="G615" s="84">
        <f t="shared" si="211"/>
        <v>9</v>
      </c>
      <c r="H615" s="84"/>
      <c r="I615" s="84"/>
    </row>
    <row r="616" spans="1:9">
      <c r="A616" s="78">
        <f t="shared" si="208"/>
        <v>610</v>
      </c>
      <c r="C616" s="78">
        <v>31</v>
      </c>
      <c r="D616" s="78" t="s">
        <v>70</v>
      </c>
      <c r="E616" s="113">
        <f t="shared" si="209"/>
        <v>55062</v>
      </c>
      <c r="F616" s="85">
        <f t="shared" si="206"/>
        <v>23</v>
      </c>
      <c r="G616" s="84">
        <f t="shared" si="211"/>
        <v>8</v>
      </c>
      <c r="H616" s="84"/>
      <c r="I616" s="84"/>
    </row>
    <row r="617" spans="1:9">
      <c r="A617" s="78">
        <f t="shared" si="208"/>
        <v>611</v>
      </c>
      <c r="C617" s="78">
        <v>30</v>
      </c>
      <c r="D617" s="78" t="s">
        <v>71</v>
      </c>
      <c r="E617" s="113">
        <f t="shared" si="209"/>
        <v>55093</v>
      </c>
      <c r="F617" s="85">
        <f t="shared" si="206"/>
        <v>21</v>
      </c>
      <c r="G617" s="84">
        <f t="shared" si="211"/>
        <v>9</v>
      </c>
      <c r="H617" s="84"/>
      <c r="I617" s="84"/>
    </row>
    <row r="618" spans="1:9">
      <c r="A618" s="78">
        <f t="shared" si="208"/>
        <v>612</v>
      </c>
      <c r="C618" s="78">
        <v>31</v>
      </c>
      <c r="D618" s="78" t="s">
        <v>72</v>
      </c>
      <c r="E618" s="113">
        <f t="shared" si="209"/>
        <v>55123</v>
      </c>
      <c r="F618" s="85">
        <f t="shared" si="206"/>
        <v>22</v>
      </c>
      <c r="G618" s="84">
        <f t="shared" si="211"/>
        <v>9</v>
      </c>
      <c r="H618" s="84">
        <f>SUM(F607:G618)</f>
        <v>365</v>
      </c>
      <c r="I618" s="84"/>
    </row>
    <row r="619" spans="1:9">
      <c r="A619" s="78">
        <f t="shared" si="208"/>
        <v>613</v>
      </c>
      <c r="C619" s="78">
        <v>31</v>
      </c>
      <c r="D619" s="78" t="s">
        <v>62</v>
      </c>
      <c r="E619" s="113">
        <f t="shared" si="209"/>
        <v>55154</v>
      </c>
      <c r="F619" s="85">
        <f t="shared" si="206"/>
        <v>23</v>
      </c>
      <c r="G619" s="84">
        <f>C619-F619</f>
        <v>8</v>
      </c>
      <c r="H619" s="84"/>
      <c r="I619" s="84"/>
    </row>
    <row r="620" spans="1:9">
      <c r="A620" s="78">
        <f t="shared" si="208"/>
        <v>614</v>
      </c>
      <c r="C620" s="78">
        <v>28</v>
      </c>
      <c r="D620" s="78" t="s">
        <v>63</v>
      </c>
      <c r="E620" s="113">
        <f t="shared" si="209"/>
        <v>55185</v>
      </c>
      <c r="F620" s="85">
        <f t="shared" si="206"/>
        <v>20</v>
      </c>
      <c r="G620" s="84">
        <f t="shared" ref="G620:G630" si="212">C620-F620</f>
        <v>8</v>
      </c>
      <c r="H620" s="84"/>
      <c r="I620" s="84"/>
    </row>
    <row r="621" spans="1:9">
      <c r="A621" s="78">
        <f t="shared" si="208"/>
        <v>615</v>
      </c>
      <c r="C621" s="78">
        <v>31</v>
      </c>
      <c r="D621" s="78" t="s">
        <v>64</v>
      </c>
      <c r="E621" s="113">
        <f t="shared" si="209"/>
        <v>55213</v>
      </c>
      <c r="F621" s="85">
        <f t="shared" si="206"/>
        <v>21</v>
      </c>
      <c r="G621" s="84">
        <f t="shared" si="212"/>
        <v>10</v>
      </c>
      <c r="H621" s="84"/>
      <c r="I621" s="84"/>
    </row>
    <row r="622" spans="1:9">
      <c r="A622" s="78">
        <f t="shared" si="208"/>
        <v>616</v>
      </c>
      <c r="C622" s="78">
        <v>30</v>
      </c>
      <c r="D622" s="78" t="s">
        <v>65</v>
      </c>
      <c r="E622" s="113">
        <f t="shared" si="209"/>
        <v>55244</v>
      </c>
      <c r="F622" s="85">
        <f t="shared" si="206"/>
        <v>22</v>
      </c>
      <c r="G622" s="84">
        <f t="shared" si="212"/>
        <v>8</v>
      </c>
      <c r="H622" s="84"/>
      <c r="I622" s="84"/>
    </row>
    <row r="623" spans="1:9">
      <c r="A623" s="78">
        <f t="shared" si="208"/>
        <v>617</v>
      </c>
      <c r="C623" s="78">
        <v>31</v>
      </c>
      <c r="D623" s="78" t="s">
        <v>38</v>
      </c>
      <c r="E623" s="113">
        <f t="shared" si="209"/>
        <v>55274</v>
      </c>
      <c r="F623" s="85">
        <f t="shared" si="206"/>
        <v>22</v>
      </c>
      <c r="G623" s="84">
        <f t="shared" si="212"/>
        <v>9</v>
      </c>
      <c r="H623" s="84"/>
      <c r="I623" s="84"/>
    </row>
    <row r="624" spans="1:9">
      <c r="A624" s="78">
        <f t="shared" si="208"/>
        <v>618</v>
      </c>
      <c r="C624" s="78">
        <v>30</v>
      </c>
      <c r="D624" s="78" t="s">
        <v>66</v>
      </c>
      <c r="E624" s="113">
        <f t="shared" si="209"/>
        <v>55305</v>
      </c>
      <c r="F624" s="85">
        <f t="shared" si="206"/>
        <v>21</v>
      </c>
      <c r="G624" s="84">
        <f t="shared" si="212"/>
        <v>9</v>
      </c>
      <c r="H624" s="84"/>
      <c r="I624" s="84"/>
    </row>
    <row r="625" spans="1:9">
      <c r="A625" s="78">
        <f t="shared" si="208"/>
        <v>619</v>
      </c>
      <c r="C625" s="78">
        <v>31</v>
      </c>
      <c r="D625" s="78" t="s">
        <v>67</v>
      </c>
      <c r="E625" s="113">
        <f t="shared" si="209"/>
        <v>55335</v>
      </c>
      <c r="F625" s="85">
        <f t="shared" si="206"/>
        <v>23</v>
      </c>
      <c r="G625" s="84">
        <f t="shared" si="212"/>
        <v>8</v>
      </c>
      <c r="H625" s="84"/>
      <c r="I625" s="84"/>
    </row>
    <row r="626" spans="1:9">
      <c r="A626" s="78">
        <f t="shared" si="208"/>
        <v>620</v>
      </c>
      <c r="C626" s="78">
        <v>31</v>
      </c>
      <c r="D626" s="78" t="s">
        <v>68</v>
      </c>
      <c r="E626" s="113">
        <f t="shared" si="209"/>
        <v>55366</v>
      </c>
      <c r="F626" s="85">
        <f t="shared" si="206"/>
        <v>21</v>
      </c>
      <c r="G626" s="84">
        <f t="shared" si="212"/>
        <v>10</v>
      </c>
      <c r="H626" s="84"/>
      <c r="I626" s="84"/>
    </row>
    <row r="627" spans="1:9">
      <c r="A627" s="78">
        <f t="shared" si="208"/>
        <v>621</v>
      </c>
      <c r="C627" s="78">
        <v>30</v>
      </c>
      <c r="D627" s="78" t="s">
        <v>69</v>
      </c>
      <c r="E627" s="113">
        <f t="shared" si="209"/>
        <v>55397</v>
      </c>
      <c r="F627" s="85">
        <f t="shared" si="206"/>
        <v>22</v>
      </c>
      <c r="G627" s="84">
        <f t="shared" si="212"/>
        <v>8</v>
      </c>
      <c r="H627" s="84"/>
      <c r="I627" s="84"/>
    </row>
    <row r="628" spans="1:9">
      <c r="A628" s="78">
        <f t="shared" si="208"/>
        <v>622</v>
      </c>
      <c r="C628" s="78">
        <v>31</v>
      </c>
      <c r="D628" s="78" t="s">
        <v>70</v>
      </c>
      <c r="E628" s="113">
        <f t="shared" si="209"/>
        <v>55427</v>
      </c>
      <c r="F628" s="85">
        <f t="shared" si="206"/>
        <v>23</v>
      </c>
      <c r="G628" s="84">
        <f t="shared" si="212"/>
        <v>8</v>
      </c>
      <c r="H628" s="84"/>
      <c r="I628" s="84"/>
    </row>
    <row r="629" spans="1:9">
      <c r="A629" s="78">
        <f t="shared" si="208"/>
        <v>623</v>
      </c>
      <c r="C629" s="78">
        <v>30</v>
      </c>
      <c r="D629" s="78" t="s">
        <v>71</v>
      </c>
      <c r="E629" s="113">
        <f t="shared" si="209"/>
        <v>55458</v>
      </c>
      <c r="F629" s="85">
        <f t="shared" si="206"/>
        <v>20</v>
      </c>
      <c r="G629" s="84">
        <f t="shared" si="212"/>
        <v>10</v>
      </c>
      <c r="H629" s="84"/>
      <c r="I629" s="84"/>
    </row>
    <row r="630" spans="1:9">
      <c r="A630" s="78">
        <f t="shared" si="208"/>
        <v>624</v>
      </c>
      <c r="C630" s="78">
        <v>31</v>
      </c>
      <c r="D630" s="78" t="s">
        <v>72</v>
      </c>
      <c r="E630" s="113">
        <f t="shared" si="209"/>
        <v>55488</v>
      </c>
      <c r="F630" s="85">
        <f t="shared" si="206"/>
        <v>23</v>
      </c>
      <c r="G630" s="84">
        <f t="shared" si="212"/>
        <v>8</v>
      </c>
      <c r="H630" s="84">
        <f>SUM(F619:G630)</f>
        <v>365</v>
      </c>
      <c r="I630" s="84"/>
    </row>
    <row r="631" spans="1:9">
      <c r="A631" s="78">
        <f t="shared" si="208"/>
        <v>625</v>
      </c>
      <c r="C631" s="78">
        <v>31</v>
      </c>
      <c r="D631" s="78" t="s">
        <v>62</v>
      </c>
      <c r="E631" s="113">
        <f t="shared" si="209"/>
        <v>55519</v>
      </c>
      <c r="F631" s="85">
        <f t="shared" si="206"/>
        <v>22</v>
      </c>
      <c r="G631" s="84">
        <f>C631-F631</f>
        <v>9</v>
      </c>
      <c r="H631" s="84"/>
      <c r="I631" s="84"/>
    </row>
    <row r="632" spans="1:9">
      <c r="A632" s="78">
        <f t="shared" si="208"/>
        <v>626</v>
      </c>
      <c r="C632" s="140">
        <v>29</v>
      </c>
      <c r="D632" s="141" t="s">
        <v>63</v>
      </c>
      <c r="E632" s="113">
        <f t="shared" si="209"/>
        <v>55550</v>
      </c>
      <c r="F632" s="85">
        <f t="shared" si="206"/>
        <v>20</v>
      </c>
      <c r="G632" s="84">
        <f t="shared" ref="G632:G642" si="213">C632-F632</f>
        <v>9</v>
      </c>
      <c r="H632" s="84"/>
      <c r="I632" s="84"/>
    </row>
    <row r="633" spans="1:9">
      <c r="A633" s="78">
        <f t="shared" si="208"/>
        <v>627</v>
      </c>
      <c r="C633" s="78">
        <v>31</v>
      </c>
      <c r="D633" s="78" t="s">
        <v>64</v>
      </c>
      <c r="E633" s="113">
        <f t="shared" si="209"/>
        <v>55579</v>
      </c>
      <c r="F633" s="85">
        <f t="shared" si="206"/>
        <v>23</v>
      </c>
      <c r="G633" s="84">
        <f t="shared" si="213"/>
        <v>8</v>
      </c>
      <c r="H633" s="84"/>
      <c r="I633" s="84"/>
    </row>
    <row r="634" spans="1:9">
      <c r="A634" s="78">
        <f t="shared" si="208"/>
        <v>628</v>
      </c>
      <c r="C634" s="78">
        <v>30</v>
      </c>
      <c r="D634" s="78" t="s">
        <v>65</v>
      </c>
      <c r="E634" s="113">
        <f t="shared" si="209"/>
        <v>55610</v>
      </c>
      <c r="F634" s="85">
        <f t="shared" si="206"/>
        <v>22</v>
      </c>
      <c r="G634" s="84">
        <f t="shared" si="213"/>
        <v>8</v>
      </c>
      <c r="H634" s="84"/>
      <c r="I634" s="84"/>
    </row>
    <row r="635" spans="1:9">
      <c r="A635" s="78">
        <f t="shared" si="208"/>
        <v>629</v>
      </c>
      <c r="C635" s="78">
        <v>31</v>
      </c>
      <c r="D635" s="78" t="s">
        <v>38</v>
      </c>
      <c r="E635" s="113">
        <f t="shared" si="209"/>
        <v>55640</v>
      </c>
      <c r="F635" s="85">
        <f t="shared" si="206"/>
        <v>21</v>
      </c>
      <c r="G635" s="84">
        <f t="shared" si="213"/>
        <v>10</v>
      </c>
      <c r="H635" s="84"/>
      <c r="I635" s="84"/>
    </row>
    <row r="636" spans="1:9">
      <c r="A636" s="78">
        <f t="shared" si="208"/>
        <v>630</v>
      </c>
      <c r="C636" s="78">
        <v>30</v>
      </c>
      <c r="D636" s="78" t="s">
        <v>66</v>
      </c>
      <c r="E636" s="113">
        <f t="shared" si="209"/>
        <v>55671</v>
      </c>
      <c r="F636" s="85">
        <f t="shared" si="206"/>
        <v>22</v>
      </c>
      <c r="G636" s="84">
        <f t="shared" si="213"/>
        <v>8</v>
      </c>
      <c r="H636" s="84"/>
      <c r="I636" s="84"/>
    </row>
    <row r="637" spans="1:9">
      <c r="A637" s="78">
        <f t="shared" si="208"/>
        <v>631</v>
      </c>
      <c r="C637" s="78">
        <v>31</v>
      </c>
      <c r="D637" s="78" t="s">
        <v>67</v>
      </c>
      <c r="E637" s="113">
        <f t="shared" si="209"/>
        <v>55701</v>
      </c>
      <c r="F637" s="85">
        <f t="shared" si="206"/>
        <v>22</v>
      </c>
      <c r="G637" s="84">
        <f t="shared" si="213"/>
        <v>9</v>
      </c>
      <c r="H637" s="84"/>
      <c r="I637" s="84"/>
    </row>
    <row r="638" spans="1:9">
      <c r="A638" s="78">
        <f t="shared" si="208"/>
        <v>632</v>
      </c>
      <c r="C638" s="78">
        <v>31</v>
      </c>
      <c r="D638" s="78" t="s">
        <v>68</v>
      </c>
      <c r="E638" s="113">
        <f t="shared" si="209"/>
        <v>55732</v>
      </c>
      <c r="F638" s="85">
        <f t="shared" si="206"/>
        <v>22</v>
      </c>
      <c r="G638" s="84">
        <f t="shared" si="213"/>
        <v>9</v>
      </c>
      <c r="H638" s="84"/>
      <c r="I638" s="84"/>
    </row>
    <row r="639" spans="1:9">
      <c r="A639" s="78">
        <f t="shared" si="208"/>
        <v>633</v>
      </c>
      <c r="C639" s="78">
        <v>30</v>
      </c>
      <c r="D639" s="78" t="s">
        <v>69</v>
      </c>
      <c r="E639" s="113">
        <f t="shared" si="209"/>
        <v>55763</v>
      </c>
      <c r="F639" s="85">
        <f t="shared" si="206"/>
        <v>22</v>
      </c>
      <c r="G639" s="84">
        <f t="shared" si="213"/>
        <v>8</v>
      </c>
      <c r="H639" s="84"/>
      <c r="I639" s="84"/>
    </row>
    <row r="640" spans="1:9">
      <c r="A640" s="78">
        <f t="shared" si="208"/>
        <v>634</v>
      </c>
      <c r="C640" s="78">
        <v>31</v>
      </c>
      <c r="D640" s="78" t="s">
        <v>70</v>
      </c>
      <c r="E640" s="113">
        <f t="shared" si="209"/>
        <v>55793</v>
      </c>
      <c r="F640" s="85">
        <f t="shared" si="206"/>
        <v>21</v>
      </c>
      <c r="G640" s="84">
        <f t="shared" si="213"/>
        <v>10</v>
      </c>
      <c r="H640" s="84"/>
      <c r="I640" s="84"/>
    </row>
    <row r="641" spans="1:9">
      <c r="A641" s="78">
        <f t="shared" si="208"/>
        <v>635</v>
      </c>
      <c r="C641" s="78">
        <v>30</v>
      </c>
      <c r="D641" s="78" t="s">
        <v>71</v>
      </c>
      <c r="E641" s="113">
        <f t="shared" si="209"/>
        <v>55824</v>
      </c>
      <c r="F641" s="85">
        <f t="shared" si="206"/>
        <v>22</v>
      </c>
      <c r="G641" s="84">
        <f t="shared" si="213"/>
        <v>8</v>
      </c>
      <c r="H641" s="84"/>
      <c r="I641" s="84"/>
    </row>
    <row r="642" spans="1:9">
      <c r="A642" s="78">
        <f t="shared" si="208"/>
        <v>636</v>
      </c>
      <c r="C642" s="78">
        <v>31</v>
      </c>
      <c r="D642" s="78" t="s">
        <v>72</v>
      </c>
      <c r="E642" s="113">
        <f t="shared" si="209"/>
        <v>55854</v>
      </c>
      <c r="F642" s="85">
        <f t="shared" si="206"/>
        <v>23</v>
      </c>
      <c r="G642" s="84">
        <f t="shared" si="213"/>
        <v>8</v>
      </c>
      <c r="H642" s="84">
        <f>SUM(F631:G642)</f>
        <v>366</v>
      </c>
      <c r="I642" s="84"/>
    </row>
    <row r="643" spans="1:9">
      <c r="A643" s="78">
        <f t="shared" si="208"/>
        <v>637</v>
      </c>
      <c r="C643" s="78">
        <v>31</v>
      </c>
      <c r="D643" s="78" t="s">
        <v>62</v>
      </c>
      <c r="E643" s="113">
        <f t="shared" si="209"/>
        <v>55885</v>
      </c>
      <c r="F643" s="85">
        <f t="shared" si="206"/>
        <v>23</v>
      </c>
      <c r="G643" s="84">
        <f>C643-F643</f>
        <v>8</v>
      </c>
      <c r="H643" s="84"/>
      <c r="I643" s="84"/>
    </row>
    <row r="644" spans="1:9">
      <c r="A644" s="78">
        <f t="shared" si="208"/>
        <v>638</v>
      </c>
      <c r="C644" s="78">
        <v>28</v>
      </c>
      <c r="D644" s="78" t="s">
        <v>63</v>
      </c>
      <c r="E644" s="113">
        <f t="shared" si="209"/>
        <v>55916</v>
      </c>
      <c r="F644" s="85">
        <f t="shared" ref="F644:F707" si="214">F596</f>
        <v>20</v>
      </c>
      <c r="G644" s="84">
        <f t="shared" ref="G644:G654" si="215">C644-F644</f>
        <v>8</v>
      </c>
      <c r="H644" s="84"/>
      <c r="I644" s="84"/>
    </row>
    <row r="645" spans="1:9">
      <c r="A645" s="78">
        <f t="shared" si="208"/>
        <v>639</v>
      </c>
      <c r="C645" s="78">
        <v>31</v>
      </c>
      <c r="D645" s="78" t="s">
        <v>64</v>
      </c>
      <c r="E645" s="113">
        <f t="shared" si="209"/>
        <v>55944</v>
      </c>
      <c r="F645" s="85">
        <f t="shared" si="214"/>
        <v>22</v>
      </c>
      <c r="G645" s="84">
        <f t="shared" si="215"/>
        <v>9</v>
      </c>
      <c r="H645" s="84"/>
      <c r="I645" s="84"/>
    </row>
    <row r="646" spans="1:9">
      <c r="A646" s="78">
        <f t="shared" si="208"/>
        <v>640</v>
      </c>
      <c r="C646" s="78">
        <v>30</v>
      </c>
      <c r="D646" s="78" t="s">
        <v>65</v>
      </c>
      <c r="E646" s="113">
        <f t="shared" si="209"/>
        <v>55975</v>
      </c>
      <c r="F646" s="85">
        <f t="shared" si="214"/>
        <v>21</v>
      </c>
      <c r="G646" s="84">
        <f t="shared" si="215"/>
        <v>9</v>
      </c>
      <c r="H646" s="84"/>
      <c r="I646" s="84"/>
    </row>
    <row r="647" spans="1:9">
      <c r="A647" s="78">
        <f t="shared" si="208"/>
        <v>641</v>
      </c>
      <c r="C647" s="78">
        <v>31</v>
      </c>
      <c r="D647" s="78" t="s">
        <v>38</v>
      </c>
      <c r="E647" s="113">
        <f t="shared" si="209"/>
        <v>56005</v>
      </c>
      <c r="F647" s="85">
        <f t="shared" si="214"/>
        <v>23</v>
      </c>
      <c r="G647" s="84">
        <f t="shared" si="215"/>
        <v>8</v>
      </c>
      <c r="H647" s="84"/>
      <c r="I647" s="84"/>
    </row>
    <row r="648" spans="1:9">
      <c r="A648" s="78">
        <f t="shared" si="208"/>
        <v>642</v>
      </c>
      <c r="C648" s="78">
        <v>30</v>
      </c>
      <c r="D648" s="78" t="s">
        <v>66</v>
      </c>
      <c r="E648" s="113">
        <f t="shared" si="209"/>
        <v>56036</v>
      </c>
      <c r="F648" s="85">
        <f t="shared" si="214"/>
        <v>21</v>
      </c>
      <c r="G648" s="84">
        <f t="shared" si="215"/>
        <v>9</v>
      </c>
      <c r="H648" s="84"/>
      <c r="I648" s="84"/>
    </row>
    <row r="649" spans="1:9">
      <c r="A649" s="78">
        <f t="shared" ref="A649:A712" si="216">A648+1</f>
        <v>643</v>
      </c>
      <c r="C649" s="78">
        <v>31</v>
      </c>
      <c r="D649" s="78" t="s">
        <v>67</v>
      </c>
      <c r="E649" s="113">
        <f t="shared" ref="E649:E712" si="217">E648+C648</f>
        <v>56066</v>
      </c>
      <c r="F649" s="85">
        <f t="shared" si="214"/>
        <v>22</v>
      </c>
      <c r="G649" s="84">
        <f t="shared" si="215"/>
        <v>9</v>
      </c>
      <c r="H649" s="84"/>
      <c r="I649" s="84"/>
    </row>
    <row r="650" spans="1:9">
      <c r="A650" s="78">
        <f t="shared" si="216"/>
        <v>644</v>
      </c>
      <c r="C650" s="78">
        <v>31</v>
      </c>
      <c r="D650" s="78" t="s">
        <v>68</v>
      </c>
      <c r="E650" s="113">
        <f t="shared" si="217"/>
        <v>56097</v>
      </c>
      <c r="F650" s="85">
        <f t="shared" si="214"/>
        <v>23</v>
      </c>
      <c r="G650" s="84">
        <f t="shared" si="215"/>
        <v>8</v>
      </c>
      <c r="H650" s="84"/>
      <c r="I650" s="84"/>
    </row>
    <row r="651" spans="1:9">
      <c r="A651" s="78">
        <f t="shared" si="216"/>
        <v>645</v>
      </c>
      <c r="C651" s="78">
        <v>30</v>
      </c>
      <c r="D651" s="78" t="s">
        <v>69</v>
      </c>
      <c r="E651" s="113">
        <f t="shared" si="217"/>
        <v>56128</v>
      </c>
      <c r="F651" s="85">
        <f t="shared" si="214"/>
        <v>20</v>
      </c>
      <c r="G651" s="84">
        <f t="shared" si="215"/>
        <v>10</v>
      </c>
      <c r="H651" s="84"/>
      <c r="I651" s="84"/>
    </row>
    <row r="652" spans="1:9">
      <c r="A652" s="78">
        <f t="shared" si="216"/>
        <v>646</v>
      </c>
      <c r="C652" s="78">
        <v>31</v>
      </c>
      <c r="D652" s="78" t="s">
        <v>70</v>
      </c>
      <c r="E652" s="113">
        <f t="shared" si="217"/>
        <v>56158</v>
      </c>
      <c r="F652" s="85">
        <f t="shared" si="214"/>
        <v>23</v>
      </c>
      <c r="G652" s="84">
        <f t="shared" si="215"/>
        <v>8</v>
      </c>
      <c r="H652" s="84"/>
      <c r="I652" s="84"/>
    </row>
    <row r="653" spans="1:9">
      <c r="A653" s="78">
        <f t="shared" si="216"/>
        <v>647</v>
      </c>
      <c r="C653" s="78">
        <v>30</v>
      </c>
      <c r="D653" s="78" t="s">
        <v>71</v>
      </c>
      <c r="E653" s="113">
        <f t="shared" si="217"/>
        <v>56189</v>
      </c>
      <c r="F653" s="85">
        <f t="shared" si="214"/>
        <v>22</v>
      </c>
      <c r="G653" s="84">
        <f t="shared" si="215"/>
        <v>8</v>
      </c>
      <c r="H653" s="84"/>
      <c r="I653" s="84"/>
    </row>
    <row r="654" spans="1:9">
      <c r="A654" s="78">
        <f t="shared" si="216"/>
        <v>648</v>
      </c>
      <c r="C654" s="78">
        <v>31</v>
      </c>
      <c r="D654" s="78" t="s">
        <v>72</v>
      </c>
      <c r="E654" s="113">
        <f t="shared" si="217"/>
        <v>56219</v>
      </c>
      <c r="F654" s="85">
        <f t="shared" si="214"/>
        <v>21</v>
      </c>
      <c r="G654" s="84">
        <f t="shared" si="215"/>
        <v>10</v>
      </c>
      <c r="H654" s="84">
        <f>SUM(F643:G654)</f>
        <v>365</v>
      </c>
      <c r="I654" s="84"/>
    </row>
    <row r="655" spans="1:9">
      <c r="A655" s="78">
        <f t="shared" si="216"/>
        <v>649</v>
      </c>
      <c r="C655" s="78">
        <v>31</v>
      </c>
      <c r="D655" s="78" t="s">
        <v>62</v>
      </c>
      <c r="E655" s="113">
        <f t="shared" si="217"/>
        <v>56250</v>
      </c>
      <c r="F655" s="85">
        <f t="shared" si="214"/>
        <v>23</v>
      </c>
      <c r="G655" s="84">
        <f>C655-F655</f>
        <v>8</v>
      </c>
      <c r="H655" s="84"/>
      <c r="I655" s="84"/>
    </row>
    <row r="656" spans="1:9">
      <c r="A656" s="78">
        <f t="shared" si="216"/>
        <v>650</v>
      </c>
      <c r="C656" s="78">
        <v>28</v>
      </c>
      <c r="D656" s="78" t="s">
        <v>63</v>
      </c>
      <c r="E656" s="113">
        <f t="shared" si="217"/>
        <v>56281</v>
      </c>
      <c r="F656" s="85">
        <f t="shared" si="214"/>
        <v>20</v>
      </c>
      <c r="G656" s="84">
        <f t="shared" ref="G656:G666" si="218">C656-F656</f>
        <v>8</v>
      </c>
      <c r="H656" s="84"/>
      <c r="I656" s="84"/>
    </row>
    <row r="657" spans="1:9">
      <c r="A657" s="78">
        <f t="shared" si="216"/>
        <v>651</v>
      </c>
      <c r="C657" s="78">
        <v>31</v>
      </c>
      <c r="D657" s="78" t="s">
        <v>64</v>
      </c>
      <c r="E657" s="113">
        <f t="shared" si="217"/>
        <v>56309</v>
      </c>
      <c r="F657" s="85">
        <f t="shared" si="214"/>
        <v>21</v>
      </c>
      <c r="G657" s="84">
        <f t="shared" si="218"/>
        <v>10</v>
      </c>
      <c r="H657" s="84"/>
      <c r="I657" s="84"/>
    </row>
    <row r="658" spans="1:9">
      <c r="A658" s="78">
        <f t="shared" si="216"/>
        <v>652</v>
      </c>
      <c r="C658" s="78">
        <v>30</v>
      </c>
      <c r="D658" s="78" t="s">
        <v>65</v>
      </c>
      <c r="E658" s="113">
        <f t="shared" si="217"/>
        <v>56340</v>
      </c>
      <c r="F658" s="85">
        <f t="shared" si="214"/>
        <v>22</v>
      </c>
      <c r="G658" s="84">
        <f t="shared" si="218"/>
        <v>8</v>
      </c>
      <c r="H658" s="84"/>
      <c r="I658" s="84"/>
    </row>
    <row r="659" spans="1:9">
      <c r="A659" s="78">
        <f t="shared" si="216"/>
        <v>653</v>
      </c>
      <c r="C659" s="78">
        <v>31</v>
      </c>
      <c r="D659" s="78" t="s">
        <v>38</v>
      </c>
      <c r="E659" s="113">
        <f t="shared" si="217"/>
        <v>56370</v>
      </c>
      <c r="F659" s="85">
        <f t="shared" si="214"/>
        <v>23</v>
      </c>
      <c r="G659" s="84">
        <f t="shared" si="218"/>
        <v>8</v>
      </c>
      <c r="H659" s="84"/>
      <c r="I659" s="84"/>
    </row>
    <row r="660" spans="1:9">
      <c r="A660" s="78">
        <f t="shared" si="216"/>
        <v>654</v>
      </c>
      <c r="C660" s="78">
        <v>30</v>
      </c>
      <c r="D660" s="78" t="s">
        <v>66</v>
      </c>
      <c r="E660" s="113">
        <f t="shared" si="217"/>
        <v>56401</v>
      </c>
      <c r="F660" s="85">
        <f t="shared" si="214"/>
        <v>20</v>
      </c>
      <c r="G660" s="84">
        <f t="shared" si="218"/>
        <v>10</v>
      </c>
      <c r="H660" s="84"/>
      <c r="I660" s="84"/>
    </row>
    <row r="661" spans="1:9">
      <c r="A661" s="78">
        <f t="shared" si="216"/>
        <v>655</v>
      </c>
      <c r="C661" s="78">
        <v>31</v>
      </c>
      <c r="D661" s="78" t="s">
        <v>67</v>
      </c>
      <c r="E661" s="113">
        <f t="shared" si="217"/>
        <v>56431</v>
      </c>
      <c r="F661" s="85">
        <f t="shared" si="214"/>
        <v>23</v>
      </c>
      <c r="G661" s="84">
        <f t="shared" si="218"/>
        <v>8</v>
      </c>
      <c r="H661" s="84"/>
      <c r="I661" s="84"/>
    </row>
    <row r="662" spans="1:9">
      <c r="A662" s="78">
        <f t="shared" si="216"/>
        <v>656</v>
      </c>
      <c r="C662" s="78">
        <v>31</v>
      </c>
      <c r="D662" s="78" t="s">
        <v>68</v>
      </c>
      <c r="E662" s="113">
        <f t="shared" si="217"/>
        <v>56462</v>
      </c>
      <c r="F662" s="85">
        <f t="shared" si="214"/>
        <v>22</v>
      </c>
      <c r="G662" s="84">
        <f t="shared" si="218"/>
        <v>9</v>
      </c>
      <c r="H662" s="84"/>
      <c r="I662" s="84"/>
    </row>
    <row r="663" spans="1:9">
      <c r="A663" s="78">
        <f t="shared" si="216"/>
        <v>657</v>
      </c>
      <c r="C663" s="78">
        <v>30</v>
      </c>
      <c r="D663" s="78" t="s">
        <v>69</v>
      </c>
      <c r="E663" s="113">
        <f t="shared" si="217"/>
        <v>56493</v>
      </c>
      <c r="F663" s="85">
        <f t="shared" si="214"/>
        <v>21</v>
      </c>
      <c r="G663" s="84">
        <f t="shared" si="218"/>
        <v>9</v>
      </c>
      <c r="H663" s="84"/>
      <c r="I663" s="84"/>
    </row>
    <row r="664" spans="1:9">
      <c r="A664" s="78">
        <f t="shared" si="216"/>
        <v>658</v>
      </c>
      <c r="C664" s="78">
        <v>31</v>
      </c>
      <c r="D664" s="78" t="s">
        <v>70</v>
      </c>
      <c r="E664" s="113">
        <f t="shared" si="217"/>
        <v>56523</v>
      </c>
      <c r="F664" s="85">
        <f t="shared" si="214"/>
        <v>23</v>
      </c>
      <c r="G664" s="84">
        <f t="shared" si="218"/>
        <v>8</v>
      </c>
      <c r="H664" s="84"/>
      <c r="I664" s="84"/>
    </row>
    <row r="665" spans="1:9">
      <c r="A665" s="78">
        <f t="shared" si="216"/>
        <v>659</v>
      </c>
      <c r="C665" s="78">
        <v>30</v>
      </c>
      <c r="D665" s="78" t="s">
        <v>71</v>
      </c>
      <c r="E665" s="113">
        <f t="shared" si="217"/>
        <v>56554</v>
      </c>
      <c r="F665" s="85">
        <f t="shared" si="214"/>
        <v>21</v>
      </c>
      <c r="G665" s="84">
        <f t="shared" si="218"/>
        <v>9</v>
      </c>
      <c r="H665" s="84"/>
      <c r="I665" s="84"/>
    </row>
    <row r="666" spans="1:9">
      <c r="A666" s="78">
        <f t="shared" si="216"/>
        <v>660</v>
      </c>
      <c r="C666" s="78">
        <v>31</v>
      </c>
      <c r="D666" s="78" t="s">
        <v>72</v>
      </c>
      <c r="E666" s="113">
        <f t="shared" si="217"/>
        <v>56584</v>
      </c>
      <c r="F666" s="85">
        <f t="shared" si="214"/>
        <v>22</v>
      </c>
      <c r="G666" s="84">
        <f t="shared" si="218"/>
        <v>9</v>
      </c>
      <c r="H666" s="84">
        <f>SUM(F655:G666)</f>
        <v>365</v>
      </c>
      <c r="I666" s="84"/>
    </row>
    <row r="667" spans="1:9">
      <c r="A667" s="78">
        <f t="shared" si="216"/>
        <v>661</v>
      </c>
      <c r="C667" s="78">
        <v>31</v>
      </c>
      <c r="D667" s="78" t="s">
        <v>62</v>
      </c>
      <c r="E667" s="113">
        <f t="shared" si="217"/>
        <v>56615</v>
      </c>
      <c r="F667" s="85">
        <f t="shared" si="214"/>
        <v>23</v>
      </c>
      <c r="G667" s="84">
        <f>C667-F667</f>
        <v>8</v>
      </c>
      <c r="H667" s="84"/>
      <c r="I667" s="84"/>
    </row>
    <row r="668" spans="1:9">
      <c r="A668" s="78">
        <f t="shared" si="216"/>
        <v>662</v>
      </c>
      <c r="C668" s="78">
        <v>28</v>
      </c>
      <c r="D668" s="78" t="s">
        <v>63</v>
      </c>
      <c r="E668" s="113">
        <f t="shared" si="217"/>
        <v>56646</v>
      </c>
      <c r="F668" s="85">
        <f t="shared" si="214"/>
        <v>20</v>
      </c>
      <c r="G668" s="84">
        <f t="shared" ref="G668:G678" si="219">C668-F668</f>
        <v>8</v>
      </c>
      <c r="H668" s="84"/>
      <c r="I668" s="84"/>
    </row>
    <row r="669" spans="1:9">
      <c r="A669" s="78">
        <f t="shared" si="216"/>
        <v>663</v>
      </c>
      <c r="C669" s="78">
        <v>31</v>
      </c>
      <c r="D669" s="78" t="s">
        <v>64</v>
      </c>
      <c r="E669" s="113">
        <f t="shared" si="217"/>
        <v>56674</v>
      </c>
      <c r="F669" s="85">
        <f t="shared" si="214"/>
        <v>21</v>
      </c>
      <c r="G669" s="84">
        <f t="shared" si="219"/>
        <v>10</v>
      </c>
      <c r="H669" s="84"/>
      <c r="I669" s="84"/>
    </row>
    <row r="670" spans="1:9">
      <c r="A670" s="78">
        <f t="shared" si="216"/>
        <v>664</v>
      </c>
      <c r="C670" s="78">
        <v>30</v>
      </c>
      <c r="D670" s="78" t="s">
        <v>65</v>
      </c>
      <c r="E670" s="113">
        <f t="shared" si="217"/>
        <v>56705</v>
      </c>
      <c r="F670" s="85">
        <f t="shared" si="214"/>
        <v>22</v>
      </c>
      <c r="G670" s="84">
        <f t="shared" si="219"/>
        <v>8</v>
      </c>
      <c r="H670" s="84"/>
      <c r="I670" s="84"/>
    </row>
    <row r="671" spans="1:9">
      <c r="A671" s="78">
        <f t="shared" si="216"/>
        <v>665</v>
      </c>
      <c r="C671" s="78">
        <v>31</v>
      </c>
      <c r="D671" s="78" t="s">
        <v>38</v>
      </c>
      <c r="E671" s="113">
        <f t="shared" si="217"/>
        <v>56735</v>
      </c>
      <c r="F671" s="85">
        <f t="shared" si="214"/>
        <v>22</v>
      </c>
      <c r="G671" s="84">
        <f t="shared" si="219"/>
        <v>9</v>
      </c>
      <c r="H671" s="84"/>
      <c r="I671" s="84"/>
    </row>
    <row r="672" spans="1:9">
      <c r="A672" s="78">
        <f t="shared" si="216"/>
        <v>666</v>
      </c>
      <c r="C672" s="78">
        <v>30</v>
      </c>
      <c r="D672" s="78" t="s">
        <v>66</v>
      </c>
      <c r="E672" s="113">
        <f t="shared" si="217"/>
        <v>56766</v>
      </c>
      <c r="F672" s="85">
        <f t="shared" si="214"/>
        <v>21</v>
      </c>
      <c r="G672" s="84">
        <f t="shared" si="219"/>
        <v>9</v>
      </c>
      <c r="H672" s="84"/>
      <c r="I672" s="84"/>
    </row>
    <row r="673" spans="1:9">
      <c r="A673" s="78">
        <f t="shared" si="216"/>
        <v>667</v>
      </c>
      <c r="C673" s="78">
        <v>31</v>
      </c>
      <c r="D673" s="78" t="s">
        <v>67</v>
      </c>
      <c r="E673" s="113">
        <f t="shared" si="217"/>
        <v>56796</v>
      </c>
      <c r="F673" s="85">
        <f t="shared" si="214"/>
        <v>23</v>
      </c>
      <c r="G673" s="84">
        <f t="shared" si="219"/>
        <v>8</v>
      </c>
      <c r="H673" s="84"/>
      <c r="I673" s="84"/>
    </row>
    <row r="674" spans="1:9">
      <c r="A674" s="78">
        <f t="shared" si="216"/>
        <v>668</v>
      </c>
      <c r="C674" s="78">
        <v>31</v>
      </c>
      <c r="D674" s="78" t="s">
        <v>68</v>
      </c>
      <c r="E674" s="113">
        <f t="shared" si="217"/>
        <v>56827</v>
      </c>
      <c r="F674" s="85">
        <f t="shared" si="214"/>
        <v>21</v>
      </c>
      <c r="G674" s="84">
        <f t="shared" si="219"/>
        <v>10</v>
      </c>
      <c r="H674" s="84"/>
      <c r="I674" s="84"/>
    </row>
    <row r="675" spans="1:9">
      <c r="A675" s="78">
        <f t="shared" si="216"/>
        <v>669</v>
      </c>
      <c r="C675" s="78">
        <v>30</v>
      </c>
      <c r="D675" s="78" t="s">
        <v>69</v>
      </c>
      <c r="E675" s="113">
        <f t="shared" si="217"/>
        <v>56858</v>
      </c>
      <c r="F675" s="85">
        <f t="shared" si="214"/>
        <v>22</v>
      </c>
      <c r="G675" s="84">
        <f t="shared" si="219"/>
        <v>8</v>
      </c>
      <c r="H675" s="84"/>
      <c r="I675" s="84"/>
    </row>
    <row r="676" spans="1:9">
      <c r="A676" s="78">
        <f t="shared" si="216"/>
        <v>670</v>
      </c>
      <c r="C676" s="78">
        <v>31</v>
      </c>
      <c r="D676" s="78" t="s">
        <v>70</v>
      </c>
      <c r="E676" s="113">
        <f t="shared" si="217"/>
        <v>56888</v>
      </c>
      <c r="F676" s="85">
        <f t="shared" si="214"/>
        <v>23</v>
      </c>
      <c r="G676" s="84">
        <f t="shared" si="219"/>
        <v>8</v>
      </c>
      <c r="H676" s="84"/>
      <c r="I676" s="84"/>
    </row>
    <row r="677" spans="1:9">
      <c r="A677" s="78">
        <f t="shared" si="216"/>
        <v>671</v>
      </c>
      <c r="C677" s="78">
        <v>30</v>
      </c>
      <c r="D677" s="78" t="s">
        <v>71</v>
      </c>
      <c r="E677" s="113">
        <f t="shared" si="217"/>
        <v>56919</v>
      </c>
      <c r="F677" s="85">
        <f t="shared" si="214"/>
        <v>20</v>
      </c>
      <c r="G677" s="84">
        <f t="shared" si="219"/>
        <v>10</v>
      </c>
      <c r="H677" s="84"/>
      <c r="I677" s="84"/>
    </row>
    <row r="678" spans="1:9">
      <c r="A678" s="78">
        <f t="shared" si="216"/>
        <v>672</v>
      </c>
      <c r="C678" s="78">
        <v>31</v>
      </c>
      <c r="D678" s="78" t="s">
        <v>72</v>
      </c>
      <c r="E678" s="113">
        <f t="shared" si="217"/>
        <v>56949</v>
      </c>
      <c r="F678" s="85">
        <f t="shared" si="214"/>
        <v>23</v>
      </c>
      <c r="G678" s="84">
        <f t="shared" si="219"/>
        <v>8</v>
      </c>
      <c r="H678" s="84">
        <f>SUM(F667:G678)</f>
        <v>365</v>
      </c>
      <c r="I678" s="84"/>
    </row>
    <row r="679" spans="1:9">
      <c r="A679" s="78">
        <f t="shared" si="216"/>
        <v>673</v>
      </c>
      <c r="C679" s="78">
        <v>31</v>
      </c>
      <c r="D679" s="78" t="s">
        <v>62</v>
      </c>
      <c r="E679" s="113">
        <f t="shared" si="217"/>
        <v>56980</v>
      </c>
      <c r="F679" s="85">
        <f t="shared" si="214"/>
        <v>22</v>
      </c>
      <c r="G679" s="84">
        <f>C679-F679</f>
        <v>9</v>
      </c>
      <c r="H679" s="84"/>
      <c r="I679" s="84"/>
    </row>
    <row r="680" spans="1:9">
      <c r="A680" s="78">
        <f t="shared" si="216"/>
        <v>674</v>
      </c>
      <c r="C680" s="140">
        <v>29</v>
      </c>
      <c r="D680" s="141" t="s">
        <v>63</v>
      </c>
      <c r="E680" s="113">
        <f t="shared" si="217"/>
        <v>57011</v>
      </c>
      <c r="F680" s="85">
        <f t="shared" si="214"/>
        <v>20</v>
      </c>
      <c r="G680" s="84">
        <f t="shared" ref="G680:G690" si="220">C680-F680</f>
        <v>9</v>
      </c>
      <c r="H680" s="84"/>
      <c r="I680" s="84"/>
    </row>
    <row r="681" spans="1:9">
      <c r="A681" s="78">
        <f t="shared" si="216"/>
        <v>675</v>
      </c>
      <c r="C681" s="78">
        <v>31</v>
      </c>
      <c r="D681" s="78" t="s">
        <v>64</v>
      </c>
      <c r="E681" s="113">
        <f t="shared" si="217"/>
        <v>57040</v>
      </c>
      <c r="F681" s="85">
        <f t="shared" si="214"/>
        <v>23</v>
      </c>
      <c r="G681" s="84">
        <f t="shared" si="220"/>
        <v>8</v>
      </c>
      <c r="H681" s="84"/>
      <c r="I681" s="84"/>
    </row>
    <row r="682" spans="1:9">
      <c r="A682" s="78">
        <f t="shared" si="216"/>
        <v>676</v>
      </c>
      <c r="C682" s="78">
        <v>30</v>
      </c>
      <c r="D682" s="78" t="s">
        <v>65</v>
      </c>
      <c r="E682" s="113">
        <f t="shared" si="217"/>
        <v>57071</v>
      </c>
      <c r="F682" s="85">
        <f t="shared" si="214"/>
        <v>22</v>
      </c>
      <c r="G682" s="84">
        <f t="shared" si="220"/>
        <v>8</v>
      </c>
      <c r="H682" s="84"/>
      <c r="I682" s="84"/>
    </row>
    <row r="683" spans="1:9">
      <c r="A683" s="78">
        <f t="shared" si="216"/>
        <v>677</v>
      </c>
      <c r="C683" s="78">
        <v>31</v>
      </c>
      <c r="D683" s="78" t="s">
        <v>38</v>
      </c>
      <c r="E683" s="113">
        <f t="shared" si="217"/>
        <v>57101</v>
      </c>
      <c r="F683" s="85">
        <f t="shared" si="214"/>
        <v>21</v>
      </c>
      <c r="G683" s="84">
        <f t="shared" si="220"/>
        <v>10</v>
      </c>
      <c r="H683" s="84"/>
      <c r="I683" s="84"/>
    </row>
    <row r="684" spans="1:9">
      <c r="A684" s="78">
        <f t="shared" si="216"/>
        <v>678</v>
      </c>
      <c r="C684" s="78">
        <v>30</v>
      </c>
      <c r="D684" s="78" t="s">
        <v>66</v>
      </c>
      <c r="E684" s="113">
        <f t="shared" si="217"/>
        <v>57132</v>
      </c>
      <c r="F684" s="85">
        <f t="shared" si="214"/>
        <v>22</v>
      </c>
      <c r="G684" s="84">
        <f t="shared" si="220"/>
        <v>8</v>
      </c>
      <c r="H684" s="84"/>
      <c r="I684" s="84"/>
    </row>
    <row r="685" spans="1:9">
      <c r="A685" s="78">
        <f t="shared" si="216"/>
        <v>679</v>
      </c>
      <c r="C685" s="78">
        <v>31</v>
      </c>
      <c r="D685" s="78" t="s">
        <v>67</v>
      </c>
      <c r="E685" s="113">
        <f t="shared" si="217"/>
        <v>57162</v>
      </c>
      <c r="F685" s="85">
        <f t="shared" si="214"/>
        <v>22</v>
      </c>
      <c r="G685" s="84">
        <f t="shared" si="220"/>
        <v>9</v>
      </c>
      <c r="H685" s="84"/>
      <c r="I685" s="84"/>
    </row>
    <row r="686" spans="1:9">
      <c r="A686" s="78">
        <f t="shared" si="216"/>
        <v>680</v>
      </c>
      <c r="C686" s="78">
        <v>31</v>
      </c>
      <c r="D686" s="78" t="s">
        <v>68</v>
      </c>
      <c r="E686" s="113">
        <f t="shared" si="217"/>
        <v>57193</v>
      </c>
      <c r="F686" s="85">
        <f t="shared" si="214"/>
        <v>22</v>
      </c>
      <c r="G686" s="84">
        <f t="shared" si="220"/>
        <v>9</v>
      </c>
      <c r="H686" s="84"/>
      <c r="I686" s="84"/>
    </row>
    <row r="687" spans="1:9">
      <c r="A687" s="78">
        <f t="shared" si="216"/>
        <v>681</v>
      </c>
      <c r="C687" s="78">
        <v>30</v>
      </c>
      <c r="D687" s="78" t="s">
        <v>69</v>
      </c>
      <c r="E687" s="113">
        <f t="shared" si="217"/>
        <v>57224</v>
      </c>
      <c r="F687" s="85">
        <f t="shared" si="214"/>
        <v>22</v>
      </c>
      <c r="G687" s="84">
        <f t="shared" si="220"/>
        <v>8</v>
      </c>
      <c r="H687" s="84"/>
      <c r="I687" s="84"/>
    </row>
    <row r="688" spans="1:9">
      <c r="A688" s="78">
        <f t="shared" si="216"/>
        <v>682</v>
      </c>
      <c r="C688" s="78">
        <v>31</v>
      </c>
      <c r="D688" s="78" t="s">
        <v>70</v>
      </c>
      <c r="E688" s="113">
        <f t="shared" si="217"/>
        <v>57254</v>
      </c>
      <c r="F688" s="85">
        <f t="shared" si="214"/>
        <v>21</v>
      </c>
      <c r="G688" s="84">
        <f t="shared" si="220"/>
        <v>10</v>
      </c>
      <c r="H688" s="84"/>
      <c r="I688" s="84"/>
    </row>
    <row r="689" spans="1:9">
      <c r="A689" s="78">
        <f t="shared" si="216"/>
        <v>683</v>
      </c>
      <c r="C689" s="78">
        <v>30</v>
      </c>
      <c r="D689" s="78" t="s">
        <v>71</v>
      </c>
      <c r="E689" s="113">
        <f t="shared" si="217"/>
        <v>57285</v>
      </c>
      <c r="F689" s="85">
        <f t="shared" si="214"/>
        <v>22</v>
      </c>
      <c r="G689" s="84">
        <f t="shared" si="220"/>
        <v>8</v>
      </c>
      <c r="H689" s="84"/>
      <c r="I689" s="84"/>
    </row>
    <row r="690" spans="1:9">
      <c r="A690" s="78">
        <f t="shared" si="216"/>
        <v>684</v>
      </c>
      <c r="C690" s="78">
        <v>31</v>
      </c>
      <c r="D690" s="78" t="s">
        <v>72</v>
      </c>
      <c r="E690" s="113">
        <f t="shared" si="217"/>
        <v>57315</v>
      </c>
      <c r="F690" s="85">
        <f t="shared" si="214"/>
        <v>23</v>
      </c>
      <c r="G690" s="84">
        <f t="shared" si="220"/>
        <v>8</v>
      </c>
      <c r="H690" s="84">
        <f>SUM(F679:G690)</f>
        <v>366</v>
      </c>
      <c r="I690" s="84"/>
    </row>
    <row r="691" spans="1:9">
      <c r="A691" s="78">
        <f t="shared" si="216"/>
        <v>685</v>
      </c>
      <c r="C691" s="78">
        <v>31</v>
      </c>
      <c r="D691" s="78" t="s">
        <v>62</v>
      </c>
      <c r="E691" s="113">
        <f t="shared" si="217"/>
        <v>57346</v>
      </c>
      <c r="F691" s="85">
        <f t="shared" si="214"/>
        <v>23</v>
      </c>
      <c r="G691" s="84">
        <f>C691-F691</f>
        <v>8</v>
      </c>
      <c r="H691" s="84"/>
      <c r="I691" s="84"/>
    </row>
    <row r="692" spans="1:9">
      <c r="A692" s="78">
        <f t="shared" si="216"/>
        <v>686</v>
      </c>
      <c r="C692" s="78">
        <v>28</v>
      </c>
      <c r="D692" s="78" t="s">
        <v>63</v>
      </c>
      <c r="E692" s="113">
        <f t="shared" si="217"/>
        <v>57377</v>
      </c>
      <c r="F692" s="85">
        <f t="shared" si="214"/>
        <v>20</v>
      </c>
      <c r="G692" s="84">
        <f t="shared" ref="G692:G702" si="221">C692-F692</f>
        <v>8</v>
      </c>
      <c r="H692" s="84"/>
      <c r="I692" s="84"/>
    </row>
    <row r="693" spans="1:9">
      <c r="A693" s="78">
        <f t="shared" si="216"/>
        <v>687</v>
      </c>
      <c r="C693" s="78">
        <v>31</v>
      </c>
      <c r="D693" s="78" t="s">
        <v>64</v>
      </c>
      <c r="E693" s="113">
        <f t="shared" si="217"/>
        <v>57405</v>
      </c>
      <c r="F693" s="85">
        <f t="shared" si="214"/>
        <v>22</v>
      </c>
      <c r="G693" s="84">
        <f t="shared" si="221"/>
        <v>9</v>
      </c>
      <c r="H693" s="84"/>
      <c r="I693" s="84"/>
    </row>
    <row r="694" spans="1:9">
      <c r="A694" s="78">
        <f t="shared" si="216"/>
        <v>688</v>
      </c>
      <c r="C694" s="78">
        <v>30</v>
      </c>
      <c r="D694" s="78" t="s">
        <v>65</v>
      </c>
      <c r="E694" s="113">
        <f t="shared" si="217"/>
        <v>57436</v>
      </c>
      <c r="F694" s="85">
        <f t="shared" si="214"/>
        <v>21</v>
      </c>
      <c r="G694" s="84">
        <f t="shared" si="221"/>
        <v>9</v>
      </c>
      <c r="H694" s="84"/>
      <c r="I694" s="84"/>
    </row>
    <row r="695" spans="1:9">
      <c r="A695" s="78">
        <f t="shared" si="216"/>
        <v>689</v>
      </c>
      <c r="C695" s="78">
        <v>31</v>
      </c>
      <c r="D695" s="78" t="s">
        <v>38</v>
      </c>
      <c r="E695" s="113">
        <f t="shared" si="217"/>
        <v>57466</v>
      </c>
      <c r="F695" s="85">
        <f t="shared" si="214"/>
        <v>23</v>
      </c>
      <c r="G695" s="84">
        <f t="shared" si="221"/>
        <v>8</v>
      </c>
      <c r="H695" s="84"/>
      <c r="I695" s="84"/>
    </row>
    <row r="696" spans="1:9">
      <c r="A696" s="78">
        <f t="shared" si="216"/>
        <v>690</v>
      </c>
      <c r="C696" s="78">
        <v>30</v>
      </c>
      <c r="D696" s="78" t="s">
        <v>66</v>
      </c>
      <c r="E696" s="113">
        <f t="shared" si="217"/>
        <v>57497</v>
      </c>
      <c r="F696" s="85">
        <f t="shared" si="214"/>
        <v>21</v>
      </c>
      <c r="G696" s="84">
        <f t="shared" si="221"/>
        <v>9</v>
      </c>
      <c r="H696" s="84"/>
      <c r="I696" s="84"/>
    </row>
    <row r="697" spans="1:9">
      <c r="A697" s="78">
        <f t="shared" si="216"/>
        <v>691</v>
      </c>
      <c r="C697" s="78">
        <v>31</v>
      </c>
      <c r="D697" s="78" t="s">
        <v>67</v>
      </c>
      <c r="E697" s="113">
        <f t="shared" si="217"/>
        <v>57527</v>
      </c>
      <c r="F697" s="85">
        <f t="shared" si="214"/>
        <v>22</v>
      </c>
      <c r="G697" s="84">
        <f t="shared" si="221"/>
        <v>9</v>
      </c>
      <c r="H697" s="84"/>
      <c r="I697" s="84"/>
    </row>
    <row r="698" spans="1:9">
      <c r="A698" s="78">
        <f t="shared" si="216"/>
        <v>692</v>
      </c>
      <c r="C698" s="78">
        <v>31</v>
      </c>
      <c r="D698" s="78" t="s">
        <v>68</v>
      </c>
      <c r="E698" s="113">
        <f t="shared" si="217"/>
        <v>57558</v>
      </c>
      <c r="F698" s="85">
        <f t="shared" si="214"/>
        <v>23</v>
      </c>
      <c r="G698" s="84">
        <f t="shared" si="221"/>
        <v>8</v>
      </c>
      <c r="H698" s="84"/>
      <c r="I698" s="84"/>
    </row>
    <row r="699" spans="1:9">
      <c r="A699" s="78">
        <f t="shared" si="216"/>
        <v>693</v>
      </c>
      <c r="C699" s="78">
        <v>30</v>
      </c>
      <c r="D699" s="78" t="s">
        <v>69</v>
      </c>
      <c r="E699" s="113">
        <f t="shared" si="217"/>
        <v>57589</v>
      </c>
      <c r="F699" s="85">
        <f t="shared" si="214"/>
        <v>20</v>
      </c>
      <c r="G699" s="84">
        <f t="shared" si="221"/>
        <v>10</v>
      </c>
      <c r="H699" s="84"/>
      <c r="I699" s="84"/>
    </row>
    <row r="700" spans="1:9">
      <c r="A700" s="78">
        <f t="shared" si="216"/>
        <v>694</v>
      </c>
      <c r="C700" s="78">
        <v>31</v>
      </c>
      <c r="D700" s="78" t="s">
        <v>70</v>
      </c>
      <c r="E700" s="113">
        <f t="shared" si="217"/>
        <v>57619</v>
      </c>
      <c r="F700" s="85">
        <f t="shared" si="214"/>
        <v>23</v>
      </c>
      <c r="G700" s="84">
        <f t="shared" si="221"/>
        <v>8</v>
      </c>
      <c r="H700" s="84"/>
      <c r="I700" s="84"/>
    </row>
    <row r="701" spans="1:9">
      <c r="A701" s="78">
        <f t="shared" si="216"/>
        <v>695</v>
      </c>
      <c r="C701" s="78">
        <v>30</v>
      </c>
      <c r="D701" s="78" t="s">
        <v>71</v>
      </c>
      <c r="E701" s="113">
        <f t="shared" si="217"/>
        <v>57650</v>
      </c>
      <c r="F701" s="85">
        <f t="shared" si="214"/>
        <v>22</v>
      </c>
      <c r="G701" s="84">
        <f t="shared" si="221"/>
        <v>8</v>
      </c>
      <c r="H701" s="84"/>
      <c r="I701" s="84"/>
    </row>
    <row r="702" spans="1:9">
      <c r="A702" s="78">
        <f t="shared" si="216"/>
        <v>696</v>
      </c>
      <c r="C702" s="78">
        <v>31</v>
      </c>
      <c r="D702" s="78" t="s">
        <v>72</v>
      </c>
      <c r="E702" s="113">
        <f t="shared" si="217"/>
        <v>57680</v>
      </c>
      <c r="F702" s="85">
        <f t="shared" si="214"/>
        <v>21</v>
      </c>
      <c r="G702" s="84">
        <f t="shared" si="221"/>
        <v>10</v>
      </c>
      <c r="H702" s="84">
        <f>SUM(F691:G702)</f>
        <v>365</v>
      </c>
      <c r="I702" s="84"/>
    </row>
    <row r="703" spans="1:9">
      <c r="A703" s="78">
        <f t="shared" si="216"/>
        <v>697</v>
      </c>
      <c r="C703" s="78">
        <v>31</v>
      </c>
      <c r="D703" s="78" t="s">
        <v>62</v>
      </c>
      <c r="E703" s="113">
        <f t="shared" si="217"/>
        <v>57711</v>
      </c>
      <c r="F703" s="85">
        <f t="shared" si="214"/>
        <v>23</v>
      </c>
      <c r="G703" s="84">
        <f>C703-F703</f>
        <v>8</v>
      </c>
      <c r="H703" s="84"/>
      <c r="I703" s="84"/>
    </row>
    <row r="704" spans="1:9">
      <c r="A704" s="78">
        <f t="shared" si="216"/>
        <v>698</v>
      </c>
      <c r="C704" s="78">
        <v>28</v>
      </c>
      <c r="D704" s="78" t="s">
        <v>63</v>
      </c>
      <c r="E704" s="113">
        <f t="shared" si="217"/>
        <v>57742</v>
      </c>
      <c r="F704" s="85">
        <f t="shared" si="214"/>
        <v>20</v>
      </c>
      <c r="G704" s="84">
        <f t="shared" ref="G704:G714" si="222">C704-F704</f>
        <v>8</v>
      </c>
      <c r="H704" s="84"/>
      <c r="I704" s="84"/>
    </row>
    <row r="705" spans="1:9">
      <c r="A705" s="78">
        <f t="shared" si="216"/>
        <v>699</v>
      </c>
      <c r="C705" s="78">
        <v>31</v>
      </c>
      <c r="D705" s="78" t="s">
        <v>64</v>
      </c>
      <c r="E705" s="113">
        <f t="shared" si="217"/>
        <v>57770</v>
      </c>
      <c r="F705" s="85">
        <f t="shared" si="214"/>
        <v>21</v>
      </c>
      <c r="G705" s="84">
        <f t="shared" si="222"/>
        <v>10</v>
      </c>
      <c r="H705" s="84"/>
      <c r="I705" s="84"/>
    </row>
    <row r="706" spans="1:9">
      <c r="A706" s="78">
        <f t="shared" si="216"/>
        <v>700</v>
      </c>
      <c r="C706" s="78">
        <v>30</v>
      </c>
      <c r="D706" s="78" t="s">
        <v>65</v>
      </c>
      <c r="E706" s="113">
        <f t="shared" si="217"/>
        <v>57801</v>
      </c>
      <c r="F706" s="85">
        <f t="shared" si="214"/>
        <v>22</v>
      </c>
      <c r="G706" s="84">
        <f t="shared" si="222"/>
        <v>8</v>
      </c>
      <c r="H706" s="84"/>
      <c r="I706" s="84"/>
    </row>
    <row r="707" spans="1:9">
      <c r="A707" s="78">
        <f t="shared" si="216"/>
        <v>701</v>
      </c>
      <c r="C707" s="78">
        <v>31</v>
      </c>
      <c r="D707" s="78" t="s">
        <v>38</v>
      </c>
      <c r="E707" s="113">
        <f t="shared" si="217"/>
        <v>57831</v>
      </c>
      <c r="F707" s="85">
        <f t="shared" si="214"/>
        <v>23</v>
      </c>
      <c r="G707" s="84">
        <f t="shared" si="222"/>
        <v>8</v>
      </c>
      <c r="H707" s="84"/>
      <c r="I707" s="84"/>
    </row>
    <row r="708" spans="1:9">
      <c r="A708" s="78">
        <f t="shared" si="216"/>
        <v>702</v>
      </c>
      <c r="C708" s="78">
        <v>30</v>
      </c>
      <c r="D708" s="78" t="s">
        <v>66</v>
      </c>
      <c r="E708" s="113">
        <f t="shared" si="217"/>
        <v>57862</v>
      </c>
      <c r="F708" s="85">
        <f t="shared" ref="F708:F771" si="223">F660</f>
        <v>20</v>
      </c>
      <c r="G708" s="84">
        <f t="shared" si="222"/>
        <v>10</v>
      </c>
      <c r="H708" s="84"/>
      <c r="I708" s="84"/>
    </row>
    <row r="709" spans="1:9">
      <c r="A709" s="78">
        <f t="shared" si="216"/>
        <v>703</v>
      </c>
      <c r="C709" s="78">
        <v>31</v>
      </c>
      <c r="D709" s="78" t="s">
        <v>67</v>
      </c>
      <c r="E709" s="113">
        <f t="shared" si="217"/>
        <v>57892</v>
      </c>
      <c r="F709" s="85">
        <f t="shared" si="223"/>
        <v>23</v>
      </c>
      <c r="G709" s="84">
        <f t="shared" si="222"/>
        <v>8</v>
      </c>
      <c r="H709" s="84"/>
      <c r="I709" s="84"/>
    </row>
    <row r="710" spans="1:9">
      <c r="A710" s="78">
        <f t="shared" si="216"/>
        <v>704</v>
      </c>
      <c r="C710" s="78">
        <v>31</v>
      </c>
      <c r="D710" s="78" t="s">
        <v>68</v>
      </c>
      <c r="E710" s="113">
        <f t="shared" si="217"/>
        <v>57923</v>
      </c>
      <c r="F710" s="85">
        <f t="shared" si="223"/>
        <v>22</v>
      </c>
      <c r="G710" s="84">
        <f t="shared" si="222"/>
        <v>9</v>
      </c>
      <c r="H710" s="84"/>
      <c r="I710" s="84"/>
    </row>
    <row r="711" spans="1:9">
      <c r="A711" s="78">
        <f t="shared" si="216"/>
        <v>705</v>
      </c>
      <c r="C711" s="78">
        <v>30</v>
      </c>
      <c r="D711" s="78" t="s">
        <v>69</v>
      </c>
      <c r="E711" s="113">
        <f t="shared" si="217"/>
        <v>57954</v>
      </c>
      <c r="F711" s="85">
        <f t="shared" si="223"/>
        <v>21</v>
      </c>
      <c r="G711" s="84">
        <f t="shared" si="222"/>
        <v>9</v>
      </c>
      <c r="H711" s="84"/>
      <c r="I711" s="84"/>
    </row>
    <row r="712" spans="1:9">
      <c r="A712" s="78">
        <f t="shared" si="216"/>
        <v>706</v>
      </c>
      <c r="C712" s="78">
        <v>31</v>
      </c>
      <c r="D712" s="78" t="s">
        <v>70</v>
      </c>
      <c r="E712" s="113">
        <f t="shared" si="217"/>
        <v>57984</v>
      </c>
      <c r="F712" s="85">
        <f t="shared" si="223"/>
        <v>23</v>
      </c>
      <c r="G712" s="84">
        <f t="shared" si="222"/>
        <v>8</v>
      </c>
      <c r="H712" s="84"/>
      <c r="I712" s="84"/>
    </row>
    <row r="713" spans="1:9">
      <c r="A713" s="78">
        <f t="shared" ref="A713:A774" si="224">A712+1</f>
        <v>707</v>
      </c>
      <c r="C713" s="78">
        <v>30</v>
      </c>
      <c r="D713" s="78" t="s">
        <v>71</v>
      </c>
      <c r="E713" s="113">
        <f t="shared" ref="E713:E774" si="225">E712+C712</f>
        <v>58015</v>
      </c>
      <c r="F713" s="85">
        <f t="shared" si="223"/>
        <v>21</v>
      </c>
      <c r="G713" s="84">
        <f t="shared" si="222"/>
        <v>9</v>
      </c>
      <c r="H713" s="84"/>
      <c r="I713" s="84"/>
    </row>
    <row r="714" spans="1:9">
      <c r="A714" s="78">
        <f t="shared" si="224"/>
        <v>708</v>
      </c>
      <c r="C714" s="78">
        <v>31</v>
      </c>
      <c r="D714" s="78" t="s">
        <v>72</v>
      </c>
      <c r="E714" s="113">
        <f t="shared" si="225"/>
        <v>58045</v>
      </c>
      <c r="F714" s="85">
        <f t="shared" si="223"/>
        <v>22</v>
      </c>
      <c r="G714" s="84">
        <f t="shared" si="222"/>
        <v>9</v>
      </c>
      <c r="H714" s="84">
        <f>SUM(F703:G714)</f>
        <v>365</v>
      </c>
      <c r="I714" s="84"/>
    </row>
    <row r="715" spans="1:9">
      <c r="A715" s="78">
        <f t="shared" si="224"/>
        <v>709</v>
      </c>
      <c r="C715" s="78">
        <v>31</v>
      </c>
      <c r="D715" s="78" t="s">
        <v>62</v>
      </c>
      <c r="E715" s="113">
        <f t="shared" si="225"/>
        <v>58076</v>
      </c>
      <c r="F715" s="85">
        <f t="shared" si="223"/>
        <v>23</v>
      </c>
      <c r="G715" s="84">
        <f>C715-F715</f>
        <v>8</v>
      </c>
      <c r="H715" s="84"/>
      <c r="I715" s="84"/>
    </row>
    <row r="716" spans="1:9">
      <c r="A716" s="78">
        <f t="shared" si="224"/>
        <v>710</v>
      </c>
      <c r="C716" s="78">
        <v>28</v>
      </c>
      <c r="D716" s="78" t="s">
        <v>63</v>
      </c>
      <c r="E716" s="113">
        <f t="shared" si="225"/>
        <v>58107</v>
      </c>
      <c r="F716" s="85">
        <f t="shared" si="223"/>
        <v>20</v>
      </c>
      <c r="G716" s="84">
        <f t="shared" ref="G716:G726" si="226">C716-F716</f>
        <v>8</v>
      </c>
      <c r="H716" s="84"/>
      <c r="I716" s="84"/>
    </row>
    <row r="717" spans="1:9">
      <c r="A717" s="78">
        <f t="shared" si="224"/>
        <v>711</v>
      </c>
      <c r="C717" s="78">
        <v>31</v>
      </c>
      <c r="D717" s="78" t="s">
        <v>64</v>
      </c>
      <c r="E717" s="113">
        <f t="shared" si="225"/>
        <v>58135</v>
      </c>
      <c r="F717" s="85">
        <f t="shared" si="223"/>
        <v>21</v>
      </c>
      <c r="G717" s="84">
        <f t="shared" si="226"/>
        <v>10</v>
      </c>
      <c r="H717" s="84"/>
      <c r="I717" s="84"/>
    </row>
    <row r="718" spans="1:9">
      <c r="A718" s="78">
        <f t="shared" si="224"/>
        <v>712</v>
      </c>
      <c r="C718" s="78">
        <v>30</v>
      </c>
      <c r="D718" s="78" t="s">
        <v>65</v>
      </c>
      <c r="E718" s="113">
        <f t="shared" si="225"/>
        <v>58166</v>
      </c>
      <c r="F718" s="85">
        <f t="shared" si="223"/>
        <v>22</v>
      </c>
      <c r="G718" s="84">
        <f t="shared" si="226"/>
        <v>8</v>
      </c>
      <c r="H718" s="84"/>
      <c r="I718" s="84"/>
    </row>
    <row r="719" spans="1:9">
      <c r="A719" s="78">
        <f t="shared" si="224"/>
        <v>713</v>
      </c>
      <c r="C719" s="78">
        <v>31</v>
      </c>
      <c r="D719" s="78" t="s">
        <v>38</v>
      </c>
      <c r="E719" s="113">
        <f t="shared" si="225"/>
        <v>58196</v>
      </c>
      <c r="F719" s="85">
        <f t="shared" si="223"/>
        <v>22</v>
      </c>
      <c r="G719" s="84">
        <f t="shared" si="226"/>
        <v>9</v>
      </c>
      <c r="H719" s="84"/>
      <c r="I719" s="84"/>
    </row>
    <row r="720" spans="1:9">
      <c r="A720" s="78">
        <f t="shared" si="224"/>
        <v>714</v>
      </c>
      <c r="C720" s="78">
        <v>30</v>
      </c>
      <c r="D720" s="78" t="s">
        <v>66</v>
      </c>
      <c r="E720" s="113">
        <f t="shared" si="225"/>
        <v>58227</v>
      </c>
      <c r="F720" s="85">
        <f t="shared" si="223"/>
        <v>21</v>
      </c>
      <c r="G720" s="84">
        <f t="shared" si="226"/>
        <v>9</v>
      </c>
      <c r="H720" s="84"/>
      <c r="I720" s="84"/>
    </row>
    <row r="721" spans="1:9">
      <c r="A721" s="78">
        <f t="shared" si="224"/>
        <v>715</v>
      </c>
      <c r="C721" s="78">
        <v>31</v>
      </c>
      <c r="D721" s="78" t="s">
        <v>67</v>
      </c>
      <c r="E721" s="113">
        <f t="shared" si="225"/>
        <v>58257</v>
      </c>
      <c r="F721" s="85">
        <f t="shared" si="223"/>
        <v>23</v>
      </c>
      <c r="G721" s="84">
        <f t="shared" si="226"/>
        <v>8</v>
      </c>
      <c r="H721" s="84"/>
      <c r="I721" s="84"/>
    </row>
    <row r="722" spans="1:9">
      <c r="A722" s="78">
        <f t="shared" si="224"/>
        <v>716</v>
      </c>
      <c r="C722" s="78">
        <v>31</v>
      </c>
      <c r="D722" s="78" t="s">
        <v>68</v>
      </c>
      <c r="E722" s="113">
        <f t="shared" si="225"/>
        <v>58288</v>
      </c>
      <c r="F722" s="85">
        <f t="shared" si="223"/>
        <v>21</v>
      </c>
      <c r="G722" s="84">
        <f t="shared" si="226"/>
        <v>10</v>
      </c>
      <c r="H722" s="84"/>
      <c r="I722" s="84"/>
    </row>
    <row r="723" spans="1:9">
      <c r="A723" s="78">
        <f t="shared" si="224"/>
        <v>717</v>
      </c>
      <c r="C723" s="78">
        <v>30</v>
      </c>
      <c r="D723" s="78" t="s">
        <v>69</v>
      </c>
      <c r="E723" s="113">
        <f t="shared" si="225"/>
        <v>58319</v>
      </c>
      <c r="F723" s="85">
        <f t="shared" si="223"/>
        <v>22</v>
      </c>
      <c r="G723" s="84">
        <f t="shared" si="226"/>
        <v>8</v>
      </c>
      <c r="H723" s="84"/>
      <c r="I723" s="84"/>
    </row>
    <row r="724" spans="1:9">
      <c r="A724" s="78">
        <f t="shared" si="224"/>
        <v>718</v>
      </c>
      <c r="C724" s="78">
        <v>31</v>
      </c>
      <c r="D724" s="78" t="s">
        <v>70</v>
      </c>
      <c r="E724" s="113">
        <f t="shared" si="225"/>
        <v>58349</v>
      </c>
      <c r="F724" s="85">
        <f t="shared" si="223"/>
        <v>23</v>
      </c>
      <c r="G724" s="84">
        <f t="shared" si="226"/>
        <v>8</v>
      </c>
      <c r="H724" s="84"/>
      <c r="I724" s="84"/>
    </row>
    <row r="725" spans="1:9">
      <c r="A725" s="78">
        <f t="shared" si="224"/>
        <v>719</v>
      </c>
      <c r="C725" s="78">
        <v>30</v>
      </c>
      <c r="D725" s="78" t="s">
        <v>71</v>
      </c>
      <c r="E725" s="113">
        <f t="shared" si="225"/>
        <v>58380</v>
      </c>
      <c r="F725" s="85">
        <f t="shared" si="223"/>
        <v>20</v>
      </c>
      <c r="G725" s="84">
        <f t="shared" si="226"/>
        <v>10</v>
      </c>
      <c r="H725" s="84"/>
      <c r="I725" s="84"/>
    </row>
    <row r="726" spans="1:9">
      <c r="A726" s="78">
        <f t="shared" si="224"/>
        <v>720</v>
      </c>
      <c r="C726" s="78">
        <v>31</v>
      </c>
      <c r="D726" s="78" t="s">
        <v>72</v>
      </c>
      <c r="E726" s="113">
        <f t="shared" si="225"/>
        <v>58410</v>
      </c>
      <c r="F726" s="85">
        <f t="shared" si="223"/>
        <v>23</v>
      </c>
      <c r="G726" s="84">
        <f t="shared" si="226"/>
        <v>8</v>
      </c>
      <c r="H726" s="84">
        <f>SUM(F715:G726)</f>
        <v>365</v>
      </c>
      <c r="I726" s="84"/>
    </row>
    <row r="727" spans="1:9">
      <c r="A727" s="78">
        <f t="shared" si="224"/>
        <v>721</v>
      </c>
      <c r="C727" s="78">
        <v>31</v>
      </c>
      <c r="D727" s="78" t="s">
        <v>62</v>
      </c>
      <c r="E727" s="113">
        <f t="shared" si="225"/>
        <v>58441</v>
      </c>
      <c r="F727" s="85">
        <f t="shared" si="223"/>
        <v>22</v>
      </c>
      <c r="G727" s="84">
        <f>C727-F727</f>
        <v>9</v>
      </c>
      <c r="H727" s="84"/>
      <c r="I727" s="84"/>
    </row>
    <row r="728" spans="1:9">
      <c r="A728" s="78">
        <f t="shared" si="224"/>
        <v>722</v>
      </c>
      <c r="C728" s="140">
        <v>29</v>
      </c>
      <c r="D728" s="141" t="s">
        <v>63</v>
      </c>
      <c r="E728" s="113">
        <f t="shared" si="225"/>
        <v>58472</v>
      </c>
      <c r="F728" s="85">
        <f t="shared" si="223"/>
        <v>20</v>
      </c>
      <c r="G728" s="84">
        <f t="shared" ref="G728:G738" si="227">C728-F728</f>
        <v>9</v>
      </c>
      <c r="H728" s="84"/>
      <c r="I728" s="84"/>
    </row>
    <row r="729" spans="1:9">
      <c r="A729" s="78">
        <f t="shared" si="224"/>
        <v>723</v>
      </c>
      <c r="C729" s="78">
        <v>31</v>
      </c>
      <c r="D729" s="78" t="s">
        <v>64</v>
      </c>
      <c r="E729" s="113">
        <f t="shared" si="225"/>
        <v>58501</v>
      </c>
      <c r="F729" s="85">
        <f t="shared" si="223"/>
        <v>23</v>
      </c>
      <c r="G729" s="84">
        <f t="shared" si="227"/>
        <v>8</v>
      </c>
      <c r="H729" s="84"/>
      <c r="I729" s="84"/>
    </row>
    <row r="730" spans="1:9">
      <c r="A730" s="78">
        <f t="shared" si="224"/>
        <v>724</v>
      </c>
      <c r="C730" s="78">
        <v>30</v>
      </c>
      <c r="D730" s="78" t="s">
        <v>65</v>
      </c>
      <c r="E730" s="113">
        <f t="shared" si="225"/>
        <v>58532</v>
      </c>
      <c r="F730" s="85">
        <f t="shared" si="223"/>
        <v>22</v>
      </c>
      <c r="G730" s="84">
        <f t="shared" si="227"/>
        <v>8</v>
      </c>
      <c r="H730" s="84"/>
      <c r="I730" s="84"/>
    </row>
    <row r="731" spans="1:9">
      <c r="A731" s="78">
        <f t="shared" si="224"/>
        <v>725</v>
      </c>
      <c r="C731" s="78">
        <v>31</v>
      </c>
      <c r="D731" s="78" t="s">
        <v>38</v>
      </c>
      <c r="E731" s="113">
        <f t="shared" si="225"/>
        <v>58562</v>
      </c>
      <c r="F731" s="85">
        <f t="shared" si="223"/>
        <v>21</v>
      </c>
      <c r="G731" s="84">
        <f t="shared" si="227"/>
        <v>10</v>
      </c>
      <c r="H731" s="84"/>
      <c r="I731" s="84"/>
    </row>
    <row r="732" spans="1:9">
      <c r="A732" s="78">
        <f t="shared" si="224"/>
        <v>726</v>
      </c>
      <c r="C732" s="78">
        <v>30</v>
      </c>
      <c r="D732" s="78" t="s">
        <v>66</v>
      </c>
      <c r="E732" s="113">
        <f t="shared" si="225"/>
        <v>58593</v>
      </c>
      <c r="F732" s="85">
        <f t="shared" si="223"/>
        <v>22</v>
      </c>
      <c r="G732" s="84">
        <f t="shared" si="227"/>
        <v>8</v>
      </c>
      <c r="H732" s="84"/>
      <c r="I732" s="84"/>
    </row>
    <row r="733" spans="1:9">
      <c r="A733" s="78">
        <f t="shared" si="224"/>
        <v>727</v>
      </c>
      <c r="C733" s="78">
        <v>31</v>
      </c>
      <c r="D733" s="78" t="s">
        <v>67</v>
      </c>
      <c r="E733" s="113">
        <f t="shared" si="225"/>
        <v>58623</v>
      </c>
      <c r="F733" s="85">
        <f t="shared" si="223"/>
        <v>22</v>
      </c>
      <c r="G733" s="84">
        <f t="shared" si="227"/>
        <v>9</v>
      </c>
      <c r="H733" s="84"/>
      <c r="I733" s="84"/>
    </row>
    <row r="734" spans="1:9">
      <c r="A734" s="78">
        <f t="shared" si="224"/>
        <v>728</v>
      </c>
      <c r="C734" s="78">
        <v>31</v>
      </c>
      <c r="D734" s="78" t="s">
        <v>68</v>
      </c>
      <c r="E734" s="113">
        <f t="shared" si="225"/>
        <v>58654</v>
      </c>
      <c r="F734" s="85">
        <f t="shared" si="223"/>
        <v>22</v>
      </c>
      <c r="G734" s="84">
        <f t="shared" si="227"/>
        <v>9</v>
      </c>
      <c r="H734" s="84"/>
      <c r="I734" s="84"/>
    </row>
    <row r="735" spans="1:9">
      <c r="A735" s="78">
        <f t="shared" si="224"/>
        <v>729</v>
      </c>
      <c r="C735" s="78">
        <v>30</v>
      </c>
      <c r="D735" s="78" t="s">
        <v>69</v>
      </c>
      <c r="E735" s="113">
        <f t="shared" si="225"/>
        <v>58685</v>
      </c>
      <c r="F735" s="85">
        <f t="shared" si="223"/>
        <v>22</v>
      </c>
      <c r="G735" s="84">
        <f t="shared" si="227"/>
        <v>8</v>
      </c>
      <c r="H735" s="84"/>
      <c r="I735" s="84"/>
    </row>
    <row r="736" spans="1:9">
      <c r="A736" s="78">
        <f t="shared" si="224"/>
        <v>730</v>
      </c>
      <c r="C736" s="78">
        <v>31</v>
      </c>
      <c r="D736" s="78" t="s">
        <v>70</v>
      </c>
      <c r="E736" s="113">
        <f t="shared" si="225"/>
        <v>58715</v>
      </c>
      <c r="F736" s="85">
        <f t="shared" si="223"/>
        <v>21</v>
      </c>
      <c r="G736" s="84">
        <f t="shared" si="227"/>
        <v>10</v>
      </c>
      <c r="H736" s="84"/>
      <c r="I736" s="84"/>
    </row>
    <row r="737" spans="1:9">
      <c r="A737" s="78">
        <f t="shared" si="224"/>
        <v>731</v>
      </c>
      <c r="C737" s="78">
        <v>30</v>
      </c>
      <c r="D737" s="78" t="s">
        <v>71</v>
      </c>
      <c r="E737" s="113">
        <f t="shared" si="225"/>
        <v>58746</v>
      </c>
      <c r="F737" s="85">
        <f t="shared" si="223"/>
        <v>22</v>
      </c>
      <c r="G737" s="84">
        <f t="shared" si="227"/>
        <v>8</v>
      </c>
      <c r="H737" s="84"/>
      <c r="I737" s="84"/>
    </row>
    <row r="738" spans="1:9">
      <c r="A738" s="78">
        <f t="shared" si="224"/>
        <v>732</v>
      </c>
      <c r="C738" s="78">
        <v>31</v>
      </c>
      <c r="D738" s="78" t="s">
        <v>72</v>
      </c>
      <c r="E738" s="113">
        <f t="shared" si="225"/>
        <v>58776</v>
      </c>
      <c r="F738" s="85">
        <f t="shared" si="223"/>
        <v>23</v>
      </c>
      <c r="G738" s="84">
        <f t="shared" si="227"/>
        <v>8</v>
      </c>
      <c r="H738" s="84">
        <f>SUM(F727:G738)</f>
        <v>366</v>
      </c>
      <c r="I738" s="84"/>
    </row>
    <row r="739" spans="1:9">
      <c r="A739" s="78">
        <f t="shared" si="224"/>
        <v>733</v>
      </c>
      <c r="C739" s="78">
        <v>31</v>
      </c>
      <c r="D739" s="78" t="s">
        <v>62</v>
      </c>
      <c r="E739" s="113">
        <f t="shared" si="225"/>
        <v>58807</v>
      </c>
      <c r="F739" s="85">
        <f t="shared" si="223"/>
        <v>23</v>
      </c>
      <c r="G739" s="84">
        <f>C739-F739</f>
        <v>8</v>
      </c>
      <c r="H739" s="84"/>
      <c r="I739" s="84"/>
    </row>
    <row r="740" spans="1:9">
      <c r="A740" s="78">
        <f t="shared" si="224"/>
        <v>734</v>
      </c>
      <c r="C740" s="78">
        <v>28</v>
      </c>
      <c r="D740" s="78" t="s">
        <v>63</v>
      </c>
      <c r="E740" s="113">
        <f t="shared" si="225"/>
        <v>58838</v>
      </c>
      <c r="F740" s="85">
        <f t="shared" si="223"/>
        <v>20</v>
      </c>
      <c r="G740" s="84">
        <f t="shared" ref="G740:G750" si="228">C740-F740</f>
        <v>8</v>
      </c>
      <c r="H740" s="84"/>
      <c r="I740" s="84"/>
    </row>
    <row r="741" spans="1:9">
      <c r="A741" s="78">
        <f t="shared" si="224"/>
        <v>735</v>
      </c>
      <c r="C741" s="78">
        <v>31</v>
      </c>
      <c r="D741" s="78" t="s">
        <v>64</v>
      </c>
      <c r="E741" s="113">
        <f t="shared" si="225"/>
        <v>58866</v>
      </c>
      <c r="F741" s="85">
        <f t="shared" si="223"/>
        <v>22</v>
      </c>
      <c r="G741" s="84">
        <f t="shared" si="228"/>
        <v>9</v>
      </c>
      <c r="H741" s="84"/>
      <c r="I741" s="84"/>
    </row>
    <row r="742" spans="1:9">
      <c r="A742" s="78">
        <f t="shared" si="224"/>
        <v>736</v>
      </c>
      <c r="C742" s="78">
        <v>30</v>
      </c>
      <c r="D742" s="78" t="s">
        <v>65</v>
      </c>
      <c r="E742" s="113">
        <f t="shared" si="225"/>
        <v>58897</v>
      </c>
      <c r="F742" s="85">
        <f t="shared" si="223"/>
        <v>21</v>
      </c>
      <c r="G742" s="84">
        <f t="shared" si="228"/>
        <v>9</v>
      </c>
      <c r="H742" s="84"/>
      <c r="I742" s="84"/>
    </row>
    <row r="743" spans="1:9">
      <c r="A743" s="78">
        <f t="shared" si="224"/>
        <v>737</v>
      </c>
      <c r="C743" s="78">
        <v>31</v>
      </c>
      <c r="D743" s="78" t="s">
        <v>38</v>
      </c>
      <c r="E743" s="113">
        <f t="shared" si="225"/>
        <v>58927</v>
      </c>
      <c r="F743" s="85">
        <f t="shared" si="223"/>
        <v>23</v>
      </c>
      <c r="G743" s="84">
        <f t="shared" si="228"/>
        <v>8</v>
      </c>
      <c r="H743" s="84"/>
      <c r="I743" s="84"/>
    </row>
    <row r="744" spans="1:9">
      <c r="A744" s="78">
        <f t="shared" si="224"/>
        <v>738</v>
      </c>
      <c r="C744" s="78">
        <v>30</v>
      </c>
      <c r="D744" s="78" t="s">
        <v>66</v>
      </c>
      <c r="E744" s="113">
        <f t="shared" si="225"/>
        <v>58958</v>
      </c>
      <c r="F744" s="85">
        <f t="shared" si="223"/>
        <v>21</v>
      </c>
      <c r="G744" s="84">
        <f t="shared" si="228"/>
        <v>9</v>
      </c>
      <c r="H744" s="84"/>
      <c r="I744" s="84"/>
    </row>
    <row r="745" spans="1:9">
      <c r="A745" s="78">
        <f t="shared" si="224"/>
        <v>739</v>
      </c>
      <c r="C745" s="78">
        <v>31</v>
      </c>
      <c r="D745" s="78" t="s">
        <v>67</v>
      </c>
      <c r="E745" s="113">
        <f t="shared" si="225"/>
        <v>58988</v>
      </c>
      <c r="F745" s="85">
        <f t="shared" si="223"/>
        <v>22</v>
      </c>
      <c r="G745" s="84">
        <f t="shared" si="228"/>
        <v>9</v>
      </c>
      <c r="H745" s="84"/>
      <c r="I745" s="84"/>
    </row>
    <row r="746" spans="1:9">
      <c r="A746" s="78">
        <f t="shared" si="224"/>
        <v>740</v>
      </c>
      <c r="C746" s="78">
        <v>31</v>
      </c>
      <c r="D746" s="78" t="s">
        <v>68</v>
      </c>
      <c r="E746" s="113">
        <f t="shared" si="225"/>
        <v>59019</v>
      </c>
      <c r="F746" s="85">
        <f t="shared" si="223"/>
        <v>23</v>
      </c>
      <c r="G746" s="84">
        <f t="shared" si="228"/>
        <v>8</v>
      </c>
      <c r="H746" s="84"/>
      <c r="I746" s="84"/>
    </row>
    <row r="747" spans="1:9">
      <c r="A747" s="78">
        <f t="shared" si="224"/>
        <v>741</v>
      </c>
      <c r="C747" s="78">
        <v>30</v>
      </c>
      <c r="D747" s="78" t="s">
        <v>69</v>
      </c>
      <c r="E747" s="113">
        <f t="shared" si="225"/>
        <v>59050</v>
      </c>
      <c r="F747" s="85">
        <f t="shared" si="223"/>
        <v>20</v>
      </c>
      <c r="G747" s="84">
        <f t="shared" si="228"/>
        <v>10</v>
      </c>
      <c r="H747" s="84"/>
      <c r="I747" s="84"/>
    </row>
    <row r="748" spans="1:9">
      <c r="A748" s="78">
        <f t="shared" si="224"/>
        <v>742</v>
      </c>
      <c r="C748" s="78">
        <v>31</v>
      </c>
      <c r="D748" s="78" t="s">
        <v>70</v>
      </c>
      <c r="E748" s="113">
        <f t="shared" si="225"/>
        <v>59080</v>
      </c>
      <c r="F748" s="85">
        <f t="shared" si="223"/>
        <v>23</v>
      </c>
      <c r="G748" s="84">
        <f t="shared" si="228"/>
        <v>8</v>
      </c>
      <c r="H748" s="84"/>
      <c r="I748" s="84"/>
    </row>
    <row r="749" spans="1:9">
      <c r="A749" s="78">
        <f t="shared" si="224"/>
        <v>743</v>
      </c>
      <c r="C749" s="78">
        <v>30</v>
      </c>
      <c r="D749" s="78" t="s">
        <v>71</v>
      </c>
      <c r="E749" s="113">
        <f t="shared" si="225"/>
        <v>59111</v>
      </c>
      <c r="F749" s="85">
        <f t="shared" si="223"/>
        <v>22</v>
      </c>
      <c r="G749" s="84">
        <f t="shared" si="228"/>
        <v>8</v>
      </c>
      <c r="H749" s="84"/>
      <c r="I749" s="84"/>
    </row>
    <row r="750" spans="1:9">
      <c r="A750" s="78">
        <f t="shared" si="224"/>
        <v>744</v>
      </c>
      <c r="C750" s="78">
        <v>31</v>
      </c>
      <c r="D750" s="78" t="s">
        <v>72</v>
      </c>
      <c r="E750" s="113">
        <f t="shared" si="225"/>
        <v>59141</v>
      </c>
      <c r="F750" s="85">
        <f t="shared" si="223"/>
        <v>21</v>
      </c>
      <c r="G750" s="84">
        <f t="shared" si="228"/>
        <v>10</v>
      </c>
      <c r="H750" s="84">
        <f>SUM(F739:G750)</f>
        <v>365</v>
      </c>
      <c r="I750" s="84"/>
    </row>
    <row r="751" spans="1:9">
      <c r="A751" s="78">
        <f t="shared" si="224"/>
        <v>745</v>
      </c>
      <c r="C751" s="78">
        <v>31</v>
      </c>
      <c r="D751" s="78" t="s">
        <v>62</v>
      </c>
      <c r="E751" s="113">
        <f t="shared" si="225"/>
        <v>59172</v>
      </c>
      <c r="F751" s="85">
        <f t="shared" si="223"/>
        <v>23</v>
      </c>
      <c r="G751" s="84">
        <f>C751-F751</f>
        <v>8</v>
      </c>
      <c r="H751" s="84"/>
      <c r="I751" s="84"/>
    </row>
    <row r="752" spans="1:9">
      <c r="A752" s="78">
        <f t="shared" si="224"/>
        <v>746</v>
      </c>
      <c r="C752" s="78">
        <v>28</v>
      </c>
      <c r="D752" s="78" t="s">
        <v>63</v>
      </c>
      <c r="E752" s="113">
        <f t="shared" si="225"/>
        <v>59203</v>
      </c>
      <c r="F752" s="85">
        <f t="shared" si="223"/>
        <v>20</v>
      </c>
      <c r="G752" s="84">
        <f t="shared" ref="G752:G762" si="229">C752-F752</f>
        <v>8</v>
      </c>
      <c r="H752" s="84"/>
      <c r="I752" s="84"/>
    </row>
    <row r="753" spans="1:9">
      <c r="A753" s="78">
        <f t="shared" si="224"/>
        <v>747</v>
      </c>
      <c r="C753" s="78">
        <v>31</v>
      </c>
      <c r="D753" s="78" t="s">
        <v>64</v>
      </c>
      <c r="E753" s="113">
        <f t="shared" si="225"/>
        <v>59231</v>
      </c>
      <c r="F753" s="85">
        <f t="shared" si="223"/>
        <v>21</v>
      </c>
      <c r="G753" s="84">
        <f t="shared" si="229"/>
        <v>10</v>
      </c>
      <c r="H753" s="84"/>
      <c r="I753" s="84"/>
    </row>
    <row r="754" spans="1:9">
      <c r="A754" s="78">
        <f t="shared" si="224"/>
        <v>748</v>
      </c>
      <c r="C754" s="78">
        <v>30</v>
      </c>
      <c r="D754" s="78" t="s">
        <v>65</v>
      </c>
      <c r="E754" s="113">
        <f t="shared" si="225"/>
        <v>59262</v>
      </c>
      <c r="F754" s="85">
        <f t="shared" si="223"/>
        <v>22</v>
      </c>
      <c r="G754" s="84">
        <f t="shared" si="229"/>
        <v>8</v>
      </c>
      <c r="H754" s="84"/>
      <c r="I754" s="84"/>
    </row>
    <row r="755" spans="1:9">
      <c r="A755" s="78">
        <f t="shared" si="224"/>
        <v>749</v>
      </c>
      <c r="C755" s="78">
        <v>31</v>
      </c>
      <c r="D755" s="78" t="s">
        <v>38</v>
      </c>
      <c r="E755" s="113">
        <f t="shared" si="225"/>
        <v>59292</v>
      </c>
      <c r="F755" s="85">
        <f t="shared" si="223"/>
        <v>23</v>
      </c>
      <c r="G755" s="84">
        <f t="shared" si="229"/>
        <v>8</v>
      </c>
      <c r="H755" s="84"/>
      <c r="I755" s="84"/>
    </row>
    <row r="756" spans="1:9">
      <c r="A756" s="78">
        <f t="shared" si="224"/>
        <v>750</v>
      </c>
      <c r="C756" s="78">
        <v>30</v>
      </c>
      <c r="D756" s="78" t="s">
        <v>66</v>
      </c>
      <c r="E756" s="113">
        <f t="shared" si="225"/>
        <v>59323</v>
      </c>
      <c r="F756" s="85">
        <f t="shared" si="223"/>
        <v>20</v>
      </c>
      <c r="G756" s="84">
        <f t="shared" si="229"/>
        <v>10</v>
      </c>
      <c r="H756" s="84"/>
      <c r="I756" s="84"/>
    </row>
    <row r="757" spans="1:9">
      <c r="A757" s="78">
        <f t="shared" si="224"/>
        <v>751</v>
      </c>
      <c r="C757" s="78">
        <v>31</v>
      </c>
      <c r="D757" s="78" t="s">
        <v>67</v>
      </c>
      <c r="E757" s="113">
        <f t="shared" si="225"/>
        <v>59353</v>
      </c>
      <c r="F757" s="85">
        <f t="shared" si="223"/>
        <v>23</v>
      </c>
      <c r="G757" s="84">
        <f t="shared" si="229"/>
        <v>8</v>
      </c>
      <c r="H757" s="84"/>
      <c r="I757" s="84"/>
    </row>
    <row r="758" spans="1:9">
      <c r="A758" s="78">
        <f t="shared" si="224"/>
        <v>752</v>
      </c>
      <c r="C758" s="78">
        <v>31</v>
      </c>
      <c r="D758" s="78" t="s">
        <v>68</v>
      </c>
      <c r="E758" s="113">
        <f t="shared" si="225"/>
        <v>59384</v>
      </c>
      <c r="F758" s="85">
        <f t="shared" si="223"/>
        <v>22</v>
      </c>
      <c r="G758" s="84">
        <f t="shared" si="229"/>
        <v>9</v>
      </c>
      <c r="H758" s="84"/>
      <c r="I758" s="84"/>
    </row>
    <row r="759" spans="1:9">
      <c r="A759" s="78">
        <f t="shared" si="224"/>
        <v>753</v>
      </c>
      <c r="C759" s="78">
        <v>30</v>
      </c>
      <c r="D759" s="78" t="s">
        <v>69</v>
      </c>
      <c r="E759" s="113">
        <f t="shared" si="225"/>
        <v>59415</v>
      </c>
      <c r="F759" s="85">
        <f t="shared" si="223"/>
        <v>21</v>
      </c>
      <c r="G759" s="84">
        <f t="shared" si="229"/>
        <v>9</v>
      </c>
      <c r="H759" s="84"/>
      <c r="I759" s="84"/>
    </row>
    <row r="760" spans="1:9">
      <c r="A760" s="78">
        <f t="shared" si="224"/>
        <v>754</v>
      </c>
      <c r="C760" s="78">
        <v>31</v>
      </c>
      <c r="D760" s="78" t="s">
        <v>70</v>
      </c>
      <c r="E760" s="113">
        <f t="shared" si="225"/>
        <v>59445</v>
      </c>
      <c r="F760" s="85">
        <f t="shared" si="223"/>
        <v>23</v>
      </c>
      <c r="G760" s="84">
        <f t="shared" si="229"/>
        <v>8</v>
      </c>
      <c r="H760" s="84"/>
      <c r="I760" s="84"/>
    </row>
    <row r="761" spans="1:9">
      <c r="A761" s="78">
        <f t="shared" si="224"/>
        <v>755</v>
      </c>
      <c r="C761" s="78">
        <v>30</v>
      </c>
      <c r="D761" s="78" t="s">
        <v>71</v>
      </c>
      <c r="E761" s="113">
        <f t="shared" si="225"/>
        <v>59476</v>
      </c>
      <c r="F761" s="85">
        <f t="shared" si="223"/>
        <v>21</v>
      </c>
      <c r="G761" s="84">
        <f t="shared" si="229"/>
        <v>9</v>
      </c>
      <c r="H761" s="84"/>
      <c r="I761" s="84"/>
    </row>
    <row r="762" spans="1:9">
      <c r="A762" s="78">
        <f t="shared" si="224"/>
        <v>756</v>
      </c>
      <c r="C762" s="78">
        <v>31</v>
      </c>
      <c r="D762" s="78" t="s">
        <v>72</v>
      </c>
      <c r="E762" s="113">
        <f t="shared" si="225"/>
        <v>59506</v>
      </c>
      <c r="F762" s="85">
        <f t="shared" si="223"/>
        <v>22</v>
      </c>
      <c r="G762" s="84">
        <f t="shared" si="229"/>
        <v>9</v>
      </c>
      <c r="H762" s="84">
        <f>SUM(F751:G762)</f>
        <v>365</v>
      </c>
      <c r="I762" s="84"/>
    </row>
    <row r="763" spans="1:9">
      <c r="A763" s="78">
        <f t="shared" si="224"/>
        <v>757</v>
      </c>
      <c r="C763" s="78">
        <v>31</v>
      </c>
      <c r="D763" s="78" t="s">
        <v>62</v>
      </c>
      <c r="E763" s="113">
        <f t="shared" si="225"/>
        <v>59537</v>
      </c>
      <c r="F763" s="85">
        <f t="shared" si="223"/>
        <v>23</v>
      </c>
      <c r="G763" s="84">
        <f>C763-F763</f>
        <v>8</v>
      </c>
      <c r="H763" s="84"/>
      <c r="I763" s="84"/>
    </row>
    <row r="764" spans="1:9">
      <c r="A764" s="78">
        <f t="shared" si="224"/>
        <v>758</v>
      </c>
      <c r="C764" s="78">
        <v>28</v>
      </c>
      <c r="D764" s="78" t="s">
        <v>63</v>
      </c>
      <c r="E764" s="113">
        <f t="shared" si="225"/>
        <v>59568</v>
      </c>
      <c r="F764" s="85">
        <f t="shared" si="223"/>
        <v>20</v>
      </c>
      <c r="G764" s="84">
        <f t="shared" ref="G764:G774" si="230">C764-F764</f>
        <v>8</v>
      </c>
      <c r="H764" s="84"/>
      <c r="I764" s="84"/>
    </row>
    <row r="765" spans="1:9">
      <c r="A765" s="78">
        <f t="shared" si="224"/>
        <v>759</v>
      </c>
      <c r="C765" s="78">
        <v>31</v>
      </c>
      <c r="D765" s="78" t="s">
        <v>64</v>
      </c>
      <c r="E765" s="113">
        <f t="shared" si="225"/>
        <v>59596</v>
      </c>
      <c r="F765" s="85">
        <f t="shared" si="223"/>
        <v>21</v>
      </c>
      <c r="G765" s="84">
        <f t="shared" si="230"/>
        <v>10</v>
      </c>
      <c r="H765" s="84"/>
      <c r="I765" s="84"/>
    </row>
    <row r="766" spans="1:9">
      <c r="A766" s="78">
        <f t="shared" si="224"/>
        <v>760</v>
      </c>
      <c r="C766" s="78">
        <v>30</v>
      </c>
      <c r="D766" s="78" t="s">
        <v>65</v>
      </c>
      <c r="E766" s="113">
        <f t="shared" si="225"/>
        <v>59627</v>
      </c>
      <c r="F766" s="85">
        <f t="shared" si="223"/>
        <v>22</v>
      </c>
      <c r="G766" s="84">
        <f t="shared" si="230"/>
        <v>8</v>
      </c>
      <c r="H766" s="84"/>
      <c r="I766" s="84"/>
    </row>
    <row r="767" spans="1:9">
      <c r="A767" s="78">
        <f t="shared" si="224"/>
        <v>761</v>
      </c>
      <c r="C767" s="78">
        <v>31</v>
      </c>
      <c r="D767" s="78" t="s">
        <v>38</v>
      </c>
      <c r="E767" s="113">
        <f t="shared" si="225"/>
        <v>59657</v>
      </c>
      <c r="F767" s="85">
        <f t="shared" si="223"/>
        <v>22</v>
      </c>
      <c r="G767" s="84">
        <f t="shared" si="230"/>
        <v>9</v>
      </c>
      <c r="H767" s="84"/>
      <c r="I767" s="84"/>
    </row>
    <row r="768" spans="1:9">
      <c r="A768" s="78">
        <f t="shared" si="224"/>
        <v>762</v>
      </c>
      <c r="C768" s="78">
        <v>30</v>
      </c>
      <c r="D768" s="78" t="s">
        <v>66</v>
      </c>
      <c r="E768" s="113">
        <f t="shared" si="225"/>
        <v>59688</v>
      </c>
      <c r="F768" s="85">
        <f t="shared" si="223"/>
        <v>21</v>
      </c>
      <c r="G768" s="84">
        <f t="shared" si="230"/>
        <v>9</v>
      </c>
      <c r="H768" s="84"/>
      <c r="I768" s="84"/>
    </row>
    <row r="769" spans="1:9">
      <c r="A769" s="78">
        <f t="shared" si="224"/>
        <v>763</v>
      </c>
      <c r="C769" s="78">
        <v>31</v>
      </c>
      <c r="D769" s="78" t="s">
        <v>67</v>
      </c>
      <c r="E769" s="113">
        <f t="shared" si="225"/>
        <v>59718</v>
      </c>
      <c r="F769" s="85">
        <f t="shared" si="223"/>
        <v>23</v>
      </c>
      <c r="G769" s="84">
        <f t="shared" si="230"/>
        <v>8</v>
      </c>
      <c r="H769" s="84"/>
      <c r="I769" s="84"/>
    </row>
    <row r="770" spans="1:9">
      <c r="A770" s="78">
        <f t="shared" si="224"/>
        <v>764</v>
      </c>
      <c r="C770" s="78">
        <v>31</v>
      </c>
      <c r="D770" s="78" t="s">
        <v>68</v>
      </c>
      <c r="E770" s="113">
        <f t="shared" si="225"/>
        <v>59749</v>
      </c>
      <c r="F770" s="85">
        <f t="shared" si="223"/>
        <v>21</v>
      </c>
      <c r="G770" s="84">
        <f t="shared" si="230"/>
        <v>10</v>
      </c>
      <c r="H770" s="84"/>
      <c r="I770" s="84"/>
    </row>
    <row r="771" spans="1:9">
      <c r="A771" s="78">
        <f t="shared" si="224"/>
        <v>765</v>
      </c>
      <c r="C771" s="78">
        <v>30</v>
      </c>
      <c r="D771" s="78" t="s">
        <v>69</v>
      </c>
      <c r="E771" s="113">
        <f t="shared" si="225"/>
        <v>59780</v>
      </c>
      <c r="F771" s="85">
        <f t="shared" si="223"/>
        <v>22</v>
      </c>
      <c r="G771" s="84">
        <f t="shared" si="230"/>
        <v>8</v>
      </c>
      <c r="H771" s="84"/>
      <c r="I771" s="84"/>
    </row>
    <row r="772" spans="1:9">
      <c r="A772" s="78">
        <f t="shared" si="224"/>
        <v>766</v>
      </c>
      <c r="C772" s="78">
        <v>31</v>
      </c>
      <c r="D772" s="78" t="s">
        <v>70</v>
      </c>
      <c r="E772" s="113">
        <f t="shared" si="225"/>
        <v>59810</v>
      </c>
      <c r="F772" s="85">
        <f>F724</f>
        <v>23</v>
      </c>
      <c r="G772" s="84">
        <f t="shared" si="230"/>
        <v>8</v>
      </c>
      <c r="H772" s="84"/>
      <c r="I772" s="84"/>
    </row>
    <row r="773" spans="1:9">
      <c r="A773" s="78">
        <f t="shared" si="224"/>
        <v>767</v>
      </c>
      <c r="C773" s="78">
        <v>30</v>
      </c>
      <c r="D773" s="78" t="s">
        <v>71</v>
      </c>
      <c r="E773" s="113">
        <f t="shared" si="225"/>
        <v>59841</v>
      </c>
      <c r="F773" s="85">
        <f>F725</f>
        <v>20</v>
      </c>
      <c r="G773" s="84">
        <f t="shared" si="230"/>
        <v>10</v>
      </c>
      <c r="H773" s="84"/>
      <c r="I773" s="84"/>
    </row>
    <row r="774" spans="1:9">
      <c r="A774" s="78">
        <f t="shared" si="224"/>
        <v>768</v>
      </c>
      <c r="C774" s="78">
        <v>31</v>
      </c>
      <c r="D774" s="78" t="s">
        <v>72</v>
      </c>
      <c r="E774" s="113">
        <f t="shared" si="225"/>
        <v>59871</v>
      </c>
      <c r="F774" s="85">
        <f>F726</f>
        <v>23</v>
      </c>
      <c r="G774" s="84">
        <f t="shared" si="230"/>
        <v>8</v>
      </c>
      <c r="H774" s="84">
        <f>SUM(F763:G774)</f>
        <v>365</v>
      </c>
      <c r="I774" s="84"/>
    </row>
    <row r="775" spans="1:9">
      <c r="F775" s="85"/>
      <c r="I775" s="84"/>
    </row>
    <row r="776" spans="1:9">
      <c r="I776" s="84"/>
    </row>
    <row r="777" spans="1:9">
      <c r="I777" s="84"/>
    </row>
    <row r="778" spans="1:9">
      <c r="I778" s="84"/>
    </row>
  </sheetData>
  <mergeCells count="3">
    <mergeCell ref="L6:M6"/>
    <mergeCell ref="AY2:BJ2"/>
    <mergeCell ref="BN2:BQ2"/>
  </mergeCells>
  <pageMargins left="0.75" right="0.75" top="1" bottom="1" header="0.5" footer="0.5"/>
  <pageSetup orientation="portrait" horizontalDpi="0" r:id="rId1"/>
  <headerFooter alignWithMargins="0">
    <oddHeader>&amp;A</oddHeader>
    <oddFooter>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68"/>
  <sheetViews>
    <sheetView topLeftCell="A4" workbookViewId="0">
      <selection activeCell="E28" sqref="E28"/>
    </sheetView>
  </sheetViews>
  <sheetFormatPr defaultColWidth="12.6640625" defaultRowHeight="13.2"/>
  <cols>
    <col min="1" max="1" width="6" style="192" customWidth="1"/>
    <col min="2" max="2" width="32.109375" style="57" bestFit="1" customWidth="1"/>
    <col min="3" max="22" width="12.6640625" style="192" customWidth="1"/>
    <col min="23" max="23" width="12.6640625" style="488" customWidth="1"/>
    <col min="24" max="16384" width="12.6640625" style="192"/>
  </cols>
  <sheetData>
    <row r="1" spans="2:25" hidden="1">
      <c r="C1" s="192">
        <v>12</v>
      </c>
      <c r="D1" s="193">
        <f>C2+1</f>
        <v>19</v>
      </c>
      <c r="E1" s="193">
        <f t="shared" ref="E1:W1" si="0">D2+1</f>
        <v>31</v>
      </c>
      <c r="F1" s="193">
        <f t="shared" si="0"/>
        <v>43</v>
      </c>
      <c r="G1" s="193">
        <f t="shared" si="0"/>
        <v>55</v>
      </c>
      <c r="H1" s="193">
        <f t="shared" si="0"/>
        <v>67</v>
      </c>
      <c r="I1" s="193">
        <f t="shared" si="0"/>
        <v>79</v>
      </c>
      <c r="J1" s="193">
        <f t="shared" si="0"/>
        <v>91</v>
      </c>
      <c r="K1" s="193">
        <f t="shared" si="0"/>
        <v>103</v>
      </c>
      <c r="L1" s="193">
        <f t="shared" si="0"/>
        <v>115</v>
      </c>
      <c r="M1" s="193">
        <f t="shared" si="0"/>
        <v>127</v>
      </c>
      <c r="N1" s="193">
        <f t="shared" si="0"/>
        <v>139</v>
      </c>
      <c r="O1" s="193">
        <f t="shared" si="0"/>
        <v>151</v>
      </c>
      <c r="P1" s="193">
        <f t="shared" si="0"/>
        <v>163</v>
      </c>
      <c r="Q1" s="193">
        <f t="shared" si="0"/>
        <v>175</v>
      </c>
      <c r="R1" s="193">
        <f t="shared" si="0"/>
        <v>187</v>
      </c>
      <c r="S1" s="193">
        <f t="shared" si="0"/>
        <v>199</v>
      </c>
      <c r="T1" s="193">
        <f t="shared" si="0"/>
        <v>211</v>
      </c>
      <c r="U1" s="193">
        <f t="shared" si="0"/>
        <v>223</v>
      </c>
      <c r="V1" s="193">
        <f t="shared" si="0"/>
        <v>235</v>
      </c>
      <c r="W1" s="487">
        <f t="shared" si="0"/>
        <v>247</v>
      </c>
    </row>
    <row r="2" spans="2:25" hidden="1">
      <c r="C2" s="194">
        <v>18</v>
      </c>
      <c r="D2" s="193">
        <f>D1+11</f>
        <v>30</v>
      </c>
      <c r="E2" s="193">
        <f t="shared" ref="E2:W2" si="1">E1+11</f>
        <v>42</v>
      </c>
      <c r="F2" s="193">
        <f t="shared" si="1"/>
        <v>54</v>
      </c>
      <c r="G2" s="193">
        <f t="shared" si="1"/>
        <v>66</v>
      </c>
      <c r="H2" s="193">
        <f t="shared" si="1"/>
        <v>78</v>
      </c>
      <c r="I2" s="193">
        <f t="shared" si="1"/>
        <v>90</v>
      </c>
      <c r="J2" s="193">
        <f t="shared" si="1"/>
        <v>102</v>
      </c>
      <c r="K2" s="193">
        <f t="shared" si="1"/>
        <v>114</v>
      </c>
      <c r="L2" s="193">
        <f t="shared" si="1"/>
        <v>126</v>
      </c>
      <c r="M2" s="193">
        <f t="shared" si="1"/>
        <v>138</v>
      </c>
      <c r="N2" s="193">
        <f t="shared" si="1"/>
        <v>150</v>
      </c>
      <c r="O2" s="193">
        <f t="shared" si="1"/>
        <v>162</v>
      </c>
      <c r="P2" s="193">
        <f t="shared" si="1"/>
        <v>174</v>
      </c>
      <c r="Q2" s="193">
        <f t="shared" si="1"/>
        <v>186</v>
      </c>
      <c r="R2" s="193">
        <f t="shared" si="1"/>
        <v>198</v>
      </c>
      <c r="S2" s="193">
        <f t="shared" si="1"/>
        <v>210</v>
      </c>
      <c r="T2" s="193">
        <f t="shared" si="1"/>
        <v>222</v>
      </c>
      <c r="U2" s="193">
        <f t="shared" si="1"/>
        <v>234</v>
      </c>
      <c r="V2" s="193">
        <f t="shared" si="1"/>
        <v>246</v>
      </c>
      <c r="W2" s="487">
        <f t="shared" si="1"/>
        <v>258</v>
      </c>
    </row>
    <row r="3" spans="2:25" hidden="1">
      <c r="V3" s="193"/>
    </row>
    <row r="6" spans="2:25" s="154" customFormat="1" ht="7.8">
      <c r="B6" s="201"/>
      <c r="C6" s="154">
        <v>1</v>
      </c>
      <c r="D6" s="154">
        <f>C6+1</f>
        <v>2</v>
      </c>
      <c r="E6" s="154">
        <f t="shared" ref="E6:V6" si="2">D6+1</f>
        <v>3</v>
      </c>
      <c r="F6" s="154">
        <f t="shared" si="2"/>
        <v>4</v>
      </c>
      <c r="G6" s="154">
        <f t="shared" si="2"/>
        <v>5</v>
      </c>
      <c r="H6" s="154">
        <f t="shared" si="2"/>
        <v>6</v>
      </c>
      <c r="I6" s="154">
        <f t="shared" si="2"/>
        <v>7</v>
      </c>
      <c r="J6" s="154">
        <f t="shared" si="2"/>
        <v>8</v>
      </c>
      <c r="K6" s="154">
        <f t="shared" si="2"/>
        <v>9</v>
      </c>
      <c r="L6" s="154">
        <f t="shared" si="2"/>
        <v>10</v>
      </c>
      <c r="M6" s="154">
        <f t="shared" si="2"/>
        <v>11</v>
      </c>
      <c r="N6" s="154">
        <f t="shared" si="2"/>
        <v>12</v>
      </c>
      <c r="O6" s="154">
        <f t="shared" si="2"/>
        <v>13</v>
      </c>
      <c r="P6" s="154">
        <f t="shared" si="2"/>
        <v>14</v>
      </c>
      <c r="Q6" s="154">
        <f t="shared" si="2"/>
        <v>15</v>
      </c>
      <c r="R6" s="154">
        <f t="shared" si="2"/>
        <v>16</v>
      </c>
      <c r="S6" s="154">
        <f t="shared" si="2"/>
        <v>17</v>
      </c>
      <c r="T6" s="154">
        <f t="shared" si="2"/>
        <v>18</v>
      </c>
      <c r="U6" s="154">
        <f t="shared" si="2"/>
        <v>19</v>
      </c>
      <c r="V6" s="154">
        <f t="shared" si="2"/>
        <v>20</v>
      </c>
      <c r="W6" s="489">
        <v>21</v>
      </c>
    </row>
    <row r="7" spans="2:25" s="154" customFormat="1" ht="8.4" thickBot="1">
      <c r="B7" s="201"/>
      <c r="W7" s="489"/>
    </row>
    <row r="8" spans="2:25" ht="13.8" thickBot="1">
      <c r="B8" s="205" t="s">
        <v>148</v>
      </c>
      <c r="C8" s="200">
        <v>36891</v>
      </c>
      <c r="D8" s="200">
        <f>C8+365.25</f>
        <v>37256.25</v>
      </c>
      <c r="E8" s="200">
        <f t="shared" ref="E8:W8" si="3">D8+365.25</f>
        <v>37621.5</v>
      </c>
      <c r="F8" s="200">
        <f t="shared" si="3"/>
        <v>37986.75</v>
      </c>
      <c r="G8" s="200">
        <f t="shared" si="3"/>
        <v>38352</v>
      </c>
      <c r="H8" s="200">
        <f t="shared" si="3"/>
        <v>38717.25</v>
      </c>
      <c r="I8" s="200">
        <f t="shared" si="3"/>
        <v>39082.5</v>
      </c>
      <c r="J8" s="200">
        <f t="shared" si="3"/>
        <v>39447.75</v>
      </c>
      <c r="K8" s="200">
        <f t="shared" si="3"/>
        <v>39813</v>
      </c>
      <c r="L8" s="200">
        <f t="shared" si="3"/>
        <v>40178.25</v>
      </c>
      <c r="M8" s="200">
        <f t="shared" si="3"/>
        <v>40543.5</v>
      </c>
      <c r="N8" s="200">
        <f t="shared" si="3"/>
        <v>40908.75</v>
      </c>
      <c r="O8" s="200">
        <f t="shared" si="3"/>
        <v>41274</v>
      </c>
      <c r="P8" s="200">
        <f t="shared" si="3"/>
        <v>41639.25</v>
      </c>
      <c r="Q8" s="200">
        <f t="shared" si="3"/>
        <v>42004.5</v>
      </c>
      <c r="R8" s="200">
        <f t="shared" si="3"/>
        <v>42369.75</v>
      </c>
      <c r="S8" s="200">
        <f t="shared" si="3"/>
        <v>42735</v>
      </c>
      <c r="T8" s="200">
        <f t="shared" si="3"/>
        <v>43100.25</v>
      </c>
      <c r="U8" s="200">
        <f t="shared" si="3"/>
        <v>43465.5</v>
      </c>
      <c r="V8" s="200">
        <f t="shared" si="3"/>
        <v>43830.75</v>
      </c>
      <c r="W8" s="490">
        <f t="shared" si="3"/>
        <v>44196</v>
      </c>
    </row>
    <row r="9" spans="2:25" s="194" customFormat="1">
      <c r="B9" s="202" t="s">
        <v>120</v>
      </c>
      <c r="C9" s="194">
        <v>0</v>
      </c>
      <c r="D9" s="194">
        <v>0</v>
      </c>
      <c r="E9" s="194">
        <v>0</v>
      </c>
      <c r="F9" s="194">
        <v>0</v>
      </c>
      <c r="G9" s="194">
        <v>0</v>
      </c>
      <c r="H9" s="194">
        <v>0</v>
      </c>
      <c r="I9" s="194">
        <v>0</v>
      </c>
      <c r="J9" s="194">
        <v>0</v>
      </c>
      <c r="K9" s="194">
        <v>0</v>
      </c>
      <c r="L9" s="194">
        <v>0</v>
      </c>
      <c r="M9" s="194">
        <v>0</v>
      </c>
      <c r="N9" s="194">
        <v>0</v>
      </c>
      <c r="O9" s="194">
        <v>0</v>
      </c>
      <c r="P9" s="194">
        <v>0</v>
      </c>
      <c r="Q9" s="194">
        <v>0</v>
      </c>
      <c r="R9" s="194">
        <v>0</v>
      </c>
      <c r="S9" s="194">
        <v>0</v>
      </c>
      <c r="T9" s="194">
        <v>0</v>
      </c>
      <c r="U9" s="194">
        <v>0</v>
      </c>
      <c r="V9" s="194">
        <v>0</v>
      </c>
      <c r="W9" s="491">
        <v>0</v>
      </c>
    </row>
    <row r="10" spans="2:25" s="194" customFormat="1">
      <c r="B10" s="202" t="s">
        <v>121</v>
      </c>
      <c r="C10" s="195">
        <v>0</v>
      </c>
      <c r="D10" s="194">
        <v>0</v>
      </c>
      <c r="E10" s="194">
        <v>0</v>
      </c>
      <c r="F10" s="194">
        <v>0</v>
      </c>
      <c r="G10" s="194">
        <v>0</v>
      </c>
      <c r="H10" s="194">
        <v>0</v>
      </c>
      <c r="I10" s="194">
        <v>0</v>
      </c>
      <c r="J10" s="194">
        <v>0</v>
      </c>
      <c r="K10" s="194">
        <v>0</v>
      </c>
      <c r="L10" s="194">
        <v>0</v>
      </c>
      <c r="M10" s="194">
        <v>0</v>
      </c>
      <c r="N10" s="194">
        <v>0</v>
      </c>
      <c r="O10" s="194">
        <v>0</v>
      </c>
      <c r="P10" s="194">
        <v>0</v>
      </c>
      <c r="Q10" s="194">
        <v>0</v>
      </c>
      <c r="R10" s="194">
        <v>0</v>
      </c>
      <c r="S10" s="194">
        <v>0</v>
      </c>
      <c r="T10" s="194">
        <v>0</v>
      </c>
      <c r="U10" s="194">
        <v>0</v>
      </c>
      <c r="V10" s="194">
        <v>0</v>
      </c>
      <c r="W10" s="491">
        <v>0</v>
      </c>
    </row>
    <row r="11" spans="2:25" s="194" customFormat="1">
      <c r="B11" s="202" t="s">
        <v>113</v>
      </c>
      <c r="C11" s="196">
        <f>SUM('Revenues &amp; Expenses'!$AH$12:$AH$18)</f>
        <v>27939996.084594727</v>
      </c>
      <c r="D11" s="196">
        <f>SUM('Revenues &amp; Expenses'!$AH$19:$AH$30)</f>
        <v>26282843.146362305</v>
      </c>
      <c r="E11" s="196">
        <f>SUM('Revenues &amp; Expenses'!$AH$31:$AH$42)</f>
        <v>25565399.154052734</v>
      </c>
      <c r="F11" s="196">
        <f>SUM('Revenues &amp; Expenses'!$AH$43:$AH$54)</f>
        <v>25345655.161743164</v>
      </c>
      <c r="G11" s="196">
        <f>SUM('Revenues &amp; Expenses'!$AH$55:$AH$66)</f>
        <v>25668719.154052734</v>
      </c>
      <c r="H11" s="196">
        <f>SUM('Revenues &amp; Expenses'!$AH$67:$AH$78)</f>
        <v>26161883.146362305</v>
      </c>
      <c r="I11" s="196">
        <f>SUM('Revenues &amp; Expenses'!$AH$79:$AH$90)</f>
        <v>26554499.154052734</v>
      </c>
      <c r="J11" s="196">
        <f>SUM('Revenues &amp; Expenses'!$AH$91:$AH$102)</f>
        <v>27046655.161743164</v>
      </c>
      <c r="K11" s="196">
        <f>SUM('Revenues &amp; Expenses'!$AH$103:$AH$114)</f>
        <v>27914039.154052734</v>
      </c>
      <c r="L11" s="196">
        <f>SUM('Revenues &amp; Expenses'!$AH$115:$AH$126)</f>
        <v>28705823.146362305</v>
      </c>
      <c r="M11" s="196">
        <f>SUM('Revenues &amp; Expenses'!$AH$127:$AH$138)</f>
        <v>29099699.154052734</v>
      </c>
      <c r="N11" s="196">
        <f>SUM('Revenues &amp; Expenses'!$AH$139:$AH$150)</f>
        <v>29518775.161743164</v>
      </c>
      <c r="O11" s="196">
        <f>SUM('Revenues &amp; Expenses'!$AH$151:$AH$162)</f>
        <v>30353399.154052734</v>
      </c>
      <c r="P11" s="196">
        <f>SUM('Revenues &amp; Expenses'!$AH$163:$AH$174)</f>
        <v>31117463.146362305</v>
      </c>
      <c r="Q11" s="196">
        <f>SUM('Revenues &amp; Expenses'!$AH$175:$AH$186)</f>
        <v>31443299.154052734</v>
      </c>
      <c r="R11" s="196">
        <f>SUM('Revenues &amp; Expenses'!$AH$187:$AH$198)</f>
        <v>31832135.161743164</v>
      </c>
      <c r="S11" s="196">
        <f>SUM('Revenues &amp; Expenses'!$AH$199:$AH$210)</f>
        <v>32681879.154052734</v>
      </c>
      <c r="T11" s="196">
        <f>SUM('Revenues &amp; Expenses'!$AH$211:$AH$222)</f>
        <v>33476183.146362305</v>
      </c>
      <c r="U11" s="196">
        <f>SUM('Revenues &amp; Expenses'!$AH$223:$AH$234)</f>
        <v>33786899.154052734</v>
      </c>
      <c r="V11" s="196">
        <f>SUM('Revenues &amp; Expenses'!$AH$235:$AH$246)</f>
        <v>33567155.161743164</v>
      </c>
      <c r="W11" s="492">
        <f>SUM('Revenues &amp; Expenses'!$AH$247:$AH$258)</f>
        <v>33846119.154052734</v>
      </c>
    </row>
    <row r="12" spans="2:25" s="194" customFormat="1">
      <c r="B12" s="203" t="s">
        <v>122</v>
      </c>
      <c r="C12" s="194">
        <f>SUM(C9:C11)</f>
        <v>27939996.084594727</v>
      </c>
      <c r="D12" s="194">
        <f t="shared" ref="D12:W12" si="4">SUM(D9:D11)</f>
        <v>26282843.146362305</v>
      </c>
      <c r="E12" s="194">
        <f t="shared" si="4"/>
        <v>25565399.154052734</v>
      </c>
      <c r="F12" s="194">
        <f t="shared" si="4"/>
        <v>25345655.161743164</v>
      </c>
      <c r="G12" s="194">
        <f t="shared" si="4"/>
        <v>25668719.154052734</v>
      </c>
      <c r="H12" s="194">
        <f t="shared" si="4"/>
        <v>26161883.146362305</v>
      </c>
      <c r="I12" s="194">
        <f t="shared" si="4"/>
        <v>26554499.154052734</v>
      </c>
      <c r="J12" s="194">
        <f t="shared" si="4"/>
        <v>27046655.161743164</v>
      </c>
      <c r="K12" s="194">
        <f t="shared" si="4"/>
        <v>27914039.154052734</v>
      </c>
      <c r="L12" s="194">
        <f t="shared" si="4"/>
        <v>28705823.146362305</v>
      </c>
      <c r="M12" s="194">
        <f t="shared" si="4"/>
        <v>29099699.154052734</v>
      </c>
      <c r="N12" s="194">
        <f t="shared" si="4"/>
        <v>29518775.161743164</v>
      </c>
      <c r="O12" s="194">
        <f t="shared" si="4"/>
        <v>30353399.154052734</v>
      </c>
      <c r="P12" s="194">
        <f t="shared" si="4"/>
        <v>31117463.146362305</v>
      </c>
      <c r="Q12" s="194">
        <f t="shared" si="4"/>
        <v>31443299.154052734</v>
      </c>
      <c r="R12" s="194">
        <f t="shared" si="4"/>
        <v>31832135.161743164</v>
      </c>
      <c r="S12" s="194">
        <f t="shared" si="4"/>
        <v>32681879.154052734</v>
      </c>
      <c r="T12" s="194">
        <f t="shared" si="4"/>
        <v>33476183.146362305</v>
      </c>
      <c r="U12" s="194">
        <f t="shared" si="4"/>
        <v>33786899.154052734</v>
      </c>
      <c r="V12" s="194">
        <f t="shared" si="4"/>
        <v>33567155.161743164</v>
      </c>
      <c r="W12" s="491">
        <f t="shared" si="4"/>
        <v>33846119.154052734</v>
      </c>
    </row>
    <row r="14" spans="2:25">
      <c r="B14" s="57" t="s">
        <v>123</v>
      </c>
      <c r="C14" s="195">
        <f>SUM('Revenues &amp; Expenses'!$AJ12:$AJ$18)</f>
        <v>17242395.015227586</v>
      </c>
      <c r="D14" s="195">
        <f>SUM('Revenues &amp; Expenses'!$AJ$19:$AJ$30)</f>
        <v>15167349.755503451</v>
      </c>
      <c r="E14" s="195">
        <f>SUM('Revenues &amp; Expenses'!$AJ$31:$AJ$42)</f>
        <v>14388814.482579311</v>
      </c>
      <c r="F14" s="195">
        <f>SUM('Revenues &amp; Expenses'!$AJ$43:$AJ$54)</f>
        <v>14031040.021696553</v>
      </c>
      <c r="G14" s="195">
        <f>SUM('Revenues &amp; Expenses'!$AJ$55:$AJ$66)</f>
        <v>14092494.789848277</v>
      </c>
      <c r="H14" s="195">
        <f>SUM('Revenues &amp; Expenses'!$AJ$67:$AJ$78)</f>
        <v>14053089.822703447</v>
      </c>
      <c r="I14" s="195">
        <f>SUM('Revenues &amp; Expenses'!$AJ$79:$AJ$90)</f>
        <v>13868226.089006897</v>
      </c>
      <c r="J14" s="195">
        <f>SUM('Revenues &amp; Expenses'!$AJ$91:$AJ$102)</f>
        <v>13961402.937806901</v>
      </c>
      <c r="K14" s="195">
        <f>SUM('Revenues &amp; Expenses'!$AJ$103:$AJ$114)</f>
        <v>14301988.708965519</v>
      </c>
      <c r="L14" s="195">
        <f>SUM('Revenues &amp; Expenses'!$AJ$115:$AJ$126)</f>
        <v>14309122.223296553</v>
      </c>
      <c r="M14" s="195">
        <f>SUM('Revenues &amp; Expenses'!$AJ$127:$AJ$138)</f>
        <v>14091354.426413797</v>
      </c>
      <c r="N14" s="195">
        <f>SUM('Revenues &amp; Expenses'!$AJ$139:$AJ$150)</f>
        <v>14084220.912082762</v>
      </c>
      <c r="O14" s="195">
        <f>SUM('Revenues &amp; Expenses'!$AJ$151:$AJ$162)</f>
        <v>14301988.708965519</v>
      </c>
      <c r="P14" s="195">
        <f>SUM('Revenues &amp; Expenses'!$AJ$163:$AJ$174)</f>
        <v>14309122.223296553</v>
      </c>
      <c r="Q14" s="195">
        <f>SUM('Revenues &amp; Expenses'!$AJ$175:$AJ$186)</f>
        <v>14091354.426413797</v>
      </c>
      <c r="R14" s="195">
        <f>SUM('Revenues &amp; Expenses'!$AJ$187:$AJ$198)</f>
        <v>14084220.912082762</v>
      </c>
      <c r="S14" s="195">
        <f>SUM('Revenues &amp; Expenses'!$AJ$199:$AJ$210)</f>
        <v>14301988.708965519</v>
      </c>
      <c r="T14" s="195">
        <f>SUM('Revenues &amp; Expenses'!$AJ$211:$AJ$222)</f>
        <v>14309122.223296553</v>
      </c>
      <c r="U14" s="195">
        <f>SUM('Revenues &amp; Expenses'!$AJ$223:$AJ$234)</f>
        <v>14091354.426413797</v>
      </c>
      <c r="V14" s="195">
        <f>SUM('Revenues &amp; Expenses'!$AJ$235:$AJ$246)</f>
        <v>14084220.912082762</v>
      </c>
      <c r="W14" s="493">
        <f>SUM('Revenues &amp; Expenses'!$AJ$247:$AJ$258)</f>
        <v>14301988.708965519</v>
      </c>
      <c r="X14" s="194"/>
    </row>
    <row r="15" spans="2:25">
      <c r="B15" s="57" t="s">
        <v>124</v>
      </c>
      <c r="C15" s="196">
        <f>SUM('Revenues &amp; Expenses'!$AU$12:$AU$18)-C14</f>
        <v>3523432.5433313623</v>
      </c>
      <c r="D15" s="196">
        <f>SUM('Revenues &amp; Expenses'!$AU$19:$AU$30)-D14</f>
        <v>6147102.8827927578</v>
      </c>
      <c r="E15" s="196">
        <f>SUM('Revenues &amp; Expenses'!$AU$31:$AU$42)-E14</f>
        <v>6266050.4373133499</v>
      </c>
      <c r="F15" s="196">
        <f>SUM('Revenues &amp; Expenses'!$AU$43:$AU$54)-F14</f>
        <v>6154027.3097476438</v>
      </c>
      <c r="G15" s="196">
        <f>SUM('Revenues &amp; Expenses'!$AU$55:$AU$66)-G14</f>
        <v>6308855.1618932504</v>
      </c>
      <c r="H15" s="196">
        <f>SUM('Revenues &amp; Expenses'!$AU$67:$AU$78)-H14</f>
        <v>6457779.6275409907</v>
      </c>
      <c r="I15" s="196">
        <f>SUM('Revenues &amp; Expenses'!$AU$79:$AU$90)-I14</f>
        <v>6598022.8885136731</v>
      </c>
      <c r="J15" s="196">
        <f>SUM('Revenues &amp; Expenses'!$AU$91:$AU$102)-J14</f>
        <v>6754807.0207064413</v>
      </c>
      <c r="K15" s="196">
        <f>SUM('Revenues &amp; Expenses'!$AU$103:$AU$114)-K14</f>
        <v>6931490.7335596886</v>
      </c>
      <c r="L15" s="196">
        <f>SUM('Revenues &amp; Expenses'!$AU$115:$AU$126)-L14</f>
        <v>7099934.6610594876</v>
      </c>
      <c r="M15" s="196">
        <f>SUM('Revenues &amp; Expenses'!$AU$127:$AU$138)-M14</f>
        <v>7256490.1767218374</v>
      </c>
      <c r="N15" s="196">
        <f>SUM('Revenues &amp; Expenses'!$AU$139:$AU$150)-N14</f>
        <v>7430854.7380989902</v>
      </c>
      <c r="O15" s="196">
        <f>SUM('Revenues &amp; Expenses'!$AU$151:$AU$162)-O14</f>
        <v>7627679.2206946667</v>
      </c>
      <c r="P15" s="196">
        <f>SUM('Revenues &amp; Expenses'!$AU$163:$AU$174)-P14</f>
        <v>7815381.4887448587</v>
      </c>
      <c r="Q15" s="196">
        <f>SUM('Revenues &amp; Expenses'!$AU$175:$AU$186)-Q14</f>
        <v>7989501.9371761866</v>
      </c>
      <c r="R15" s="196">
        <f>SUM('Revenues &amp; Expenses'!$AU$187:$AU$198)-R14</f>
        <v>8183758.6276165284</v>
      </c>
      <c r="S15" s="196">
        <f>SUM('Revenues &amp; Expenses'!$AU$199:$AU$210)-S14</f>
        <v>8403426.3860505242</v>
      </c>
      <c r="T15" s="196">
        <f>SUM('Revenues &amp; Expenses'!$AU$211:$AU$222)-T14</f>
        <v>8613114.6667577848</v>
      </c>
      <c r="U15" s="196">
        <f>SUM('Revenues &amp; Expenses'!$AU$223:$AU$234)-U14</f>
        <v>8807276.8765971735</v>
      </c>
      <c r="V15" s="196">
        <f>SUM('Revenues &amp; Expenses'!$AU$235:$AU$246)-V14</f>
        <v>9017844.1710040644</v>
      </c>
      <c r="W15" s="492">
        <f>SUM('Revenues &amp; Expenses'!$AU$247:$AU$258)-W14</f>
        <v>8698751.926111063</v>
      </c>
      <c r="X15" s="193"/>
      <c r="Y15" s="193"/>
    </row>
    <row r="16" spans="2:25">
      <c r="B16" s="57" t="s">
        <v>125</v>
      </c>
      <c r="C16" s="193">
        <f>C14+C15</f>
        <v>20765827.558558948</v>
      </c>
      <c r="D16" s="193">
        <f t="shared" ref="D16:W16" si="5">D14+D15</f>
        <v>21314452.638296209</v>
      </c>
      <c r="E16" s="193">
        <f t="shared" si="5"/>
        <v>20654864.919892661</v>
      </c>
      <c r="F16" s="193">
        <f t="shared" si="5"/>
        <v>20185067.331444196</v>
      </c>
      <c r="G16" s="193">
        <f t="shared" si="5"/>
        <v>20401349.951741528</v>
      </c>
      <c r="H16" s="193">
        <f t="shared" si="5"/>
        <v>20510869.450244438</v>
      </c>
      <c r="I16" s="193">
        <f t="shared" si="5"/>
        <v>20466248.97752057</v>
      </c>
      <c r="J16" s="193">
        <f t="shared" si="5"/>
        <v>20716209.958513342</v>
      </c>
      <c r="K16" s="193">
        <f t="shared" si="5"/>
        <v>21233479.442525208</v>
      </c>
      <c r="L16" s="193">
        <f t="shared" si="5"/>
        <v>21409056.884356041</v>
      </c>
      <c r="M16" s="193">
        <f t="shared" si="5"/>
        <v>21347844.603135634</v>
      </c>
      <c r="N16" s="193">
        <f t="shared" si="5"/>
        <v>21515075.650181752</v>
      </c>
      <c r="O16" s="193">
        <f t="shared" si="5"/>
        <v>21929667.929660186</v>
      </c>
      <c r="P16" s="193">
        <f t="shared" si="5"/>
        <v>22124503.712041412</v>
      </c>
      <c r="Q16" s="193">
        <f t="shared" si="5"/>
        <v>22080856.363589983</v>
      </c>
      <c r="R16" s="193">
        <f t="shared" si="5"/>
        <v>22267979.53969929</v>
      </c>
      <c r="S16" s="193">
        <f t="shared" si="5"/>
        <v>22705415.095016044</v>
      </c>
      <c r="T16" s="193">
        <f t="shared" si="5"/>
        <v>22922236.890054338</v>
      </c>
      <c r="U16" s="193">
        <f t="shared" si="5"/>
        <v>22898631.30301097</v>
      </c>
      <c r="V16" s="193">
        <f t="shared" si="5"/>
        <v>23102065.083086826</v>
      </c>
      <c r="W16" s="487">
        <f t="shared" si="5"/>
        <v>23000740.635076582</v>
      </c>
      <c r="X16" s="194"/>
    </row>
    <row r="17" spans="2:27"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  <c r="R17" s="193"/>
      <c r="S17" s="193"/>
      <c r="T17" s="193"/>
      <c r="U17" s="193"/>
      <c r="V17" s="193"/>
      <c r="W17" s="487"/>
      <c r="X17" s="194"/>
    </row>
    <row r="18" spans="2:27">
      <c r="B18" s="57" t="s">
        <v>119</v>
      </c>
      <c r="C18" s="193">
        <f>C12-C16</f>
        <v>7174168.5260357782</v>
      </c>
      <c r="D18" s="193">
        <f t="shared" ref="D18:W18" si="6">D12-D16</f>
        <v>4968390.5080660954</v>
      </c>
      <c r="E18" s="193">
        <f t="shared" si="6"/>
        <v>4910534.2341600731</v>
      </c>
      <c r="F18" s="193">
        <f t="shared" si="6"/>
        <v>5160587.8302989677</v>
      </c>
      <c r="G18" s="193">
        <f t="shared" si="6"/>
        <v>5267369.2023112066</v>
      </c>
      <c r="H18" s="193">
        <f t="shared" si="6"/>
        <v>5651013.6961178668</v>
      </c>
      <c r="I18" s="193">
        <f t="shared" si="6"/>
        <v>6088250.1765321642</v>
      </c>
      <c r="J18" s="193">
        <f t="shared" si="6"/>
        <v>6330445.2032298222</v>
      </c>
      <c r="K18" s="193">
        <f t="shared" si="6"/>
        <v>6680559.7115275264</v>
      </c>
      <c r="L18" s="193">
        <f t="shared" si="6"/>
        <v>7296766.2620062642</v>
      </c>
      <c r="M18" s="193">
        <f t="shared" si="6"/>
        <v>7751854.5509171002</v>
      </c>
      <c r="N18" s="193">
        <f t="shared" si="6"/>
        <v>8003699.5115614124</v>
      </c>
      <c r="O18" s="193">
        <f t="shared" si="6"/>
        <v>8423731.2243925482</v>
      </c>
      <c r="P18" s="193">
        <f t="shared" si="6"/>
        <v>8992959.4343208931</v>
      </c>
      <c r="Q18" s="193">
        <f t="shared" si="6"/>
        <v>9362442.7904627509</v>
      </c>
      <c r="R18" s="193">
        <f t="shared" si="6"/>
        <v>9564155.6220438741</v>
      </c>
      <c r="S18" s="193">
        <f t="shared" si="6"/>
        <v>9976464.0590366907</v>
      </c>
      <c r="T18" s="193">
        <f t="shared" si="6"/>
        <v>10553946.256307967</v>
      </c>
      <c r="U18" s="193">
        <f t="shared" si="6"/>
        <v>10888267.851041764</v>
      </c>
      <c r="V18" s="193">
        <f t="shared" si="6"/>
        <v>10465090.078656338</v>
      </c>
      <c r="W18" s="487">
        <f t="shared" si="6"/>
        <v>10845378.518976152</v>
      </c>
      <c r="X18" s="194"/>
      <c r="Y18" s="522">
        <f>SUM(C18:W18)</f>
        <v>164356075.24800327</v>
      </c>
      <c r="Z18" s="523">
        <f>Z32</f>
        <v>164356075.24800327</v>
      </c>
      <c r="AA18" s="532">
        <f>Y18-Z18</f>
        <v>0</v>
      </c>
    </row>
    <row r="19" spans="2:27">
      <c r="Y19" s="524"/>
      <c r="Z19" s="525"/>
      <c r="AA19" s="37"/>
    </row>
    <row r="20" spans="2:27">
      <c r="B20" s="57" t="s">
        <v>136</v>
      </c>
      <c r="Y20" s="524"/>
      <c r="Z20" s="525"/>
      <c r="AA20" s="37"/>
    </row>
    <row r="21" spans="2:27">
      <c r="B21" s="204" t="s">
        <v>137</v>
      </c>
      <c r="C21" s="194">
        <f>'Debt Amortization'!H13</f>
        <v>0</v>
      </c>
      <c r="D21" s="194">
        <f ca="1">'Debt Amortization'!I13</f>
        <v>10334933.155700158</v>
      </c>
      <c r="E21" s="194">
        <f ca="1">'Debt Amortization'!J13</f>
        <v>10127163.060530461</v>
      </c>
      <c r="F21" s="194">
        <f ca="1">'Debt Amortization'!K13</f>
        <v>9901214.8485748805</v>
      </c>
      <c r="G21" s="194">
        <f ca="1">'Debt Amortization'!L13</f>
        <v>9655498.0891720131</v>
      </c>
      <c r="H21" s="194">
        <f ca="1">'Debt Amortization'!M13</f>
        <v>9388283.202500036</v>
      </c>
      <c r="I21" s="194">
        <f ca="1">'Debt Amortization'!N13</f>
        <v>9097689.2852082644</v>
      </c>
      <c r="J21" s="194">
        <f ca="1">'Debt Amortization'!O13</f>
        <v>8781670.870895002</v>
      </c>
      <c r="K21" s="194">
        <f ca="1">'Debt Amortization'!P13</f>
        <v>8438003.5322397444</v>
      </c>
      <c r="L21" s="194">
        <f ca="1">'Debt Amortization'!Q13</f>
        <v>8064268.2234443938</v>
      </c>
      <c r="M21" s="194">
        <f ca="1">'Debt Amortization'!R13</f>
        <v>7657834.252771154</v>
      </c>
      <c r="N21" s="194">
        <f ca="1">'Debt Amortization'!S13</f>
        <v>7215840.7653223518</v>
      </c>
      <c r="O21" s="194">
        <f ca="1">'Debt Amortization'!T13</f>
        <v>6735176.6057208469</v>
      </c>
      <c r="P21" s="194">
        <f ca="1">'Debt Amortization'!U13</f>
        <v>6212458.4189462382</v>
      </c>
      <c r="Q21" s="194">
        <f ca="1">'Debt Amortization'!V13</f>
        <v>5644006.8351804418</v>
      </c>
      <c r="R21" s="194">
        <f ca="1">'Debt Amortization'!W13</f>
        <v>5025820.5710297013</v>
      </c>
      <c r="S21" s="194">
        <f ca="1">'Debt Amortization'!X13</f>
        <v>4353548.2648237646</v>
      </c>
      <c r="T21" s="194">
        <f ca="1">'Debt Amortization'!Y13</f>
        <v>3622457.8477431866</v>
      </c>
      <c r="U21" s="194">
        <f ca="1">'Debt Amortization'!Z13</f>
        <v>2827403.2351806965</v>
      </c>
      <c r="V21" s="194">
        <f ca="1">'Debt Amortization'!AA13</f>
        <v>1962788.1038798874</v>
      </c>
      <c r="W21" s="491">
        <f ca="1">'Debt Amortization'!AB13</f>
        <v>1022526.4998815074</v>
      </c>
      <c r="Y21" s="524"/>
      <c r="Z21" s="525"/>
      <c r="AA21" s="37"/>
    </row>
    <row r="22" spans="2:27">
      <c r="B22" s="204" t="s">
        <v>139</v>
      </c>
      <c r="C22" s="194">
        <f>'Debt Amortization'!H21</f>
        <v>0</v>
      </c>
      <c r="D22" s="194">
        <f ca="1">'Debt Amortization'!I21</f>
        <v>101677.43426749793</v>
      </c>
      <c r="E22" s="194">
        <f ca="1">'Debt Amortization'!J21</f>
        <v>101677.43426749793</v>
      </c>
      <c r="F22" s="194">
        <f ca="1">'Debt Amortization'!K21</f>
        <v>101677.43426749793</v>
      </c>
      <c r="G22" s="194">
        <f ca="1">'Debt Amortization'!L21</f>
        <v>101677.43426749793</v>
      </c>
      <c r="H22" s="194">
        <f ca="1">'Debt Amortization'!M21</f>
        <v>101677.43426749793</v>
      </c>
      <c r="I22" s="194">
        <f ca="1">'Debt Amortization'!N21</f>
        <v>101677.43426749793</v>
      </c>
      <c r="J22" s="194">
        <f ca="1">'Debt Amortization'!O21</f>
        <v>101677.43426749793</v>
      </c>
      <c r="K22" s="194">
        <f ca="1">'Debt Amortization'!P21</f>
        <v>101677.43426749793</v>
      </c>
      <c r="L22" s="194">
        <f ca="1">'Debt Amortization'!Q21</f>
        <v>101677.4342674979</v>
      </c>
      <c r="M22" s="194">
        <f ca="1">'Debt Amortization'!R21</f>
        <v>101677.43426749793</v>
      </c>
      <c r="N22" s="194">
        <f ca="1">'Debt Amortization'!S21</f>
        <v>101677.43426749793</v>
      </c>
      <c r="O22" s="194">
        <f ca="1">'Debt Amortization'!T21</f>
        <v>101677.43426749794</v>
      </c>
      <c r="P22" s="194">
        <f ca="1">'Debt Amortization'!U21</f>
        <v>101677.43426749794</v>
      </c>
      <c r="Q22" s="194">
        <f ca="1">'Debt Amortization'!V21</f>
        <v>101677.43426749793</v>
      </c>
      <c r="R22" s="194">
        <f ca="1">'Debt Amortization'!W21</f>
        <v>101677.43426749793</v>
      </c>
      <c r="S22" s="194">
        <f ca="1">'Debt Amortization'!X21</f>
        <v>101677.43426749794</v>
      </c>
      <c r="T22" s="194">
        <f ca="1">'Debt Amortization'!Y21</f>
        <v>76340.563700623461</v>
      </c>
      <c r="U22" s="194">
        <f ca="1">'Debt Amortization'!Z21</f>
        <v>67894.940178331963</v>
      </c>
      <c r="V22" s="194">
        <f ca="1">'Debt Amortization'!AA21</f>
        <v>34002.463132961078</v>
      </c>
      <c r="W22" s="491">
        <f>'Debt Amortization'!AB21</f>
        <v>0</v>
      </c>
      <c r="Y22" s="524"/>
      <c r="Z22" s="525"/>
      <c r="AA22" s="37"/>
    </row>
    <row r="23" spans="2:27">
      <c r="B23" s="57" t="s">
        <v>138</v>
      </c>
      <c r="C23" s="196">
        <v>0</v>
      </c>
      <c r="D23" s="197">
        <v>0</v>
      </c>
      <c r="E23" s="197">
        <v>0</v>
      </c>
      <c r="F23" s="197">
        <v>0</v>
      </c>
      <c r="G23" s="197">
        <v>0</v>
      </c>
      <c r="H23" s="197">
        <v>0</v>
      </c>
      <c r="I23" s="197">
        <v>0</v>
      </c>
      <c r="J23" s="197">
        <v>0</v>
      </c>
      <c r="K23" s="197">
        <v>0</v>
      </c>
      <c r="L23" s="197">
        <v>0</v>
      </c>
      <c r="M23" s="197">
        <v>0</v>
      </c>
      <c r="N23" s="197">
        <v>0</v>
      </c>
      <c r="O23" s="197">
        <v>0</v>
      </c>
      <c r="P23" s="197">
        <v>0</v>
      </c>
      <c r="Q23" s="197">
        <v>0</v>
      </c>
      <c r="R23" s="197">
        <v>0</v>
      </c>
      <c r="S23" s="197">
        <v>0</v>
      </c>
      <c r="T23" s="197">
        <v>0</v>
      </c>
      <c r="U23" s="197">
        <v>0</v>
      </c>
      <c r="V23" s="197">
        <v>0</v>
      </c>
      <c r="W23" s="494">
        <v>0</v>
      </c>
      <c r="Y23" s="524"/>
      <c r="Z23" s="525"/>
      <c r="AA23" s="37"/>
    </row>
    <row r="24" spans="2:27">
      <c r="C24" s="193">
        <f>SUM(C21:C23)</f>
        <v>0</v>
      </c>
      <c r="D24" s="193">
        <f t="shared" ref="D24:W24" ca="1" si="7">SUM(D21:D23)</f>
        <v>10436610.589967657</v>
      </c>
      <c r="E24" s="193">
        <f t="shared" ca="1" si="7"/>
        <v>10228840.49479796</v>
      </c>
      <c r="F24" s="193">
        <f t="shared" ca="1" si="7"/>
        <v>10002892.282842379</v>
      </c>
      <c r="G24" s="193">
        <f t="shared" ca="1" si="7"/>
        <v>9757175.5234395117</v>
      </c>
      <c r="H24" s="193">
        <f t="shared" ca="1" si="7"/>
        <v>9489960.6367675345</v>
      </c>
      <c r="I24" s="193">
        <f t="shared" ca="1" si="7"/>
        <v>9199366.7194757629</v>
      </c>
      <c r="J24" s="193">
        <f t="shared" ca="1" si="7"/>
        <v>8883348.3051625006</v>
      </c>
      <c r="K24" s="193">
        <f t="shared" ca="1" si="7"/>
        <v>8539680.966507243</v>
      </c>
      <c r="L24" s="193">
        <f t="shared" ca="1" si="7"/>
        <v>8165945.6577118915</v>
      </c>
      <c r="M24" s="193">
        <f t="shared" ca="1" si="7"/>
        <v>7759511.6870386517</v>
      </c>
      <c r="N24" s="193">
        <f t="shared" ca="1" si="7"/>
        <v>7317518.1995898494</v>
      </c>
      <c r="O24" s="193">
        <f t="shared" ca="1" si="7"/>
        <v>6836854.0399883445</v>
      </c>
      <c r="P24" s="193">
        <f t="shared" ca="1" si="7"/>
        <v>6314135.8532137359</v>
      </c>
      <c r="Q24" s="193">
        <f t="shared" ca="1" si="7"/>
        <v>5745684.2694479395</v>
      </c>
      <c r="R24" s="193">
        <f t="shared" ca="1" si="7"/>
        <v>5127498.0052971989</v>
      </c>
      <c r="S24" s="193">
        <f t="shared" ca="1" si="7"/>
        <v>4455225.6990912622</v>
      </c>
      <c r="T24" s="193">
        <f t="shared" ca="1" si="7"/>
        <v>3698798.41144381</v>
      </c>
      <c r="U24" s="193">
        <f t="shared" ca="1" si="7"/>
        <v>2895298.1753590284</v>
      </c>
      <c r="V24" s="193">
        <f t="shared" ca="1" si="7"/>
        <v>1996790.5670128486</v>
      </c>
      <c r="W24" s="487">
        <f t="shared" ca="1" si="7"/>
        <v>1022526.4998815074</v>
      </c>
      <c r="Y24" s="524">
        <f ca="1">SUM(C24:W24)</f>
        <v>137873662.58403662</v>
      </c>
      <c r="Z24" s="526">
        <f ca="1">Z33</f>
        <v>137873662.58403662</v>
      </c>
      <c r="AA24" s="533">
        <f ca="1">Y24-Z24</f>
        <v>0</v>
      </c>
    </row>
    <row r="25" spans="2:27">
      <c r="Y25" s="524"/>
      <c r="Z25" s="525"/>
      <c r="AA25" s="37"/>
    </row>
    <row r="26" spans="2:27">
      <c r="B26" s="57" t="s">
        <v>145</v>
      </c>
      <c r="C26" s="194">
        <v>3333003.502667421</v>
      </c>
      <c r="D26" s="194">
        <v>5713720.2902870057</v>
      </c>
      <c r="E26" s="194">
        <v>5713720.2902870057</v>
      </c>
      <c r="F26" s="194">
        <v>5713720.2902870057</v>
      </c>
      <c r="G26" s="194">
        <v>5713720.2902870057</v>
      </c>
      <c r="H26" s="194">
        <v>5713720.2902870057</v>
      </c>
      <c r="I26" s="194">
        <v>5713720.2902870057</v>
      </c>
      <c r="J26" s="194">
        <v>5713720.2902870057</v>
      </c>
      <c r="K26" s="194">
        <v>5713720.2902870057</v>
      </c>
      <c r="L26" s="194">
        <v>5713720.2902870057</v>
      </c>
      <c r="M26" s="194">
        <v>5713720.2902870057</v>
      </c>
      <c r="N26" s="194">
        <v>5713720.2902870057</v>
      </c>
      <c r="O26" s="194">
        <v>5713720.2902870057</v>
      </c>
      <c r="P26" s="194">
        <v>5713720.2902870057</v>
      </c>
      <c r="Q26" s="194">
        <v>5713720.2902870057</v>
      </c>
      <c r="R26" s="194">
        <v>5713720.2902870057</v>
      </c>
      <c r="S26" s="194">
        <v>5713720.2902870057</v>
      </c>
      <c r="T26" s="194">
        <v>5713720.2902870057</v>
      </c>
      <c r="U26" s="194">
        <v>5713720.2902870057</v>
      </c>
      <c r="V26" s="194">
        <v>5713720.2902870057</v>
      </c>
      <c r="W26" s="491">
        <v>5713720.2902870057</v>
      </c>
      <c r="Y26" s="524"/>
      <c r="Z26" s="525"/>
      <c r="AA26" s="37"/>
    </row>
    <row r="27" spans="2:27">
      <c r="C27" s="194"/>
      <c r="D27" s="194"/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491"/>
      <c r="Y27" s="524"/>
      <c r="Z27" s="525"/>
      <c r="AA27" s="37"/>
    </row>
    <row r="28" spans="2:27" ht="13.8" thickBot="1">
      <c r="B28" s="57" t="s">
        <v>150</v>
      </c>
      <c r="C28" s="199">
        <f t="shared" ref="C28:W28" si="8">C18-C24-C26</f>
        <v>3841165.0233683572</v>
      </c>
      <c r="D28" s="199">
        <f t="shared" ca="1" si="8"/>
        <v>-11181940.372188568</v>
      </c>
      <c r="E28" s="199">
        <f t="shared" ca="1" si="8"/>
        <v>-11032026.550924893</v>
      </c>
      <c r="F28" s="199">
        <f t="shared" ca="1" si="8"/>
        <v>-10556024.742830418</v>
      </c>
      <c r="G28" s="199">
        <f t="shared" ca="1" si="8"/>
        <v>-10203526.611415312</v>
      </c>
      <c r="H28" s="199">
        <f t="shared" ca="1" si="8"/>
        <v>-9552667.2309366725</v>
      </c>
      <c r="I28" s="199">
        <f t="shared" ca="1" si="8"/>
        <v>-8824836.8332306035</v>
      </c>
      <c r="J28" s="199">
        <f t="shared" ca="1" si="8"/>
        <v>-8266623.3922196841</v>
      </c>
      <c r="K28" s="199">
        <f t="shared" ca="1" si="8"/>
        <v>-7572841.5452667223</v>
      </c>
      <c r="L28" s="199">
        <f t="shared" ca="1" si="8"/>
        <v>-6582899.685992633</v>
      </c>
      <c r="M28" s="199">
        <f t="shared" ca="1" si="8"/>
        <v>-5721377.4264085572</v>
      </c>
      <c r="N28" s="199">
        <f t="shared" ca="1" si="8"/>
        <v>-5027538.9783154428</v>
      </c>
      <c r="O28" s="199">
        <f t="shared" ca="1" si="8"/>
        <v>-4126843.105882802</v>
      </c>
      <c r="P28" s="199">
        <f t="shared" ca="1" si="8"/>
        <v>-3034896.7091798484</v>
      </c>
      <c r="Q28" s="199">
        <f t="shared" ca="1" si="8"/>
        <v>-2096961.7692721942</v>
      </c>
      <c r="R28" s="199">
        <f t="shared" ca="1" si="8"/>
        <v>-1277062.6735403305</v>
      </c>
      <c r="S28" s="199">
        <f t="shared" ca="1" si="8"/>
        <v>-192481.93034157716</v>
      </c>
      <c r="T28" s="199">
        <f t="shared" ca="1" si="8"/>
        <v>1141427.5545771513</v>
      </c>
      <c r="U28" s="199">
        <f t="shared" ca="1" si="8"/>
        <v>2279249.3853957299</v>
      </c>
      <c r="V28" s="199">
        <f t="shared" ca="1" si="8"/>
        <v>2754579.2213564841</v>
      </c>
      <c r="W28" s="495">
        <f t="shared" ca="1" si="8"/>
        <v>4109131.7288076384</v>
      </c>
      <c r="X28" s="193"/>
      <c r="Y28" s="524"/>
      <c r="Z28" s="525"/>
      <c r="AA28" s="37"/>
    </row>
    <row r="29" spans="2:27" ht="13.8" thickTop="1">
      <c r="Y29" s="35"/>
      <c r="Z29" s="525"/>
      <c r="AA29" s="37"/>
    </row>
    <row r="30" spans="2:27" ht="13.8" thickBot="1">
      <c r="C30" s="448"/>
      <c r="D30" s="448"/>
      <c r="Y30" s="35"/>
      <c r="Z30" s="525"/>
      <c r="AA30" s="37"/>
    </row>
    <row r="31" spans="2:27" ht="13.8" thickBot="1">
      <c r="B31" s="205" t="s">
        <v>149</v>
      </c>
      <c r="C31" s="200">
        <v>36891</v>
      </c>
      <c r="D31" s="200">
        <f>C31+365.25</f>
        <v>37256.25</v>
      </c>
      <c r="E31" s="200">
        <f t="shared" ref="E31:W31" si="9">D31+365.25</f>
        <v>37621.5</v>
      </c>
      <c r="F31" s="200">
        <f t="shared" si="9"/>
        <v>37986.75</v>
      </c>
      <c r="G31" s="200">
        <f t="shared" si="9"/>
        <v>38352</v>
      </c>
      <c r="H31" s="200">
        <f t="shared" si="9"/>
        <v>38717.25</v>
      </c>
      <c r="I31" s="200">
        <f t="shared" si="9"/>
        <v>39082.5</v>
      </c>
      <c r="J31" s="200">
        <f t="shared" si="9"/>
        <v>39447.75</v>
      </c>
      <c r="K31" s="200">
        <f t="shared" si="9"/>
        <v>39813</v>
      </c>
      <c r="L31" s="200">
        <f t="shared" si="9"/>
        <v>40178.25</v>
      </c>
      <c r="M31" s="200">
        <f t="shared" si="9"/>
        <v>40543.5</v>
      </c>
      <c r="N31" s="200">
        <f t="shared" si="9"/>
        <v>40908.75</v>
      </c>
      <c r="O31" s="200">
        <f t="shared" si="9"/>
        <v>41274</v>
      </c>
      <c r="P31" s="200">
        <f t="shared" si="9"/>
        <v>41639.25</v>
      </c>
      <c r="Q31" s="200">
        <f t="shared" si="9"/>
        <v>42004.5</v>
      </c>
      <c r="R31" s="200">
        <f t="shared" si="9"/>
        <v>42369.75</v>
      </c>
      <c r="S31" s="200">
        <f t="shared" si="9"/>
        <v>42735</v>
      </c>
      <c r="T31" s="200">
        <f t="shared" si="9"/>
        <v>43100.25</v>
      </c>
      <c r="U31" s="200">
        <f t="shared" si="9"/>
        <v>43465.5</v>
      </c>
      <c r="V31" s="200">
        <f t="shared" si="9"/>
        <v>43830.75</v>
      </c>
      <c r="W31" s="490">
        <f t="shared" si="9"/>
        <v>44196</v>
      </c>
      <c r="Y31" s="35"/>
      <c r="Z31" s="525"/>
      <c r="AA31" s="37"/>
    </row>
    <row r="32" spans="2:27" s="194" customFormat="1">
      <c r="B32" s="202" t="s">
        <v>119</v>
      </c>
      <c r="C32" s="194">
        <f>C18</f>
        <v>7174168.5260357782</v>
      </c>
      <c r="D32" s="194">
        <f t="shared" ref="D32:W32" si="10">D18</f>
        <v>4968390.5080660954</v>
      </c>
      <c r="E32" s="194">
        <f t="shared" si="10"/>
        <v>4910534.2341600731</v>
      </c>
      <c r="F32" s="194">
        <f t="shared" si="10"/>
        <v>5160587.8302989677</v>
      </c>
      <c r="G32" s="194">
        <f t="shared" si="10"/>
        <v>5267369.2023112066</v>
      </c>
      <c r="H32" s="194">
        <f t="shared" si="10"/>
        <v>5651013.6961178668</v>
      </c>
      <c r="I32" s="194">
        <f t="shared" si="10"/>
        <v>6088250.1765321642</v>
      </c>
      <c r="J32" s="194">
        <f t="shared" si="10"/>
        <v>6330445.2032298222</v>
      </c>
      <c r="K32" s="194">
        <f t="shared" si="10"/>
        <v>6680559.7115275264</v>
      </c>
      <c r="L32" s="194">
        <f t="shared" si="10"/>
        <v>7296766.2620062642</v>
      </c>
      <c r="M32" s="194">
        <f t="shared" si="10"/>
        <v>7751854.5509171002</v>
      </c>
      <c r="N32" s="194">
        <f t="shared" si="10"/>
        <v>8003699.5115614124</v>
      </c>
      <c r="O32" s="194">
        <f t="shared" si="10"/>
        <v>8423731.2243925482</v>
      </c>
      <c r="P32" s="194">
        <f t="shared" si="10"/>
        <v>8992959.4343208931</v>
      </c>
      <c r="Q32" s="194">
        <f t="shared" si="10"/>
        <v>9362442.7904627509</v>
      </c>
      <c r="R32" s="194">
        <f t="shared" si="10"/>
        <v>9564155.6220438741</v>
      </c>
      <c r="S32" s="194">
        <f t="shared" si="10"/>
        <v>9976464.0590366907</v>
      </c>
      <c r="T32" s="194">
        <f t="shared" si="10"/>
        <v>10553946.256307967</v>
      </c>
      <c r="U32" s="194">
        <f t="shared" si="10"/>
        <v>10888267.851041764</v>
      </c>
      <c r="V32" s="194">
        <f t="shared" si="10"/>
        <v>10465090.078656338</v>
      </c>
      <c r="W32" s="491">
        <f t="shared" si="10"/>
        <v>10845378.518976152</v>
      </c>
      <c r="Y32" s="524">
        <f>SUM(C32:W32)</f>
        <v>164356075.24800327</v>
      </c>
      <c r="Z32" s="527">
        <f>SUM('Revenues &amp; Expenses'!AV12:AV258)</f>
        <v>164356075.24800327</v>
      </c>
      <c r="AA32" s="528">
        <f>Y32-Z32</f>
        <v>0</v>
      </c>
    </row>
    <row r="33" spans="2:27">
      <c r="B33" s="57" t="s">
        <v>221</v>
      </c>
      <c r="C33" s="207">
        <f>C24</f>
        <v>0</v>
      </c>
      <c r="D33" s="207">
        <f t="shared" ref="D33:W33" ca="1" si="11">D24</f>
        <v>10436610.589967657</v>
      </c>
      <c r="E33" s="207">
        <f t="shared" ca="1" si="11"/>
        <v>10228840.49479796</v>
      </c>
      <c r="F33" s="207">
        <f t="shared" ca="1" si="11"/>
        <v>10002892.282842379</v>
      </c>
      <c r="G33" s="207">
        <f t="shared" ca="1" si="11"/>
        <v>9757175.5234395117</v>
      </c>
      <c r="H33" s="207">
        <f t="shared" ca="1" si="11"/>
        <v>9489960.6367675345</v>
      </c>
      <c r="I33" s="207">
        <f t="shared" ca="1" si="11"/>
        <v>9199366.7194757629</v>
      </c>
      <c r="J33" s="207">
        <f t="shared" ca="1" si="11"/>
        <v>8883348.3051625006</v>
      </c>
      <c r="K33" s="207">
        <f t="shared" ca="1" si="11"/>
        <v>8539680.966507243</v>
      </c>
      <c r="L33" s="207">
        <f t="shared" ca="1" si="11"/>
        <v>8165945.6577118915</v>
      </c>
      <c r="M33" s="207">
        <f t="shared" ca="1" si="11"/>
        <v>7759511.6870386517</v>
      </c>
      <c r="N33" s="207">
        <f t="shared" ca="1" si="11"/>
        <v>7317518.1995898494</v>
      </c>
      <c r="O33" s="207">
        <f t="shared" ca="1" si="11"/>
        <v>6836854.0399883445</v>
      </c>
      <c r="P33" s="207">
        <f t="shared" ca="1" si="11"/>
        <v>6314135.8532137359</v>
      </c>
      <c r="Q33" s="207">
        <f t="shared" ca="1" si="11"/>
        <v>5745684.2694479395</v>
      </c>
      <c r="R33" s="207">
        <f t="shared" ca="1" si="11"/>
        <v>5127498.0052971989</v>
      </c>
      <c r="S33" s="207">
        <f t="shared" ca="1" si="11"/>
        <v>4455225.6990912622</v>
      </c>
      <c r="T33" s="207">
        <f t="shared" ca="1" si="11"/>
        <v>3698798.41144381</v>
      </c>
      <c r="U33" s="207">
        <f t="shared" ca="1" si="11"/>
        <v>2895298.1753590284</v>
      </c>
      <c r="V33" s="207">
        <f t="shared" ca="1" si="11"/>
        <v>1996790.5670128486</v>
      </c>
      <c r="W33" s="207">
        <f t="shared" ca="1" si="11"/>
        <v>1022526.4998815074</v>
      </c>
      <c r="Y33" s="524">
        <f ca="1">SUM(C33:W33)</f>
        <v>137873662.58403662</v>
      </c>
      <c r="Z33" s="527">
        <f ca="1">SUM('Debt Amortization'!H13:AB13)+SUM('Debt Amortization'!H21:AA21)</f>
        <v>137873662.58403662</v>
      </c>
      <c r="AA33" s="528">
        <f ca="1">Y33-Z33</f>
        <v>0</v>
      </c>
    </row>
    <row r="34" spans="2:27">
      <c r="B34" s="57" t="s">
        <v>222</v>
      </c>
      <c r="C34" s="206">
        <f>'Debt Amortization'!H8</f>
        <v>0</v>
      </c>
      <c r="D34" s="206">
        <f ca="1">'Debt Amortization'!I8</f>
        <v>2374746.1277370825</v>
      </c>
      <c r="E34" s="206">
        <f ca="1">'Debt Amortization'!J8</f>
        <v>2582516.2229067814</v>
      </c>
      <c r="F34" s="206">
        <f ca="1">'Debt Amortization'!K8</f>
        <v>2808464.4348623604</v>
      </c>
      <c r="G34" s="206">
        <f ca="1">'Debt Amortization'!L8</f>
        <v>3054181.1942652259</v>
      </c>
      <c r="H34" s="206">
        <f ca="1">'Debt Amortization'!M8</f>
        <v>3321396.0809372067</v>
      </c>
      <c r="I34" s="206">
        <f ca="1">'Debt Amortization'!N8</f>
        <v>3611989.9982289765</v>
      </c>
      <c r="J34" s="206">
        <f ca="1">'Debt Amortization'!O8</f>
        <v>3928008.4125422426</v>
      </c>
      <c r="K34" s="206">
        <f ca="1">'Debt Amortization'!P8</f>
        <v>4271675.7511974927</v>
      </c>
      <c r="L34" s="206">
        <f ca="1">'Debt Amortization'!Q8</f>
        <v>4645411.0599928489</v>
      </c>
      <c r="M34" s="206">
        <f ca="1">'Debt Amortization'!R8</f>
        <v>5051845.030666085</v>
      </c>
      <c r="N34" s="206">
        <f ca="1">'Debt Amortization'!S8</f>
        <v>5493838.5181148862</v>
      </c>
      <c r="O34" s="206">
        <f ca="1">'Debt Amortization'!T8</f>
        <v>5974502.6777163949</v>
      </c>
      <c r="P34" s="206">
        <f ca="1">'Debt Amortization'!U8</f>
        <v>6497220.8644910008</v>
      </c>
      <c r="Q34" s="206">
        <f ca="1">'Debt Amortization'!V8</f>
        <v>7065672.448256799</v>
      </c>
      <c r="R34" s="206">
        <f ca="1">'Debt Amortization'!W8</f>
        <v>7683858.7124075396</v>
      </c>
      <c r="S34" s="206">
        <f ca="1">'Debt Amortization'!X8</f>
        <v>8356131.0186134782</v>
      </c>
      <c r="T34" s="206">
        <f ca="1">'Debt Amortization'!Y8</f>
        <v>9087221.4356940575</v>
      </c>
      <c r="U34" s="206">
        <f ca="1">'Debt Amortization'!Z8</f>
        <v>9882276.0482565444</v>
      </c>
      <c r="V34" s="206">
        <f ca="1">'Debt Amortization'!AA8</f>
        <v>10746891.179557351</v>
      </c>
      <c r="W34" s="496">
        <f ca="1">'Debt Amortization'!AB8</f>
        <v>11687152.783555735</v>
      </c>
      <c r="Y34" s="529">
        <f ca="1">SUM(C34:W34)</f>
        <v>118125000.00000007</v>
      </c>
      <c r="Z34" s="530">
        <f>'Debt Amortization'!H7</f>
        <v>118125000</v>
      </c>
      <c r="AA34" s="531">
        <f ca="1">Y34-Z34</f>
        <v>0</v>
      </c>
    </row>
    <row r="35" spans="2:27">
      <c r="B35" s="57" t="s">
        <v>151</v>
      </c>
      <c r="C35" s="193">
        <f>C32-C33-C34</f>
        <v>7174168.5260357782</v>
      </c>
      <c r="D35" s="193">
        <f t="shared" ref="D35:V35" ca="1" si="12">D32-D33-D34</f>
        <v>-7842966.209638644</v>
      </c>
      <c r="E35" s="193">
        <f t="shared" ca="1" si="12"/>
        <v>-7900822.4835446682</v>
      </c>
      <c r="F35" s="193">
        <f t="shared" ca="1" si="12"/>
        <v>-7650768.8874057718</v>
      </c>
      <c r="G35" s="193">
        <f t="shared" ca="1" si="12"/>
        <v>-7543987.5153935309</v>
      </c>
      <c r="H35" s="193">
        <f t="shared" ca="1" si="12"/>
        <v>-7160343.0215868745</v>
      </c>
      <c r="I35" s="193">
        <f t="shared" ca="1" si="12"/>
        <v>-6723106.5411725752</v>
      </c>
      <c r="J35" s="193">
        <f t="shared" ca="1" si="12"/>
        <v>-6480911.5144749209</v>
      </c>
      <c r="K35" s="193">
        <f t="shared" ca="1" si="12"/>
        <v>-6130797.0061772093</v>
      </c>
      <c r="L35" s="193">
        <f t="shared" ca="1" si="12"/>
        <v>-5514590.4556984762</v>
      </c>
      <c r="M35" s="193">
        <f t="shared" ca="1" si="12"/>
        <v>-5059502.1667876365</v>
      </c>
      <c r="N35" s="193">
        <f t="shared" ca="1" si="12"/>
        <v>-4807657.2061433233</v>
      </c>
      <c r="O35" s="193">
        <f t="shared" ca="1" si="12"/>
        <v>-4387625.4933121912</v>
      </c>
      <c r="P35" s="193">
        <f t="shared" ca="1" si="12"/>
        <v>-3818397.2833838435</v>
      </c>
      <c r="Q35" s="193">
        <f t="shared" ca="1" si="12"/>
        <v>-3448913.9272419875</v>
      </c>
      <c r="R35" s="193">
        <f t="shared" ca="1" si="12"/>
        <v>-3247201.0956608644</v>
      </c>
      <c r="S35" s="193">
        <f t="shared" ca="1" si="12"/>
        <v>-2834892.6586680496</v>
      </c>
      <c r="T35" s="193">
        <f t="shared" ca="1" si="12"/>
        <v>-2232073.5908299005</v>
      </c>
      <c r="U35" s="193">
        <f t="shared" ca="1" si="12"/>
        <v>-1889306.3725738088</v>
      </c>
      <c r="V35" s="193">
        <f t="shared" ca="1" si="12"/>
        <v>-2278591.6679138616</v>
      </c>
      <c r="W35" s="487">
        <f ca="1">SUM(W32:W34)</f>
        <v>23555057.802413397</v>
      </c>
    </row>
    <row r="36" spans="2:27">
      <c r="C36" s="193"/>
      <c r="D36" s="193"/>
      <c r="E36" s="193"/>
      <c r="F36" s="193"/>
      <c r="G36" s="193"/>
      <c r="H36" s="193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487"/>
    </row>
    <row r="37" spans="2:27">
      <c r="B37" s="57" t="s">
        <v>152</v>
      </c>
      <c r="C37" s="206">
        <v>0</v>
      </c>
      <c r="D37" s="206">
        <v>0</v>
      </c>
      <c r="E37" s="206">
        <f>E68</f>
        <v>-86148.28376719635</v>
      </c>
      <c r="F37" s="206">
        <f t="shared" ref="F37:W37" si="13">F68</f>
        <v>-53280.067259946372</v>
      </c>
      <c r="G37" s="206">
        <f t="shared" si="13"/>
        <v>20288.296047079843</v>
      </c>
      <c r="H37" s="206">
        <f t="shared" si="13"/>
        <v>7377.1675507589243</v>
      </c>
      <c r="I37" s="206">
        <f t="shared" si="13"/>
        <v>-11256.865673276596</v>
      </c>
      <c r="J37" s="206">
        <f t="shared" si="13"/>
        <v>24357.24068934517</v>
      </c>
      <c r="K37" s="206">
        <f t="shared" si="13"/>
        <v>56473.295243627857</v>
      </c>
      <c r="L37" s="206">
        <f t="shared" si="13"/>
        <v>14714.102586969733</v>
      </c>
      <c r="M37" s="206">
        <f t="shared" si="13"/>
        <v>-13970.938781255856</v>
      </c>
      <c r="N37" s="206">
        <f t="shared" si="13"/>
        <v>13442.652146250941</v>
      </c>
      <c r="O37" s="206">
        <f t="shared" si="13"/>
        <v>42995.989972879644</v>
      </c>
      <c r="P37" s="206">
        <f t="shared" si="13"/>
        <v>16295.896472011693</v>
      </c>
      <c r="Q37" s="206">
        <f t="shared" si="13"/>
        <v>-12528.233831031248</v>
      </c>
      <c r="R37" s="206">
        <f t="shared" si="13"/>
        <v>15076.502582652029</v>
      </c>
      <c r="S37" s="206">
        <f t="shared" si="13"/>
        <v>44872.234394918196</v>
      </c>
      <c r="T37" s="206">
        <f t="shared" si="13"/>
        <v>18101.72913378384</v>
      </c>
      <c r="U37" s="206">
        <f t="shared" si="13"/>
        <v>-10882.093263634481</v>
      </c>
      <c r="V37" s="206">
        <f t="shared" si="13"/>
        <v>16416.182579904795</v>
      </c>
      <c r="W37" s="496">
        <f t="shared" si="13"/>
        <v>620.8994193947874</v>
      </c>
    </row>
    <row r="38" spans="2:27">
      <c r="B38" s="57" t="s">
        <v>167</v>
      </c>
      <c r="C38" s="210">
        <f>C35+C37</f>
        <v>7174168.5260357782</v>
      </c>
      <c r="D38" s="210">
        <f t="shared" ref="D38:W38" ca="1" si="14">D35+D37</f>
        <v>-7842966.209638644</v>
      </c>
      <c r="E38" s="210">
        <f t="shared" ca="1" si="14"/>
        <v>-7986970.7673118645</v>
      </c>
      <c r="F38" s="210">
        <f t="shared" ca="1" si="14"/>
        <v>-7704048.9546657186</v>
      </c>
      <c r="G38" s="210">
        <f t="shared" ca="1" si="14"/>
        <v>-7523699.2193464506</v>
      </c>
      <c r="H38" s="210">
        <f t="shared" ca="1" si="14"/>
        <v>-7152965.8540361151</v>
      </c>
      <c r="I38" s="210">
        <f t="shared" ca="1" si="14"/>
        <v>-6734363.4068458518</v>
      </c>
      <c r="J38" s="210">
        <f t="shared" ca="1" si="14"/>
        <v>-6456554.2737855762</v>
      </c>
      <c r="K38" s="210">
        <f t="shared" ca="1" si="14"/>
        <v>-6074323.710933581</v>
      </c>
      <c r="L38" s="210">
        <f t="shared" ca="1" si="14"/>
        <v>-5499876.3531115064</v>
      </c>
      <c r="M38" s="210">
        <f t="shared" ca="1" si="14"/>
        <v>-5073473.1055688923</v>
      </c>
      <c r="N38" s="210">
        <f t="shared" ca="1" si="14"/>
        <v>-4794214.5539970724</v>
      </c>
      <c r="O38" s="210">
        <f t="shared" ca="1" si="14"/>
        <v>-4344629.5033393111</v>
      </c>
      <c r="P38" s="210">
        <f t="shared" ca="1" si="14"/>
        <v>-3802101.3869118318</v>
      </c>
      <c r="Q38" s="210">
        <f t="shared" ca="1" si="14"/>
        <v>-3461442.1610730188</v>
      </c>
      <c r="R38" s="210">
        <f t="shared" ca="1" si="14"/>
        <v>-3232124.5930782123</v>
      </c>
      <c r="S38" s="210">
        <f t="shared" ca="1" si="14"/>
        <v>-2790020.4242731314</v>
      </c>
      <c r="T38" s="210">
        <f t="shared" ca="1" si="14"/>
        <v>-2213971.8616961166</v>
      </c>
      <c r="U38" s="210">
        <f t="shared" ca="1" si="14"/>
        <v>-1900188.4658374432</v>
      </c>
      <c r="V38" s="210">
        <f t="shared" ca="1" si="14"/>
        <v>-2262175.4853339568</v>
      </c>
      <c r="W38" s="497">
        <f t="shared" ca="1" si="14"/>
        <v>23555678.70183279</v>
      </c>
      <c r="X38" s="194"/>
    </row>
    <row r="40" spans="2:27">
      <c r="B40" s="57" t="s">
        <v>168</v>
      </c>
      <c r="C40" s="192">
        <v>0</v>
      </c>
      <c r="D40" s="193">
        <f>C41</f>
        <v>7174168.5260357782</v>
      </c>
      <c r="E40" s="193">
        <f t="shared" ref="E40:W40" ca="1" si="15">D41</f>
        <v>-668797.68360286206</v>
      </c>
      <c r="F40" s="193">
        <f t="shared" ca="1" si="15"/>
        <v>-8655768.4509147294</v>
      </c>
      <c r="G40" s="193">
        <f t="shared" ca="1" si="15"/>
        <v>-16359817.405580442</v>
      </c>
      <c r="H40" s="193">
        <f t="shared" ca="1" si="15"/>
        <v>-23883516.624926899</v>
      </c>
      <c r="I40" s="193">
        <f t="shared" ca="1" si="15"/>
        <v>-31036482.47896301</v>
      </c>
      <c r="J40" s="193">
        <f t="shared" ca="1" si="15"/>
        <v>-37770845.885808878</v>
      </c>
      <c r="K40" s="193">
        <f t="shared" ca="1" si="15"/>
        <v>-44227400.159594432</v>
      </c>
      <c r="L40" s="193">
        <f t="shared" ca="1" si="15"/>
        <v>-50301723.870528027</v>
      </c>
      <c r="M40" s="193">
        <f t="shared" ca="1" si="15"/>
        <v>-55801600.223639518</v>
      </c>
      <c r="N40" s="193">
        <f t="shared" ca="1" si="15"/>
        <v>-60875073.329208396</v>
      </c>
      <c r="O40" s="193">
        <f t="shared" ca="1" si="15"/>
        <v>-65669287.883205503</v>
      </c>
      <c r="P40" s="193">
        <f t="shared" ca="1" si="15"/>
        <v>-70013917.386544794</v>
      </c>
      <c r="Q40" s="193">
        <f t="shared" ca="1" si="15"/>
        <v>-73816018.773456663</v>
      </c>
      <c r="R40" s="193">
        <f t="shared" ca="1" si="15"/>
        <v>-77277460.934529662</v>
      </c>
      <c r="S40" s="193">
        <f t="shared" ca="1" si="15"/>
        <v>-80509585.527607918</v>
      </c>
      <c r="T40" s="193">
        <f t="shared" ca="1" si="15"/>
        <v>-83299605.951881051</v>
      </c>
      <c r="U40" s="193">
        <f t="shared" ca="1" si="15"/>
        <v>-85513577.81357713</v>
      </c>
      <c r="V40" s="193">
        <f t="shared" ca="1" si="15"/>
        <v>-87413766.279414564</v>
      </c>
      <c r="W40" s="487">
        <f t="shared" ca="1" si="15"/>
        <v>-89675941.764748558</v>
      </c>
    </row>
    <row r="41" spans="2:27">
      <c r="B41" s="57" t="s">
        <v>169</v>
      </c>
      <c r="C41" s="193">
        <f>C38</f>
        <v>7174168.5260357782</v>
      </c>
      <c r="D41" s="193">
        <f ca="1">D40+D38</f>
        <v>-668797.68360286579</v>
      </c>
      <c r="E41" s="193">
        <f t="shared" ref="E41:V41" ca="1" si="16">E40+E38</f>
        <v>-8655768.4509147257</v>
      </c>
      <c r="F41" s="193">
        <f t="shared" ca="1" si="16"/>
        <v>-16359817.405580448</v>
      </c>
      <c r="G41" s="193">
        <f t="shared" ca="1" si="16"/>
        <v>-23883516.624926895</v>
      </c>
      <c r="H41" s="193">
        <f t="shared" ca="1" si="16"/>
        <v>-31036482.478963014</v>
      </c>
      <c r="I41" s="193">
        <f t="shared" ca="1" si="16"/>
        <v>-37770845.885808863</v>
      </c>
      <c r="J41" s="193">
        <f t="shared" ca="1" si="16"/>
        <v>-44227400.159594454</v>
      </c>
      <c r="K41" s="193">
        <f t="shared" ca="1" si="16"/>
        <v>-50301723.870528013</v>
      </c>
      <c r="L41" s="193">
        <f t="shared" ca="1" si="16"/>
        <v>-55801600.223639533</v>
      </c>
      <c r="M41" s="193">
        <f t="shared" ca="1" si="16"/>
        <v>-60875073.329208411</v>
      </c>
      <c r="N41" s="193">
        <f t="shared" ca="1" si="16"/>
        <v>-65669287.883205466</v>
      </c>
      <c r="O41" s="193">
        <f t="shared" ca="1" si="16"/>
        <v>-70013917.386544809</v>
      </c>
      <c r="P41" s="193">
        <f t="shared" ca="1" si="16"/>
        <v>-73816018.773456633</v>
      </c>
      <c r="Q41" s="193">
        <f t="shared" ca="1" si="16"/>
        <v>-77277460.934529677</v>
      </c>
      <c r="R41" s="193">
        <f t="shared" ca="1" si="16"/>
        <v>-80509585.527607873</v>
      </c>
      <c r="S41" s="193">
        <f t="shared" ca="1" si="16"/>
        <v>-83299605.951881051</v>
      </c>
      <c r="T41" s="193">
        <f t="shared" ca="1" si="16"/>
        <v>-85513577.813577175</v>
      </c>
      <c r="U41" s="193">
        <f t="shared" ca="1" si="16"/>
        <v>-87413766.279414579</v>
      </c>
      <c r="V41" s="193">
        <f t="shared" ca="1" si="16"/>
        <v>-89675941.764748514</v>
      </c>
      <c r="W41" s="487">
        <f ca="1">W40+W38</f>
        <v>-66120263.062915772</v>
      </c>
      <c r="Y41" s="487">
        <v>-66120263.062915772</v>
      </c>
    </row>
    <row r="43" spans="2:27">
      <c r="B43" s="393" t="s">
        <v>215</v>
      </c>
      <c r="C43" s="743" t="str">
        <f>IF(C33+C34&gt;0,C32/(C33+C34),"n/a")</f>
        <v>n/a</v>
      </c>
      <c r="D43" s="394">
        <f t="shared" ref="D43:W43" ca="1" si="17">IF(D33+D34&gt;0,D32/(D33+D34),"n/a")</f>
        <v>0.38781142524897422</v>
      </c>
      <c r="E43" s="394">
        <f t="shared" ca="1" si="17"/>
        <v>0.3832954106549798</v>
      </c>
      <c r="F43" s="394">
        <f t="shared" ca="1" si="17"/>
        <v>0.40281353052696278</v>
      </c>
      <c r="G43" s="394">
        <f t="shared" ca="1" si="17"/>
        <v>0.4111484301293345</v>
      </c>
      <c r="H43" s="394">
        <f t="shared" ca="1" si="17"/>
        <v>0.44109408711634812</v>
      </c>
      <c r="I43" s="394">
        <f t="shared" ca="1" si="17"/>
        <v>0.4752229065730772</v>
      </c>
      <c r="J43" s="394">
        <f t="shared" ca="1" si="17"/>
        <v>0.49412761994843368</v>
      </c>
      <c r="K43" s="394">
        <f t="shared" ca="1" si="17"/>
        <v>0.52145606891854668</v>
      </c>
      <c r="L43" s="394">
        <f t="shared" ca="1" si="17"/>
        <v>0.56955453062379024</v>
      </c>
      <c r="M43" s="394">
        <f t="shared" ca="1" si="17"/>
        <v>0.60507678630198281</v>
      </c>
      <c r="N43" s="394">
        <f t="shared" ca="1" si="17"/>
        <v>0.62473473246597289</v>
      </c>
      <c r="O43" s="394">
        <f t="shared" ca="1" si="17"/>
        <v>0.65752062096212782</v>
      </c>
      <c r="P43" s="394">
        <f t="shared" ca="1" si="17"/>
        <v>0.70195215327140303</v>
      </c>
      <c r="Q43" s="394">
        <f t="shared" ca="1" si="17"/>
        <v>0.73079245210027299</v>
      </c>
      <c r="R43" s="394">
        <f t="shared" ca="1" si="17"/>
        <v>0.74653729755464737</v>
      </c>
      <c r="S43" s="394">
        <f t="shared" ca="1" si="17"/>
        <v>0.77872033999721901</v>
      </c>
      <c r="T43" s="394">
        <f t="shared" ca="1" si="17"/>
        <v>0.82542858391311291</v>
      </c>
      <c r="U43" s="394">
        <f t="shared" ca="1" si="17"/>
        <v>0.85213888493154022</v>
      </c>
      <c r="V43" s="394">
        <f t="shared" ca="1" si="17"/>
        <v>0.82119832296289763</v>
      </c>
      <c r="W43" s="394">
        <f t="shared" ca="1" si="17"/>
        <v>0.85331645882751939</v>
      </c>
    </row>
    <row r="44" spans="2:27" s="395" customFormat="1">
      <c r="B44" s="396" t="s">
        <v>214</v>
      </c>
      <c r="C44" s="397">
        <f>IF(C43&lt;1,1,0)</f>
        <v>0</v>
      </c>
      <c r="D44" s="397">
        <f t="shared" ref="D44:W44" ca="1" si="18">IF(D43&lt;1,1,0)</f>
        <v>1</v>
      </c>
      <c r="E44" s="397">
        <f t="shared" ca="1" si="18"/>
        <v>1</v>
      </c>
      <c r="F44" s="397">
        <f t="shared" ca="1" si="18"/>
        <v>1</v>
      </c>
      <c r="G44" s="397">
        <f t="shared" ca="1" si="18"/>
        <v>1</v>
      </c>
      <c r="H44" s="397">
        <f t="shared" ca="1" si="18"/>
        <v>1</v>
      </c>
      <c r="I44" s="397">
        <f t="shared" ca="1" si="18"/>
        <v>1</v>
      </c>
      <c r="J44" s="397">
        <f t="shared" ca="1" si="18"/>
        <v>1</v>
      </c>
      <c r="K44" s="397">
        <f t="shared" ca="1" si="18"/>
        <v>1</v>
      </c>
      <c r="L44" s="397">
        <f t="shared" ca="1" si="18"/>
        <v>1</v>
      </c>
      <c r="M44" s="397">
        <f t="shared" ca="1" si="18"/>
        <v>1</v>
      </c>
      <c r="N44" s="397">
        <f t="shared" ca="1" si="18"/>
        <v>1</v>
      </c>
      <c r="O44" s="397">
        <f t="shared" ca="1" si="18"/>
        <v>1</v>
      </c>
      <c r="P44" s="397">
        <f t="shared" ca="1" si="18"/>
        <v>1</v>
      </c>
      <c r="Q44" s="397">
        <f t="shared" ca="1" si="18"/>
        <v>1</v>
      </c>
      <c r="R44" s="397">
        <f t="shared" ca="1" si="18"/>
        <v>1</v>
      </c>
      <c r="S44" s="397">
        <f t="shared" ca="1" si="18"/>
        <v>1</v>
      </c>
      <c r="T44" s="397">
        <f t="shared" ca="1" si="18"/>
        <v>1</v>
      </c>
      <c r="U44" s="397">
        <f t="shared" ca="1" si="18"/>
        <v>1</v>
      </c>
      <c r="V44" s="397">
        <f t="shared" ca="1" si="18"/>
        <v>1</v>
      </c>
      <c r="W44" s="397">
        <f t="shared" ca="1" si="18"/>
        <v>1</v>
      </c>
      <c r="Y44" s="192"/>
    </row>
    <row r="46" spans="2:27">
      <c r="B46" s="399" t="s">
        <v>155</v>
      </c>
    </row>
    <row r="47" spans="2:27">
      <c r="B47" s="57" t="s">
        <v>156</v>
      </c>
      <c r="C47" s="193">
        <f>C28+C26</f>
        <v>7174168.5260357782</v>
      </c>
      <c r="D47" s="193">
        <f t="shared" ref="D47:W47" ca="1" si="19">D28+D26</f>
        <v>-5468220.0819015624</v>
      </c>
      <c r="E47" s="193">
        <f t="shared" ca="1" si="19"/>
        <v>-5318306.2606378878</v>
      </c>
      <c r="F47" s="193">
        <f t="shared" ca="1" si="19"/>
        <v>-4842304.4525434123</v>
      </c>
      <c r="G47" s="193">
        <f t="shared" ca="1" si="19"/>
        <v>-4489806.321128306</v>
      </c>
      <c r="H47" s="193">
        <f t="shared" ca="1" si="19"/>
        <v>-3838946.9406496668</v>
      </c>
      <c r="I47" s="193">
        <f t="shared" ca="1" si="19"/>
        <v>-3111116.5429435978</v>
      </c>
      <c r="J47" s="193">
        <f t="shared" ca="1" si="19"/>
        <v>-2552903.1019326784</v>
      </c>
      <c r="K47" s="193">
        <f t="shared" ca="1" si="19"/>
        <v>-1859121.2549797166</v>
      </c>
      <c r="L47" s="193">
        <f t="shared" ca="1" si="19"/>
        <v>-869179.39570562728</v>
      </c>
      <c r="M47" s="193">
        <f t="shared" ca="1" si="19"/>
        <v>-7657.1361215515062</v>
      </c>
      <c r="N47" s="193">
        <f t="shared" ca="1" si="19"/>
        <v>686181.31197156291</v>
      </c>
      <c r="O47" s="193">
        <f t="shared" ca="1" si="19"/>
        <v>1586877.1844042037</v>
      </c>
      <c r="P47" s="193">
        <f t="shared" ca="1" si="19"/>
        <v>2678823.5811071573</v>
      </c>
      <c r="Q47" s="193">
        <f t="shared" ca="1" si="19"/>
        <v>3616758.5210148115</v>
      </c>
      <c r="R47" s="193">
        <f t="shared" ca="1" si="19"/>
        <v>4436657.6167466752</v>
      </c>
      <c r="S47" s="193">
        <f t="shared" ca="1" si="19"/>
        <v>5521238.3599454286</v>
      </c>
      <c r="T47" s="193">
        <f t="shared" ca="1" si="19"/>
        <v>6855147.844864157</v>
      </c>
      <c r="U47" s="193">
        <f t="shared" ca="1" si="19"/>
        <v>7992969.6756827356</v>
      </c>
      <c r="V47" s="193">
        <f t="shared" ca="1" si="19"/>
        <v>8468299.5116434898</v>
      </c>
      <c r="W47" s="487">
        <f t="shared" ca="1" si="19"/>
        <v>9822852.0190946441</v>
      </c>
    </row>
    <row r="48" spans="2:27">
      <c r="B48" s="57" t="s">
        <v>157</v>
      </c>
      <c r="C48" s="196">
        <v>9828257.2408846729</v>
      </c>
      <c r="D48" s="196">
        <v>16650241.765010055</v>
      </c>
      <c r="E48" s="196">
        <v>15210045.032139141</v>
      </c>
      <c r="F48" s="196">
        <v>13921447.9553599</v>
      </c>
      <c r="G48" s="196">
        <v>12754130.603454003</v>
      </c>
      <c r="H48" s="196">
        <v>9444658.574511366</v>
      </c>
      <c r="I48" s="196">
        <v>8944379.7094088327</v>
      </c>
      <c r="J48" s="196">
        <v>8944379.7094088327</v>
      </c>
      <c r="K48" s="196">
        <v>8959539.6750180013</v>
      </c>
      <c r="L48" s="196">
        <v>8944379.7094088327</v>
      </c>
      <c r="M48" s="196">
        <v>8959539.6750180013</v>
      </c>
      <c r="N48" s="196">
        <v>8944379.7094088327</v>
      </c>
      <c r="O48" s="196">
        <v>8959539.6750180013</v>
      </c>
      <c r="P48" s="196">
        <v>8944379.7094088327</v>
      </c>
      <c r="Q48" s="196">
        <v>8959539.6750180013</v>
      </c>
      <c r="R48" s="196">
        <v>4472189.8547044164</v>
      </c>
      <c r="S48" s="197">
        <v>0</v>
      </c>
      <c r="T48" s="197">
        <v>0</v>
      </c>
      <c r="U48" s="197">
        <v>0</v>
      </c>
      <c r="V48" s="197">
        <v>0</v>
      </c>
      <c r="W48" s="494">
        <v>0</v>
      </c>
    </row>
    <row r="49" spans="1:24">
      <c r="B49" s="57" t="s">
        <v>146</v>
      </c>
      <c r="C49" s="193">
        <f>C47-C48</f>
        <v>-2654088.7148488946</v>
      </c>
      <c r="D49" s="193">
        <f t="shared" ref="D49:W49" ca="1" si="20">D47-D48</f>
        <v>-22118461.846911617</v>
      </c>
      <c r="E49" s="193">
        <f t="shared" ca="1" si="20"/>
        <v>-20528351.292777028</v>
      </c>
      <c r="F49" s="193">
        <f t="shared" ca="1" si="20"/>
        <v>-18763752.407903314</v>
      </c>
      <c r="G49" s="193">
        <f t="shared" ca="1" si="20"/>
        <v>-17243936.92458231</v>
      </c>
      <c r="H49" s="193">
        <f t="shared" ca="1" si="20"/>
        <v>-13283605.515161034</v>
      </c>
      <c r="I49" s="193">
        <f t="shared" ca="1" si="20"/>
        <v>-12055496.252352431</v>
      </c>
      <c r="J49" s="193">
        <f t="shared" ca="1" si="20"/>
        <v>-11497282.811341511</v>
      </c>
      <c r="K49" s="193">
        <f t="shared" ca="1" si="20"/>
        <v>-10818660.929997718</v>
      </c>
      <c r="L49" s="193">
        <f t="shared" ca="1" si="20"/>
        <v>-9813559.10511446</v>
      </c>
      <c r="M49" s="193">
        <f t="shared" ca="1" si="20"/>
        <v>-8967196.8111395538</v>
      </c>
      <c r="N49" s="193">
        <f t="shared" ca="1" si="20"/>
        <v>-8258198.3974372698</v>
      </c>
      <c r="O49" s="193">
        <f t="shared" ca="1" si="20"/>
        <v>-7372662.4906137977</v>
      </c>
      <c r="P49" s="193">
        <f t="shared" ca="1" si="20"/>
        <v>-6265556.1283016754</v>
      </c>
      <c r="Q49" s="193">
        <f t="shared" ca="1" si="20"/>
        <v>-5342781.1540031899</v>
      </c>
      <c r="R49" s="193">
        <f t="shared" ca="1" si="20"/>
        <v>-35532.237957741134</v>
      </c>
      <c r="S49" s="193">
        <f t="shared" ca="1" si="20"/>
        <v>5521238.3599454286</v>
      </c>
      <c r="T49" s="193">
        <f t="shared" ca="1" si="20"/>
        <v>6855147.844864157</v>
      </c>
      <c r="U49" s="193">
        <f t="shared" ca="1" si="20"/>
        <v>7992969.6756827356</v>
      </c>
      <c r="V49" s="193">
        <f t="shared" ca="1" si="20"/>
        <v>8468299.5116434898</v>
      </c>
      <c r="W49" s="487">
        <f t="shared" ca="1" si="20"/>
        <v>9822852.0190946441</v>
      </c>
    </row>
    <row r="50" spans="1:24">
      <c r="A50" s="198">
        <v>0.06</v>
      </c>
      <c r="B50" s="57" t="s">
        <v>147</v>
      </c>
      <c r="C50" s="196">
        <f>IF(C49&gt;0,C49*$A$50,0)</f>
        <v>0</v>
      </c>
      <c r="D50" s="196">
        <f t="shared" ref="D50:W50" ca="1" si="21">IF(D49&gt;0,D49*$A$50,0)</f>
        <v>0</v>
      </c>
      <c r="E50" s="196">
        <f t="shared" ca="1" si="21"/>
        <v>0</v>
      </c>
      <c r="F50" s="196">
        <f t="shared" ca="1" si="21"/>
        <v>0</v>
      </c>
      <c r="G50" s="196">
        <f t="shared" ca="1" si="21"/>
        <v>0</v>
      </c>
      <c r="H50" s="196">
        <f t="shared" ca="1" si="21"/>
        <v>0</v>
      </c>
      <c r="I50" s="196">
        <f t="shared" ca="1" si="21"/>
        <v>0</v>
      </c>
      <c r="J50" s="196">
        <f t="shared" ca="1" si="21"/>
        <v>0</v>
      </c>
      <c r="K50" s="196">
        <f t="shared" ca="1" si="21"/>
        <v>0</v>
      </c>
      <c r="L50" s="196">
        <f t="shared" ca="1" si="21"/>
        <v>0</v>
      </c>
      <c r="M50" s="196">
        <f t="shared" ca="1" si="21"/>
        <v>0</v>
      </c>
      <c r="N50" s="196">
        <f t="shared" ca="1" si="21"/>
        <v>0</v>
      </c>
      <c r="O50" s="196">
        <f t="shared" ca="1" si="21"/>
        <v>0</v>
      </c>
      <c r="P50" s="196">
        <f t="shared" ca="1" si="21"/>
        <v>0</v>
      </c>
      <c r="Q50" s="196">
        <f t="shared" ca="1" si="21"/>
        <v>0</v>
      </c>
      <c r="R50" s="196">
        <f t="shared" ca="1" si="21"/>
        <v>0</v>
      </c>
      <c r="S50" s="196">
        <f ca="1">IF(S49&gt;0,S49*$A$50,0)</f>
        <v>331274.30159672571</v>
      </c>
      <c r="T50" s="196">
        <f t="shared" ca="1" si="21"/>
        <v>411308.87069184938</v>
      </c>
      <c r="U50" s="196">
        <f t="shared" ca="1" si="21"/>
        <v>479578.18054096412</v>
      </c>
      <c r="V50" s="196">
        <f t="shared" ca="1" si="21"/>
        <v>508097.97069860937</v>
      </c>
      <c r="W50" s="492">
        <f t="shared" ca="1" si="21"/>
        <v>589371.12114567857</v>
      </c>
    </row>
    <row r="51" spans="1:24">
      <c r="B51" s="57" t="s">
        <v>158</v>
      </c>
      <c r="C51" s="194">
        <f>C49-C50</f>
        <v>-2654088.7148488946</v>
      </c>
      <c r="D51" s="194">
        <f t="shared" ref="D51:W51" ca="1" si="22">D49-D50</f>
        <v>-22118461.846911617</v>
      </c>
      <c r="E51" s="194">
        <f t="shared" ca="1" si="22"/>
        <v>-20528351.292777028</v>
      </c>
      <c r="F51" s="194">
        <f t="shared" ca="1" si="22"/>
        <v>-18763752.407903314</v>
      </c>
      <c r="G51" s="194">
        <f t="shared" ca="1" si="22"/>
        <v>-17243936.92458231</v>
      </c>
      <c r="H51" s="194">
        <f t="shared" ca="1" si="22"/>
        <v>-13283605.515161034</v>
      </c>
      <c r="I51" s="194">
        <f t="shared" ca="1" si="22"/>
        <v>-12055496.252352431</v>
      </c>
      <c r="J51" s="194">
        <f t="shared" ca="1" si="22"/>
        <v>-11497282.811341511</v>
      </c>
      <c r="K51" s="194">
        <f t="shared" ca="1" si="22"/>
        <v>-10818660.929997718</v>
      </c>
      <c r="L51" s="194">
        <f t="shared" ca="1" si="22"/>
        <v>-9813559.10511446</v>
      </c>
      <c r="M51" s="194">
        <f t="shared" ca="1" si="22"/>
        <v>-8967196.8111395538</v>
      </c>
      <c r="N51" s="194">
        <f t="shared" ca="1" si="22"/>
        <v>-8258198.3974372698</v>
      </c>
      <c r="O51" s="194">
        <f t="shared" ca="1" si="22"/>
        <v>-7372662.4906137977</v>
      </c>
      <c r="P51" s="194">
        <f t="shared" ca="1" si="22"/>
        <v>-6265556.1283016754</v>
      </c>
      <c r="Q51" s="194">
        <f t="shared" ca="1" si="22"/>
        <v>-5342781.1540031899</v>
      </c>
      <c r="R51" s="194">
        <f t="shared" ca="1" si="22"/>
        <v>-35532.237957741134</v>
      </c>
      <c r="S51" s="194">
        <f t="shared" ca="1" si="22"/>
        <v>5189964.0583487032</v>
      </c>
      <c r="T51" s="194">
        <f t="shared" ca="1" si="22"/>
        <v>6443838.9741723072</v>
      </c>
      <c r="U51" s="194">
        <f t="shared" ca="1" si="22"/>
        <v>7513391.4951417716</v>
      </c>
      <c r="V51" s="194">
        <f t="shared" ca="1" si="22"/>
        <v>7960201.5409448808</v>
      </c>
      <c r="W51" s="491">
        <f t="shared" ca="1" si="22"/>
        <v>9233480.8979489654</v>
      </c>
    </row>
    <row r="53" spans="1:24">
      <c r="B53" s="208" t="s">
        <v>160</v>
      </c>
    </row>
    <row r="54" spans="1:24" s="194" customFormat="1">
      <c r="B54" s="202" t="s">
        <v>161</v>
      </c>
      <c r="C54" s="194">
        <v>0</v>
      </c>
      <c r="D54" s="194">
        <f>C57</f>
        <v>2654088.7148488946</v>
      </c>
      <c r="E54" s="194">
        <f t="shared" ref="E54:W54" ca="1" si="23">D57</f>
        <v>24772550.561760511</v>
      </c>
      <c r="F54" s="194">
        <f t="shared" ca="1" si="23"/>
        <v>45300901.854537539</v>
      </c>
      <c r="G54" s="194">
        <f t="shared" ca="1" si="23"/>
        <v>64064654.262440853</v>
      </c>
      <c r="H54" s="194">
        <f t="shared" ca="1" si="23"/>
        <v>81308591.187023163</v>
      </c>
      <c r="I54" s="194">
        <f t="shared" ca="1" si="23"/>
        <v>94592196.702184215</v>
      </c>
      <c r="J54" s="194">
        <f t="shared" ca="1" si="23"/>
        <v>106647692.95453663</v>
      </c>
      <c r="K54" s="194">
        <f t="shared" ca="1" si="23"/>
        <v>118144975.76587816</v>
      </c>
      <c r="L54" s="194">
        <f t="shared" ca="1" si="23"/>
        <v>128963636.69587587</v>
      </c>
      <c r="M54" s="194">
        <f t="shared" ca="1" si="23"/>
        <v>138777195.80099034</v>
      </c>
      <c r="N54" s="194">
        <f t="shared" ca="1" si="23"/>
        <v>147744392.61212993</v>
      </c>
      <c r="O54" s="194">
        <f t="shared" ca="1" si="23"/>
        <v>156002591.00956717</v>
      </c>
      <c r="P54" s="194">
        <f t="shared" ca="1" si="23"/>
        <v>163375253.50018102</v>
      </c>
      <c r="Q54" s="194">
        <f t="shared" ca="1" si="23"/>
        <v>169640809.62848267</v>
      </c>
      <c r="R54" s="194">
        <f t="shared" ca="1" si="23"/>
        <v>174983590.78248587</v>
      </c>
      <c r="S54" s="194">
        <f t="shared" ca="1" si="23"/>
        <v>175019123.02044365</v>
      </c>
      <c r="T54" s="194">
        <f t="shared" ca="1" si="23"/>
        <v>169829158.96209493</v>
      </c>
      <c r="U54" s="194">
        <f t="shared" ca="1" si="23"/>
        <v>163385319.98792258</v>
      </c>
      <c r="V54" s="194">
        <f t="shared" ca="1" si="23"/>
        <v>155871928.4927808</v>
      </c>
      <c r="W54" s="491">
        <f t="shared" ca="1" si="23"/>
        <v>147911726.95183593</v>
      </c>
    </row>
    <row r="55" spans="1:24" s="194" customFormat="1">
      <c r="B55" s="202" t="s">
        <v>162</v>
      </c>
      <c r="C55" s="194">
        <f>IF(C51&lt;0,-C51,0)</f>
        <v>2654088.7148488946</v>
      </c>
      <c r="D55" s="194">
        <f ca="1">IF(D51&lt;0,-D51,0)</f>
        <v>22118461.846911617</v>
      </c>
      <c r="E55" s="194">
        <f t="shared" ref="E55:W55" ca="1" si="24">IF(E51&lt;0,-E51,0)</f>
        <v>20528351.292777028</v>
      </c>
      <c r="F55" s="194">
        <f t="shared" ca="1" si="24"/>
        <v>18763752.407903314</v>
      </c>
      <c r="G55" s="194">
        <f t="shared" ca="1" si="24"/>
        <v>17243936.92458231</v>
      </c>
      <c r="H55" s="194">
        <f t="shared" ca="1" si="24"/>
        <v>13283605.515161034</v>
      </c>
      <c r="I55" s="194">
        <f t="shared" ca="1" si="24"/>
        <v>12055496.252352431</v>
      </c>
      <c r="J55" s="194">
        <f t="shared" ca="1" si="24"/>
        <v>11497282.811341511</v>
      </c>
      <c r="K55" s="194">
        <f t="shared" ca="1" si="24"/>
        <v>10818660.929997718</v>
      </c>
      <c r="L55" s="194">
        <f t="shared" ca="1" si="24"/>
        <v>9813559.10511446</v>
      </c>
      <c r="M55" s="194">
        <f t="shared" ca="1" si="24"/>
        <v>8967196.8111395538</v>
      </c>
      <c r="N55" s="194">
        <f t="shared" ca="1" si="24"/>
        <v>8258198.3974372698</v>
      </c>
      <c r="O55" s="194">
        <f t="shared" ca="1" si="24"/>
        <v>7372662.4906137977</v>
      </c>
      <c r="P55" s="194">
        <f t="shared" ca="1" si="24"/>
        <v>6265556.1283016754</v>
      </c>
      <c r="Q55" s="194">
        <f t="shared" ca="1" si="24"/>
        <v>5342781.1540031899</v>
      </c>
      <c r="R55" s="194">
        <f t="shared" ca="1" si="24"/>
        <v>35532.237957741134</v>
      </c>
      <c r="S55" s="194">
        <f t="shared" ca="1" si="24"/>
        <v>0</v>
      </c>
      <c r="T55" s="194">
        <f t="shared" ca="1" si="24"/>
        <v>0</v>
      </c>
      <c r="U55" s="194">
        <f t="shared" ca="1" si="24"/>
        <v>0</v>
      </c>
      <c r="V55" s="194">
        <f t="shared" ca="1" si="24"/>
        <v>0</v>
      </c>
      <c r="W55" s="491">
        <f t="shared" ca="1" si="24"/>
        <v>0</v>
      </c>
    </row>
    <row r="56" spans="1:24" s="194" customFormat="1">
      <c r="B56" s="202" t="s">
        <v>163</v>
      </c>
      <c r="C56" s="194">
        <f t="shared" ref="C56:W56" si="25">IF(C51&lt;0,0,IF(C51&gt;C54,-C54,-C51))</f>
        <v>0</v>
      </c>
      <c r="D56" s="194">
        <f t="shared" ca="1" si="25"/>
        <v>0</v>
      </c>
      <c r="E56" s="194">
        <f t="shared" ca="1" si="25"/>
        <v>0</v>
      </c>
      <c r="F56" s="194">
        <f t="shared" ca="1" si="25"/>
        <v>0</v>
      </c>
      <c r="G56" s="194">
        <f t="shared" ca="1" si="25"/>
        <v>0</v>
      </c>
      <c r="H56" s="194">
        <f t="shared" ca="1" si="25"/>
        <v>0</v>
      </c>
      <c r="I56" s="194">
        <f t="shared" ca="1" si="25"/>
        <v>0</v>
      </c>
      <c r="J56" s="194">
        <f t="shared" ca="1" si="25"/>
        <v>0</v>
      </c>
      <c r="K56" s="194">
        <f t="shared" ca="1" si="25"/>
        <v>0</v>
      </c>
      <c r="L56" s="194">
        <f t="shared" ca="1" si="25"/>
        <v>0</v>
      </c>
      <c r="M56" s="194">
        <f t="shared" ca="1" si="25"/>
        <v>0</v>
      </c>
      <c r="N56" s="194">
        <f t="shared" ca="1" si="25"/>
        <v>0</v>
      </c>
      <c r="O56" s="194">
        <f t="shared" ca="1" si="25"/>
        <v>0</v>
      </c>
      <c r="P56" s="194">
        <f t="shared" ca="1" si="25"/>
        <v>0</v>
      </c>
      <c r="Q56" s="194">
        <f t="shared" ca="1" si="25"/>
        <v>0</v>
      </c>
      <c r="R56" s="194">
        <f t="shared" ca="1" si="25"/>
        <v>0</v>
      </c>
      <c r="S56" s="194">
        <f t="shared" ca="1" si="25"/>
        <v>-5189964.0583487032</v>
      </c>
      <c r="T56" s="194">
        <f t="shared" ca="1" si="25"/>
        <v>-6443838.9741723072</v>
      </c>
      <c r="U56" s="194">
        <f t="shared" ca="1" si="25"/>
        <v>-7513391.4951417716</v>
      </c>
      <c r="V56" s="194">
        <f t="shared" ca="1" si="25"/>
        <v>-7960201.5409448808</v>
      </c>
      <c r="W56" s="491">
        <f t="shared" ca="1" si="25"/>
        <v>-9233480.8979489654</v>
      </c>
    </row>
    <row r="57" spans="1:24" s="194" customFormat="1">
      <c r="B57" s="202" t="s">
        <v>164</v>
      </c>
      <c r="C57" s="194">
        <f>C54+C55+C56</f>
        <v>2654088.7148488946</v>
      </c>
      <c r="D57" s="194">
        <f ca="1">D54+D55+D56</f>
        <v>24772550.561760511</v>
      </c>
      <c r="E57" s="194">
        <f t="shared" ref="E57:W57" ca="1" si="26">E54+E55+E56</f>
        <v>45300901.854537539</v>
      </c>
      <c r="F57" s="194">
        <f t="shared" ca="1" si="26"/>
        <v>64064654.262440853</v>
      </c>
      <c r="G57" s="194">
        <f t="shared" ca="1" si="26"/>
        <v>81308591.187023163</v>
      </c>
      <c r="H57" s="194">
        <f t="shared" ca="1" si="26"/>
        <v>94592196.7021842</v>
      </c>
      <c r="I57" s="194">
        <f t="shared" ca="1" si="26"/>
        <v>106647692.95453665</v>
      </c>
      <c r="J57" s="194">
        <f t="shared" ca="1" si="26"/>
        <v>118144975.76587814</v>
      </c>
      <c r="K57" s="194">
        <f t="shared" ca="1" si="26"/>
        <v>128963636.69587587</v>
      </c>
      <c r="L57" s="194">
        <f t="shared" ca="1" si="26"/>
        <v>138777195.80099034</v>
      </c>
      <c r="M57" s="194">
        <f t="shared" ca="1" si="26"/>
        <v>147744392.6121299</v>
      </c>
      <c r="N57" s="194">
        <f t="shared" ca="1" si="26"/>
        <v>156002591.0095672</v>
      </c>
      <c r="O57" s="194">
        <f t="shared" ca="1" si="26"/>
        <v>163375253.50018096</v>
      </c>
      <c r="P57" s="194">
        <f t="shared" ca="1" si="26"/>
        <v>169640809.6284827</v>
      </c>
      <c r="Q57" s="194">
        <f t="shared" ca="1" si="26"/>
        <v>174983590.78248587</v>
      </c>
      <c r="R57" s="194">
        <f t="shared" ca="1" si="26"/>
        <v>175019123.02044362</v>
      </c>
      <c r="S57" s="194">
        <f t="shared" ca="1" si="26"/>
        <v>169829158.96209493</v>
      </c>
      <c r="T57" s="194">
        <f t="shared" ca="1" si="26"/>
        <v>163385319.98792264</v>
      </c>
      <c r="U57" s="194">
        <f t="shared" ca="1" si="26"/>
        <v>155871928.4927808</v>
      </c>
      <c r="V57" s="194">
        <f t="shared" ca="1" si="26"/>
        <v>147911726.95183593</v>
      </c>
      <c r="W57" s="491">
        <f t="shared" ca="1" si="26"/>
        <v>138678246.05388695</v>
      </c>
    </row>
    <row r="58" spans="1:24" s="194" customFormat="1">
      <c r="B58" s="202"/>
      <c r="W58" s="491"/>
    </row>
    <row r="59" spans="1:24">
      <c r="B59" s="57" t="s">
        <v>159</v>
      </c>
      <c r="C59" s="194">
        <f t="shared" ref="C59:W59" si="27">IF(C51&lt;0,0,C51+C56)</f>
        <v>0</v>
      </c>
      <c r="D59" s="194">
        <f t="shared" ca="1" si="27"/>
        <v>0</v>
      </c>
      <c r="E59" s="194">
        <f t="shared" ca="1" si="27"/>
        <v>0</v>
      </c>
      <c r="F59" s="194">
        <f t="shared" ca="1" si="27"/>
        <v>0</v>
      </c>
      <c r="G59" s="194">
        <f t="shared" ca="1" si="27"/>
        <v>0</v>
      </c>
      <c r="H59" s="194">
        <f t="shared" ca="1" si="27"/>
        <v>0</v>
      </c>
      <c r="I59" s="194">
        <f t="shared" ca="1" si="27"/>
        <v>0</v>
      </c>
      <c r="J59" s="194">
        <f t="shared" ca="1" si="27"/>
        <v>0</v>
      </c>
      <c r="K59" s="194">
        <f t="shared" ca="1" si="27"/>
        <v>0</v>
      </c>
      <c r="L59" s="194">
        <f t="shared" ca="1" si="27"/>
        <v>0</v>
      </c>
      <c r="M59" s="194">
        <f t="shared" ca="1" si="27"/>
        <v>0</v>
      </c>
      <c r="N59" s="194">
        <f t="shared" ca="1" si="27"/>
        <v>0</v>
      </c>
      <c r="O59" s="194">
        <f t="shared" ca="1" si="27"/>
        <v>0</v>
      </c>
      <c r="P59" s="194">
        <f t="shared" ca="1" si="27"/>
        <v>0</v>
      </c>
      <c r="Q59" s="194">
        <f t="shared" ca="1" si="27"/>
        <v>0</v>
      </c>
      <c r="R59" s="194">
        <f t="shared" ca="1" si="27"/>
        <v>0</v>
      </c>
      <c r="S59" s="194">
        <f t="shared" ca="1" si="27"/>
        <v>0</v>
      </c>
      <c r="T59" s="194">
        <f t="shared" ca="1" si="27"/>
        <v>0</v>
      </c>
      <c r="U59" s="194">
        <f t="shared" ca="1" si="27"/>
        <v>0</v>
      </c>
      <c r="V59" s="194">
        <f t="shared" ca="1" si="27"/>
        <v>0</v>
      </c>
      <c r="W59" s="491">
        <f t="shared" ca="1" si="27"/>
        <v>0</v>
      </c>
    </row>
    <row r="60" spans="1:24">
      <c r="A60" s="198">
        <v>0.35</v>
      </c>
      <c r="B60" s="57" t="s">
        <v>165</v>
      </c>
      <c r="C60" s="209">
        <f>$A$60</f>
        <v>0.35</v>
      </c>
      <c r="D60" s="209">
        <f t="shared" ref="D60:W60" si="28">$A$60</f>
        <v>0.35</v>
      </c>
      <c r="E60" s="209">
        <f t="shared" si="28"/>
        <v>0.35</v>
      </c>
      <c r="F60" s="209">
        <f t="shared" si="28"/>
        <v>0.35</v>
      </c>
      <c r="G60" s="209">
        <f t="shared" si="28"/>
        <v>0.35</v>
      </c>
      <c r="H60" s="209">
        <f t="shared" si="28"/>
        <v>0.35</v>
      </c>
      <c r="I60" s="209">
        <f t="shared" si="28"/>
        <v>0.35</v>
      </c>
      <c r="J60" s="209">
        <f t="shared" si="28"/>
        <v>0.35</v>
      </c>
      <c r="K60" s="209">
        <f t="shared" si="28"/>
        <v>0.35</v>
      </c>
      <c r="L60" s="209">
        <f t="shared" si="28"/>
        <v>0.35</v>
      </c>
      <c r="M60" s="209">
        <f t="shared" si="28"/>
        <v>0.35</v>
      </c>
      <c r="N60" s="209">
        <f t="shared" si="28"/>
        <v>0.35</v>
      </c>
      <c r="O60" s="209">
        <f t="shared" si="28"/>
        <v>0.35</v>
      </c>
      <c r="P60" s="209">
        <f t="shared" si="28"/>
        <v>0.35</v>
      </c>
      <c r="Q60" s="209">
        <f t="shared" si="28"/>
        <v>0.35</v>
      </c>
      <c r="R60" s="209">
        <f t="shared" si="28"/>
        <v>0.35</v>
      </c>
      <c r="S60" s="209">
        <f t="shared" si="28"/>
        <v>0.35</v>
      </c>
      <c r="T60" s="209">
        <f t="shared" si="28"/>
        <v>0.35</v>
      </c>
      <c r="U60" s="209">
        <f t="shared" si="28"/>
        <v>0.35</v>
      </c>
      <c r="V60" s="209">
        <f t="shared" si="28"/>
        <v>0.35</v>
      </c>
      <c r="W60" s="498">
        <f t="shared" si="28"/>
        <v>0.35</v>
      </c>
    </row>
    <row r="61" spans="1:24">
      <c r="B61" s="57" t="s">
        <v>166</v>
      </c>
      <c r="C61" s="194">
        <f>C59*C60</f>
        <v>0</v>
      </c>
      <c r="D61" s="194">
        <f t="shared" ref="D61:W61" ca="1" si="29">D59*D60</f>
        <v>0</v>
      </c>
      <c r="E61" s="194">
        <f t="shared" ca="1" si="29"/>
        <v>0</v>
      </c>
      <c r="F61" s="194">
        <f t="shared" ca="1" si="29"/>
        <v>0</v>
      </c>
      <c r="G61" s="194">
        <f t="shared" ca="1" si="29"/>
        <v>0</v>
      </c>
      <c r="H61" s="194">
        <f t="shared" ca="1" si="29"/>
        <v>0</v>
      </c>
      <c r="I61" s="194">
        <f t="shared" ca="1" si="29"/>
        <v>0</v>
      </c>
      <c r="J61" s="194">
        <f t="shared" ca="1" si="29"/>
        <v>0</v>
      </c>
      <c r="K61" s="194">
        <f t="shared" ca="1" si="29"/>
        <v>0</v>
      </c>
      <c r="L61" s="194">
        <f t="shared" ca="1" si="29"/>
        <v>0</v>
      </c>
      <c r="M61" s="194">
        <f t="shared" ca="1" si="29"/>
        <v>0</v>
      </c>
      <c r="N61" s="194">
        <f t="shared" ca="1" si="29"/>
        <v>0</v>
      </c>
      <c r="O61" s="194">
        <f t="shared" ca="1" si="29"/>
        <v>0</v>
      </c>
      <c r="P61" s="194">
        <f t="shared" ca="1" si="29"/>
        <v>0</v>
      </c>
      <c r="Q61" s="194">
        <f t="shared" ca="1" si="29"/>
        <v>0</v>
      </c>
      <c r="R61" s="194">
        <f t="shared" ca="1" si="29"/>
        <v>0</v>
      </c>
      <c r="S61" s="194">
        <f t="shared" ca="1" si="29"/>
        <v>0</v>
      </c>
      <c r="T61" s="194">
        <f t="shared" ca="1" si="29"/>
        <v>0</v>
      </c>
      <c r="U61" s="194">
        <f t="shared" ca="1" si="29"/>
        <v>0</v>
      </c>
      <c r="V61" s="194">
        <f t="shared" ca="1" si="29"/>
        <v>0</v>
      </c>
      <c r="W61" s="491">
        <f t="shared" ca="1" si="29"/>
        <v>0</v>
      </c>
      <c r="X61" s="194"/>
    </row>
    <row r="62" spans="1:24"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491"/>
      <c r="X62" s="194"/>
    </row>
    <row r="63" spans="1:24">
      <c r="B63" s="399" t="s">
        <v>152</v>
      </c>
    </row>
    <row r="64" spans="1:24">
      <c r="A64" s="192">
        <v>45</v>
      </c>
      <c r="B64" s="57" t="s">
        <v>154</v>
      </c>
      <c r="C64" s="194">
        <f>(C14/365.25)*$A$64</f>
        <v>2124319.7144017559</v>
      </c>
      <c r="D64" s="194">
        <f t="shared" ref="D64:W64" si="30">(D14/365.25)*$A$64</f>
        <v>1868667.3210065854</v>
      </c>
      <c r="E64" s="194">
        <f t="shared" si="30"/>
        <v>1772749.2175662396</v>
      </c>
      <c r="F64" s="194">
        <f t="shared" si="30"/>
        <v>1728670.2285457766</v>
      </c>
      <c r="G64" s="194">
        <f t="shared" si="30"/>
        <v>1736241.6578868516</v>
      </c>
      <c r="H64" s="194">
        <f t="shared" si="30"/>
        <v>1731386.8364727038</v>
      </c>
      <c r="I64" s="194">
        <f t="shared" si="30"/>
        <v>1708611.0171261064</v>
      </c>
      <c r="J64" s="194">
        <f t="shared" si="30"/>
        <v>1720090.7110234376</v>
      </c>
      <c r="K64" s="194">
        <f t="shared" si="30"/>
        <v>1762051.9969978051</v>
      </c>
      <c r="L64" s="194">
        <f t="shared" si="30"/>
        <v>1762930.869399986</v>
      </c>
      <c r="M64" s="194">
        <f t="shared" si="30"/>
        <v>1736101.1613651495</v>
      </c>
      <c r="N64" s="194">
        <f t="shared" si="30"/>
        <v>1735222.2889629686</v>
      </c>
      <c r="O64" s="194">
        <f t="shared" si="30"/>
        <v>1762051.9969978051</v>
      </c>
      <c r="P64" s="194">
        <f t="shared" si="30"/>
        <v>1762930.869399986</v>
      </c>
      <c r="Q64" s="194">
        <f t="shared" si="30"/>
        <v>1736101.1613651495</v>
      </c>
      <c r="R64" s="194">
        <f t="shared" si="30"/>
        <v>1735222.2889629686</v>
      </c>
      <c r="S64" s="194">
        <f t="shared" si="30"/>
        <v>1762051.9969978051</v>
      </c>
      <c r="T64" s="194">
        <f t="shared" si="30"/>
        <v>1762930.869399986</v>
      </c>
      <c r="U64" s="194">
        <f t="shared" si="30"/>
        <v>1736101.1613651495</v>
      </c>
      <c r="V64" s="194">
        <f t="shared" si="30"/>
        <v>1735222.2889629686</v>
      </c>
      <c r="W64" s="491">
        <f t="shared" si="30"/>
        <v>1762051.9969978051</v>
      </c>
    </row>
    <row r="65" spans="1:23">
      <c r="A65" s="192">
        <v>30</v>
      </c>
      <c r="B65" s="57" t="s">
        <v>153</v>
      </c>
      <c r="C65" s="196">
        <f t="shared" ref="C65:W65" si="31">(C15/365.25)*$A$65</f>
        <v>289398.97686499893</v>
      </c>
      <c r="D65" s="196">
        <f t="shared" si="31"/>
        <v>504895.51398708479</v>
      </c>
      <c r="E65" s="196">
        <f t="shared" si="31"/>
        <v>514665.33366023412</v>
      </c>
      <c r="F65" s="196">
        <f t="shared" si="31"/>
        <v>505464.255420751</v>
      </c>
      <c r="G65" s="196">
        <f t="shared" si="31"/>
        <v>518181.12212675571</v>
      </c>
      <c r="H65" s="196">
        <f t="shared" si="31"/>
        <v>530413.11109166255</v>
      </c>
      <c r="I65" s="196">
        <f t="shared" si="31"/>
        <v>541932.06476498349</v>
      </c>
      <c r="J65" s="196">
        <f t="shared" si="31"/>
        <v>554809.61155699717</v>
      </c>
      <c r="K65" s="196">
        <f t="shared" si="31"/>
        <v>569321.62082625774</v>
      </c>
      <c r="L65" s="196">
        <f t="shared" si="31"/>
        <v>583156.85101104621</v>
      </c>
      <c r="M65" s="196">
        <f t="shared" si="31"/>
        <v>596015.62026462727</v>
      </c>
      <c r="N65" s="196">
        <f t="shared" si="31"/>
        <v>610337.14481305878</v>
      </c>
      <c r="O65" s="196">
        <f t="shared" si="31"/>
        <v>626503.42675110197</v>
      </c>
      <c r="P65" s="196">
        <f t="shared" si="31"/>
        <v>641920.45082093298</v>
      </c>
      <c r="Q65" s="196">
        <f t="shared" si="31"/>
        <v>656221.92502473807</v>
      </c>
      <c r="R65" s="196">
        <f t="shared" si="31"/>
        <v>672177.30000957113</v>
      </c>
      <c r="S65" s="196">
        <f t="shared" si="31"/>
        <v>690219.82636965299</v>
      </c>
      <c r="T65" s="196">
        <f t="shared" si="31"/>
        <v>707442.68310125545</v>
      </c>
      <c r="U65" s="196">
        <f t="shared" si="31"/>
        <v>723390.29787245777</v>
      </c>
      <c r="V65" s="196">
        <f t="shared" si="31"/>
        <v>740685.35285454337</v>
      </c>
      <c r="W65" s="492">
        <f t="shared" si="31"/>
        <v>714476.5442391017</v>
      </c>
    </row>
    <row r="66" spans="1:23">
      <c r="C66" s="194">
        <f t="shared" ref="C66:W66" si="32">C64+C65</f>
        <v>2413718.6912667546</v>
      </c>
      <c r="D66" s="194">
        <f t="shared" si="32"/>
        <v>2373562.8349936702</v>
      </c>
      <c r="E66" s="194">
        <f t="shared" si="32"/>
        <v>2287414.5512264739</v>
      </c>
      <c r="F66" s="194">
        <f t="shared" si="32"/>
        <v>2234134.4839665275</v>
      </c>
      <c r="G66" s="194">
        <f t="shared" si="32"/>
        <v>2254422.7800136073</v>
      </c>
      <c r="H66" s="194">
        <f t="shared" si="32"/>
        <v>2261799.9475643663</v>
      </c>
      <c r="I66" s="194">
        <f t="shared" si="32"/>
        <v>2250543.0818910897</v>
      </c>
      <c r="J66" s="194">
        <f t="shared" si="32"/>
        <v>2274900.3225804348</v>
      </c>
      <c r="K66" s="194">
        <f t="shared" si="32"/>
        <v>2331373.6178240627</v>
      </c>
      <c r="L66" s="194">
        <f t="shared" si="32"/>
        <v>2346087.7204110324</v>
      </c>
      <c r="M66" s="194">
        <f t="shared" si="32"/>
        <v>2332116.7816297766</v>
      </c>
      <c r="N66" s="194">
        <f t="shared" si="32"/>
        <v>2345559.4337760275</v>
      </c>
      <c r="O66" s="194">
        <f t="shared" si="32"/>
        <v>2388555.4237489072</v>
      </c>
      <c r="P66" s="194">
        <f t="shared" si="32"/>
        <v>2404851.3202209189</v>
      </c>
      <c r="Q66" s="194">
        <f t="shared" si="32"/>
        <v>2392323.0863898876</v>
      </c>
      <c r="R66" s="194">
        <f t="shared" si="32"/>
        <v>2407399.5889725396</v>
      </c>
      <c r="S66" s="194">
        <f t="shared" si="32"/>
        <v>2452271.8233674578</v>
      </c>
      <c r="T66" s="194">
        <f t="shared" si="32"/>
        <v>2470373.5525012417</v>
      </c>
      <c r="U66" s="194">
        <f t="shared" si="32"/>
        <v>2459491.4592376072</v>
      </c>
      <c r="V66" s="194">
        <f t="shared" si="32"/>
        <v>2475907.641817512</v>
      </c>
      <c r="W66" s="491">
        <f t="shared" si="32"/>
        <v>2476528.5412369068</v>
      </c>
    </row>
    <row r="68" spans="1:23">
      <c r="C68" s="400">
        <v>0</v>
      </c>
      <c r="D68" s="400">
        <v>0</v>
      </c>
      <c r="E68" s="210">
        <f>E66-D66</f>
        <v>-86148.28376719635</v>
      </c>
      <c r="F68" s="210">
        <f t="shared" ref="F68:W68" si="33">F66-E66</f>
        <v>-53280.067259946372</v>
      </c>
      <c r="G68" s="210">
        <f t="shared" si="33"/>
        <v>20288.296047079843</v>
      </c>
      <c r="H68" s="210">
        <f t="shared" si="33"/>
        <v>7377.1675507589243</v>
      </c>
      <c r="I68" s="210">
        <f t="shared" si="33"/>
        <v>-11256.865673276596</v>
      </c>
      <c r="J68" s="210">
        <f t="shared" si="33"/>
        <v>24357.24068934517</v>
      </c>
      <c r="K68" s="210">
        <f t="shared" si="33"/>
        <v>56473.295243627857</v>
      </c>
      <c r="L68" s="210">
        <f t="shared" si="33"/>
        <v>14714.102586969733</v>
      </c>
      <c r="M68" s="210">
        <f t="shared" si="33"/>
        <v>-13970.938781255856</v>
      </c>
      <c r="N68" s="210">
        <f t="shared" si="33"/>
        <v>13442.652146250941</v>
      </c>
      <c r="O68" s="210">
        <f t="shared" si="33"/>
        <v>42995.989972879644</v>
      </c>
      <c r="P68" s="210">
        <f t="shared" si="33"/>
        <v>16295.896472011693</v>
      </c>
      <c r="Q68" s="210">
        <f t="shared" si="33"/>
        <v>-12528.233831031248</v>
      </c>
      <c r="R68" s="210">
        <f t="shared" si="33"/>
        <v>15076.502582652029</v>
      </c>
      <c r="S68" s="210">
        <f t="shared" si="33"/>
        <v>44872.234394918196</v>
      </c>
      <c r="T68" s="210">
        <f t="shared" si="33"/>
        <v>18101.72913378384</v>
      </c>
      <c r="U68" s="210">
        <f t="shared" si="33"/>
        <v>-10882.093263634481</v>
      </c>
      <c r="V68" s="210">
        <f t="shared" si="33"/>
        <v>16416.182579904795</v>
      </c>
      <c r="W68" s="497">
        <f t="shared" si="33"/>
        <v>620.8994193947874</v>
      </c>
    </row>
  </sheetData>
  <printOptions horizontalCentered="1" verticalCentered="1"/>
  <pageMargins left="0.25" right="0.25" top="0.25" bottom="0.25" header="0.5" footer="0.5"/>
  <pageSetup paperSize="5" scale="58" orientation="landscape" horizont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N368"/>
  <sheetViews>
    <sheetView topLeftCell="AN1" workbookViewId="0">
      <selection activeCell="H11" sqref="H11"/>
    </sheetView>
  </sheetViews>
  <sheetFormatPr defaultColWidth="12.6640625" defaultRowHeight="15.6"/>
  <cols>
    <col min="1" max="1" width="9.109375" style="155" customWidth="1"/>
    <col min="2" max="2" width="11.88671875" style="161" customWidth="1"/>
    <col min="3" max="3" width="9.109375" style="155" customWidth="1"/>
    <col min="4" max="4" width="9.5546875" style="155" bestFit="1" customWidth="1"/>
    <col min="5" max="6" width="1.6640625" style="155" customWidth="1"/>
    <col min="7" max="7" width="18.33203125" style="155" bestFit="1" customWidth="1"/>
    <col min="8" max="8" width="16.6640625" style="155" bestFit="1" customWidth="1"/>
    <col min="9" max="32" width="12.6640625" style="155" customWidth="1"/>
    <col min="33" max="33" width="0.88671875" style="155" customWidth="1"/>
    <col min="34" max="34" width="12.6640625" style="155" customWidth="1"/>
    <col min="35" max="35" width="11.5546875" style="155" bestFit="1" customWidth="1"/>
    <col min="36" max="36" width="12.6640625" style="172" customWidth="1"/>
    <col min="37" max="39" width="12.6640625" style="155" customWidth="1"/>
    <col min="40" max="40" width="12.6640625" style="172" customWidth="1"/>
    <col min="41" max="43" width="12.6640625" style="155" customWidth="1"/>
    <col min="44" max="44" width="33.33203125" style="155" bestFit="1" customWidth="1"/>
    <col min="45" max="16384" width="12.6640625" style="155"/>
  </cols>
  <sheetData>
    <row r="1" spans="1:118">
      <c r="A1" s="157">
        <v>36580</v>
      </c>
      <c r="B1" s="155"/>
      <c r="AD1" s="624"/>
      <c r="AP1" s="156">
        <f>AVERAGE(AM3:AM23)</f>
        <v>8.719484972047449E-2</v>
      </c>
      <c r="AS1" s="586">
        <f ca="1">SUMPRODUCT(AS18:BL18,AS12:BL12)/SUM(AS12:BL12)</f>
        <v>8.7491497614392899E-2</v>
      </c>
    </row>
    <row r="2" spans="1:118">
      <c r="B2" s="155"/>
      <c r="AF2" s="167" t="s">
        <v>290</v>
      </c>
      <c r="AH2" s="177" t="s">
        <v>134</v>
      </c>
      <c r="AI2" s="178" t="s">
        <v>135</v>
      </c>
      <c r="AJ2" s="172">
        <v>118125000</v>
      </c>
      <c r="AM2" s="560" t="s">
        <v>276</v>
      </c>
      <c r="AN2" s="561" t="s">
        <v>277</v>
      </c>
      <c r="AO2" s="560" t="s">
        <v>225</v>
      </c>
      <c r="AP2" s="560"/>
      <c r="AV2" s="160"/>
      <c r="AW2" s="160"/>
      <c r="AX2" s="160"/>
      <c r="AY2" s="160"/>
    </row>
    <row r="3" spans="1:118">
      <c r="A3" s="184" t="s">
        <v>127</v>
      </c>
      <c r="B3" s="185"/>
      <c r="C3" s="186">
        <v>2.2499999999999999E-2</v>
      </c>
      <c r="H3" s="155">
        <v>1</v>
      </c>
      <c r="I3" s="155">
        <f>H3+1</f>
        <v>2</v>
      </c>
      <c r="J3" s="155">
        <f t="shared" ref="J3:AB3" si="0">I3+1</f>
        <v>3</v>
      </c>
      <c r="K3" s="155">
        <f t="shared" si="0"/>
        <v>4</v>
      </c>
      <c r="L3" s="155">
        <f t="shared" si="0"/>
        <v>5</v>
      </c>
      <c r="M3" s="155">
        <f t="shared" si="0"/>
        <v>6</v>
      </c>
      <c r="N3" s="155">
        <f t="shared" si="0"/>
        <v>7</v>
      </c>
      <c r="O3" s="155">
        <f t="shared" si="0"/>
        <v>8</v>
      </c>
      <c r="P3" s="155">
        <f t="shared" si="0"/>
        <v>9</v>
      </c>
      <c r="Q3" s="155">
        <f t="shared" si="0"/>
        <v>10</v>
      </c>
      <c r="R3" s="155">
        <f t="shared" si="0"/>
        <v>11</v>
      </c>
      <c r="S3" s="155">
        <f t="shared" si="0"/>
        <v>12</v>
      </c>
      <c r="T3" s="155">
        <f t="shared" si="0"/>
        <v>13</v>
      </c>
      <c r="U3" s="155">
        <f t="shared" si="0"/>
        <v>14</v>
      </c>
      <c r="V3" s="155">
        <f t="shared" si="0"/>
        <v>15</v>
      </c>
      <c r="W3" s="155">
        <f t="shared" si="0"/>
        <v>16</v>
      </c>
      <c r="X3" s="155">
        <f t="shared" si="0"/>
        <v>17</v>
      </c>
      <c r="Y3" s="155">
        <f t="shared" si="0"/>
        <v>18</v>
      </c>
      <c r="Z3" s="155">
        <f t="shared" si="0"/>
        <v>19</v>
      </c>
      <c r="AA3" s="155">
        <f t="shared" si="0"/>
        <v>20</v>
      </c>
      <c r="AB3" s="155">
        <f t="shared" si="0"/>
        <v>21</v>
      </c>
      <c r="AD3" s="623"/>
      <c r="AE3" s="625">
        <f t="shared" ref="AE3:AE23" si="1">AH3-30</f>
        <v>36861</v>
      </c>
      <c r="AF3" s="626">
        <f>VLOOKUP(AE3,'Revenues &amp; Expenses'!$K$9:$N$258,4)</f>
        <v>0.94533452136269336</v>
      </c>
      <c r="AH3" s="179">
        <v>36891</v>
      </c>
      <c r="AI3" s="175">
        <v>0</v>
      </c>
      <c r="AJ3" s="172">
        <f>$AJ$2*AI3</f>
        <v>0</v>
      </c>
      <c r="AK3" s="170">
        <f>AJ2-AJ3</f>
        <v>118125000</v>
      </c>
      <c r="AM3" s="173">
        <f>VLOOKUP(AH3,$A$8:$C$246,3)+$C$3</f>
        <v>8.3794834601901014E-2</v>
      </c>
      <c r="AN3" s="172">
        <f>AM3*AK3</f>
        <v>9898264.8373495564</v>
      </c>
      <c r="AO3" s="172"/>
      <c r="AP3" s="170"/>
      <c r="AR3" s="562" t="s">
        <v>278</v>
      </c>
      <c r="AS3" s="563"/>
      <c r="AT3" s="563"/>
      <c r="AU3" s="563"/>
      <c r="AV3" s="574"/>
      <c r="AW3" s="574"/>
      <c r="AX3" s="574"/>
      <c r="AY3" s="574"/>
      <c r="AZ3" s="563"/>
      <c r="BA3" s="563"/>
      <c r="BB3" s="564"/>
      <c r="BC3" s="563"/>
      <c r="BD3" s="563"/>
      <c r="BE3" s="563"/>
      <c r="BF3" s="563"/>
      <c r="BG3" s="564"/>
      <c r="BH3" s="563"/>
      <c r="BI3" s="563"/>
      <c r="BJ3" s="563"/>
      <c r="BK3" s="563"/>
      <c r="BL3" s="563"/>
      <c r="BM3" s="564"/>
      <c r="BN3" s="563"/>
      <c r="BO3" s="563"/>
      <c r="BP3" s="563"/>
      <c r="BQ3" s="564"/>
      <c r="BR3" s="563"/>
      <c r="BS3" s="563"/>
      <c r="BT3" s="563"/>
      <c r="BU3" s="563"/>
      <c r="BV3" s="563"/>
    </row>
    <row r="4" spans="1:118">
      <c r="B4" s="158"/>
      <c r="C4" s="160"/>
      <c r="AE4" s="625">
        <f t="shared" si="1"/>
        <v>37226.25</v>
      </c>
      <c r="AF4" s="626">
        <f>VLOOKUP(AE4,'Revenues &amp; Expenses'!$K$9:$N$258,4)</f>
        <v>0.87950265178452391</v>
      </c>
      <c r="AH4" s="179">
        <f>AH3+365.25</f>
        <v>37256.25</v>
      </c>
      <c r="AI4" s="175">
        <v>1.4999999999999999E-2</v>
      </c>
      <c r="AJ4" s="172">
        <f t="shared" ref="AJ4:AJ23" si="2">$AJ$2*AI4</f>
        <v>1771875</v>
      </c>
      <c r="AK4" s="170">
        <f>$AJ$2-SUM($AJ$3:AJ4)</f>
        <v>116353125</v>
      </c>
      <c r="AM4" s="173">
        <f t="shared" ref="AM4:AM23" si="3">VLOOKUP(AH4,$A$8:$C$246,3)+$C$3</f>
        <v>8.6879877198238004E-2</v>
      </c>
      <c r="AN4" s="172">
        <f>AM4*AK3</f>
        <v>10262685.494041864</v>
      </c>
      <c r="AO4" s="172"/>
      <c r="AP4" s="170"/>
      <c r="AR4" s="563" t="s">
        <v>279</v>
      </c>
      <c r="AS4" s="565">
        <f>AJ2</f>
        <v>118125000</v>
      </c>
      <c r="AT4" s="563"/>
      <c r="AU4" s="563"/>
      <c r="AV4" s="563"/>
      <c r="AW4" s="563"/>
      <c r="AX4" s="563"/>
      <c r="AY4" s="563"/>
      <c r="AZ4" s="563"/>
      <c r="BA4" s="563"/>
      <c r="BB4" s="563"/>
      <c r="BC4" s="563"/>
      <c r="BD4" s="563"/>
      <c r="BE4" s="563"/>
      <c r="BF4" s="563"/>
      <c r="BG4" s="563"/>
      <c r="BH4" s="563"/>
      <c r="BI4" s="563"/>
      <c r="BJ4" s="563"/>
      <c r="BK4" s="563"/>
      <c r="BL4" s="563"/>
      <c r="BM4" s="564"/>
      <c r="BN4" s="563"/>
      <c r="BO4" s="563"/>
      <c r="BP4" s="563"/>
      <c r="BQ4" s="564"/>
      <c r="BR4" s="563"/>
      <c r="BS4" s="563"/>
      <c r="BT4" s="563"/>
      <c r="BU4" s="563"/>
      <c r="BV4" s="563"/>
    </row>
    <row r="5" spans="1:118" ht="16.2" thickBot="1">
      <c r="C5" s="162"/>
      <c r="H5" s="163">
        <v>36891</v>
      </c>
      <c r="I5" s="163">
        <f>H5+365.25</f>
        <v>37256.25</v>
      </c>
      <c r="J5" s="163">
        <f t="shared" ref="J5:AA5" si="4">I5+365.25</f>
        <v>37621.5</v>
      </c>
      <c r="K5" s="163">
        <f t="shared" si="4"/>
        <v>37986.75</v>
      </c>
      <c r="L5" s="163">
        <f t="shared" si="4"/>
        <v>38352</v>
      </c>
      <c r="M5" s="163">
        <f t="shared" si="4"/>
        <v>38717.25</v>
      </c>
      <c r="N5" s="163">
        <f t="shared" si="4"/>
        <v>39082.5</v>
      </c>
      <c r="O5" s="163">
        <f t="shared" si="4"/>
        <v>39447.75</v>
      </c>
      <c r="P5" s="163">
        <f t="shared" si="4"/>
        <v>39813</v>
      </c>
      <c r="Q5" s="163">
        <f t="shared" si="4"/>
        <v>40178.25</v>
      </c>
      <c r="R5" s="163">
        <f t="shared" si="4"/>
        <v>40543.5</v>
      </c>
      <c r="S5" s="163">
        <f t="shared" si="4"/>
        <v>40908.75</v>
      </c>
      <c r="T5" s="163">
        <f t="shared" si="4"/>
        <v>41274</v>
      </c>
      <c r="U5" s="163">
        <f t="shared" si="4"/>
        <v>41639.25</v>
      </c>
      <c r="V5" s="163">
        <f t="shared" si="4"/>
        <v>42004.5</v>
      </c>
      <c r="W5" s="163">
        <f t="shared" si="4"/>
        <v>42369.75</v>
      </c>
      <c r="X5" s="163">
        <f t="shared" si="4"/>
        <v>42735</v>
      </c>
      <c r="Y5" s="163">
        <f t="shared" si="4"/>
        <v>43100.25</v>
      </c>
      <c r="Z5" s="163">
        <f t="shared" si="4"/>
        <v>43465.5</v>
      </c>
      <c r="AA5" s="163">
        <f t="shared" si="4"/>
        <v>43830.75</v>
      </c>
      <c r="AB5" s="163">
        <f>AA5+365.25</f>
        <v>44196</v>
      </c>
      <c r="AC5" s="188"/>
      <c r="AE5" s="625">
        <f t="shared" si="1"/>
        <v>37591.5</v>
      </c>
      <c r="AF5" s="626">
        <f>VLOOKUP(AE5,'Revenues &amp; Expenses'!$K$9:$N$258,4)</f>
        <v>0.81733728641604919</v>
      </c>
      <c r="AG5" s="188"/>
      <c r="AH5" s="179">
        <f t="shared" ref="AH5:AH23" si="5">AH4+365.25</f>
        <v>37621.5</v>
      </c>
      <c r="AI5" s="175">
        <v>0.03</v>
      </c>
      <c r="AJ5" s="172">
        <f t="shared" si="2"/>
        <v>3543750</v>
      </c>
      <c r="AK5" s="170">
        <f>$AJ$2-SUM($AJ$3:AJ5)</f>
        <v>112809375</v>
      </c>
      <c r="AM5" s="173">
        <f t="shared" si="3"/>
        <v>8.864493984845101E-2</v>
      </c>
      <c r="AN5" s="172">
        <f t="shared" ref="AN5:AN23" si="6">AM5*AK4</f>
        <v>10314115.766804302</v>
      </c>
      <c r="AO5" s="172"/>
      <c r="AP5" s="170"/>
      <c r="AR5" s="563" t="s">
        <v>280</v>
      </c>
      <c r="AS5" s="585">
        <f ca="1">AS1</f>
        <v>8.7491497614392899E-2</v>
      </c>
      <c r="AT5" s="563"/>
      <c r="AU5" s="563"/>
      <c r="AV5" s="574"/>
      <c r="AW5" s="583"/>
      <c r="AX5" s="574"/>
      <c r="AY5" s="574"/>
      <c r="AZ5" s="563"/>
      <c r="BA5" s="563"/>
      <c r="BB5" s="564"/>
      <c r="BC5" s="563"/>
      <c r="BD5" s="563"/>
      <c r="BE5" s="563"/>
      <c r="BF5" s="563"/>
      <c r="BG5" s="564"/>
      <c r="BH5" s="563"/>
      <c r="BI5" s="563"/>
      <c r="BJ5" s="563"/>
      <c r="BK5" s="563"/>
      <c r="BL5" s="563"/>
      <c r="BM5" s="564"/>
      <c r="BN5" s="563"/>
      <c r="BO5" s="563"/>
      <c r="BP5" s="563"/>
      <c r="BQ5" s="564"/>
      <c r="BR5" s="563"/>
      <c r="BS5" s="563"/>
      <c r="BT5" s="563"/>
      <c r="BU5" s="563"/>
      <c r="BV5" s="563"/>
    </row>
    <row r="6" spans="1:118" ht="16.2" thickBot="1">
      <c r="A6" s="164"/>
      <c r="B6" s="165"/>
      <c r="C6" s="166">
        <v>36199</v>
      </c>
      <c r="G6" s="183" t="s">
        <v>140</v>
      </c>
      <c r="AE6" s="625">
        <f t="shared" si="1"/>
        <v>37956.75</v>
      </c>
      <c r="AF6" s="626">
        <f>VLOOKUP(AE6,'Revenues &amp; Expenses'!$K$9:$N$258,4)</f>
        <v>0.75961790110436567</v>
      </c>
      <c r="AH6" s="179">
        <f t="shared" si="5"/>
        <v>37986.75</v>
      </c>
      <c r="AI6" s="175">
        <v>4.4999999999999998E-2</v>
      </c>
      <c r="AJ6" s="172">
        <f t="shared" si="2"/>
        <v>5315625</v>
      </c>
      <c r="AK6" s="170">
        <f>$AJ$2-SUM($AJ$3:AJ6)</f>
        <v>107493750</v>
      </c>
      <c r="AM6" s="173">
        <f t="shared" si="3"/>
        <v>8.9026089068365011E-2</v>
      </c>
      <c r="AN6" s="172">
        <f t="shared" si="6"/>
        <v>10042977.466496589</v>
      </c>
      <c r="AO6" s="172"/>
      <c r="AP6" s="170"/>
      <c r="AR6" s="563" t="s">
        <v>281</v>
      </c>
      <c r="AS6" s="563">
        <v>20</v>
      </c>
      <c r="AT6" s="563"/>
      <c r="AU6" s="563"/>
      <c r="AV6" s="574"/>
      <c r="AW6" s="574"/>
      <c r="AX6" s="574"/>
      <c r="AY6" s="574"/>
      <c r="AZ6" s="563"/>
      <c r="BA6" s="563"/>
      <c r="BB6" s="564"/>
      <c r="BC6" s="563"/>
      <c r="BD6" s="563"/>
      <c r="BE6" s="563"/>
      <c r="BF6" s="563"/>
      <c r="BG6" s="564"/>
      <c r="BH6" s="563"/>
      <c r="BI6" s="563"/>
      <c r="BJ6" s="563"/>
      <c r="BK6" s="563"/>
      <c r="BL6" s="563"/>
      <c r="BM6" s="564"/>
      <c r="BN6" s="563"/>
      <c r="BO6" s="563"/>
      <c r="BP6" s="563"/>
      <c r="BQ6" s="564"/>
      <c r="BR6" s="563"/>
      <c r="BS6" s="563"/>
      <c r="BT6" s="563"/>
      <c r="BU6" s="563"/>
      <c r="BV6" s="563"/>
    </row>
    <row r="7" spans="1:118">
      <c r="A7" s="167" t="s">
        <v>126</v>
      </c>
      <c r="B7" s="168" t="s">
        <v>32</v>
      </c>
      <c r="C7" s="169" t="s">
        <v>53</v>
      </c>
      <c r="D7" s="167" t="s">
        <v>128</v>
      </c>
      <c r="G7" s="155" t="s">
        <v>129</v>
      </c>
      <c r="H7" s="191">
        <v>118125000</v>
      </c>
      <c r="I7" s="170">
        <f>H9</f>
        <v>118125000</v>
      </c>
      <c r="J7" s="170">
        <f ca="1">I9</f>
        <v>115750253.87226292</v>
      </c>
      <c r="K7" s="170">
        <f t="shared" ref="K7:AA7" ca="1" si="7">J9</f>
        <v>113167737.64935613</v>
      </c>
      <c r="L7" s="170">
        <f t="shared" ca="1" si="7"/>
        <v>110359273.21449378</v>
      </c>
      <c r="M7" s="170">
        <f t="shared" ca="1" si="7"/>
        <v>107305092.02022858</v>
      </c>
      <c r="N7" s="170">
        <f t="shared" ca="1" si="7"/>
        <v>103983695.93929136</v>
      </c>
      <c r="O7" s="170">
        <f t="shared" ca="1" si="7"/>
        <v>100371705.94106238</v>
      </c>
      <c r="P7" s="170">
        <f t="shared" ca="1" si="7"/>
        <v>96443697.528520107</v>
      </c>
      <c r="Q7" s="170">
        <f t="shared" ca="1" si="7"/>
        <v>92172021.777322665</v>
      </c>
      <c r="R7" s="170">
        <f t="shared" ca="1" si="7"/>
        <v>87526610.7173298</v>
      </c>
      <c r="S7" s="170">
        <f t="shared" ca="1" si="7"/>
        <v>82474765.686663747</v>
      </c>
      <c r="T7" s="170">
        <f t="shared" ca="1" si="7"/>
        <v>76980927.168548897</v>
      </c>
      <c r="U7" s="170">
        <f t="shared" ca="1" si="7"/>
        <v>71006424.490832493</v>
      </c>
      <c r="V7" s="170">
        <f t="shared" ca="1" si="7"/>
        <v>64509203.626341507</v>
      </c>
      <c r="W7" s="170">
        <f t="shared" ca="1" si="7"/>
        <v>57443531.178084709</v>
      </c>
      <c r="X7" s="170">
        <f t="shared" ca="1" si="7"/>
        <v>49759672.465677172</v>
      </c>
      <c r="Y7" s="170">
        <f t="shared" ca="1" si="7"/>
        <v>41403541.447063662</v>
      </c>
      <c r="Z7" s="170">
        <f t="shared" ca="1" si="7"/>
        <v>32316320.01136956</v>
      </c>
      <c r="AA7" s="170">
        <f t="shared" ca="1" si="7"/>
        <v>22434043.963113017</v>
      </c>
      <c r="AB7" s="170">
        <f ca="1">AA9</f>
        <v>11687152.783555686</v>
      </c>
      <c r="AC7" s="170"/>
      <c r="AE7" s="625">
        <f t="shared" si="1"/>
        <v>38322</v>
      </c>
      <c r="AF7" s="626">
        <f>VLOOKUP(AE7,'Revenues &amp; Expenses'!$K$9:$N$258,4)</f>
        <v>0.70506275032547461</v>
      </c>
      <c r="AG7" s="170"/>
      <c r="AH7" s="179">
        <f t="shared" si="5"/>
        <v>38352</v>
      </c>
      <c r="AI7" s="175">
        <v>6.4000000000000001E-2</v>
      </c>
      <c r="AJ7" s="172">
        <f t="shared" si="2"/>
        <v>7560000</v>
      </c>
      <c r="AK7" s="170">
        <f>$AJ$2-SUM($AJ$3:AJ7)</f>
        <v>99933750</v>
      </c>
      <c r="AM7" s="173">
        <f t="shared" si="3"/>
        <v>8.8459695227423002E-2</v>
      </c>
      <c r="AN7" s="172">
        <f t="shared" si="6"/>
        <v>9508864.3638528008</v>
      </c>
      <c r="AO7" s="172"/>
      <c r="AP7" s="170"/>
      <c r="AR7" s="563" t="s">
        <v>282</v>
      </c>
      <c r="AS7" s="566">
        <f ca="1">1/AS5-(1/(AS5*(1+AS5)^AS6))</f>
        <v>9.2940976216398994</v>
      </c>
      <c r="AT7" s="563"/>
      <c r="AU7" s="563"/>
      <c r="AV7" s="574"/>
      <c r="AW7" s="574"/>
      <c r="AX7" s="574"/>
      <c r="AY7" s="574"/>
      <c r="AZ7" s="563"/>
      <c r="BA7" s="563"/>
      <c r="BB7" s="564"/>
      <c r="BC7" s="563"/>
      <c r="BD7" s="563"/>
      <c r="BE7" s="563"/>
      <c r="BF7" s="563"/>
      <c r="BG7" s="564"/>
      <c r="BH7" s="563"/>
      <c r="BI7" s="563"/>
      <c r="BJ7" s="563"/>
      <c r="BK7" s="563"/>
      <c r="BL7" s="563"/>
      <c r="BM7" s="574"/>
      <c r="BN7" s="575"/>
      <c r="BO7" s="575"/>
      <c r="BP7" s="575"/>
      <c r="BQ7" s="574"/>
      <c r="BR7" s="575"/>
      <c r="BS7" s="575"/>
      <c r="BT7" s="575"/>
      <c r="BU7" s="575"/>
      <c r="BV7" s="575"/>
      <c r="BW7" s="576"/>
      <c r="BX7" s="576"/>
      <c r="BY7" s="576"/>
      <c r="BZ7" s="576"/>
      <c r="CA7" s="576"/>
      <c r="CB7" s="576"/>
      <c r="CC7" s="576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6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6"/>
      <c r="DM7" s="576"/>
      <c r="DN7" s="576"/>
    </row>
    <row r="8" spans="1:118">
      <c r="A8" s="161">
        <v>36585</v>
      </c>
      <c r="B8" s="171">
        <v>36557</v>
      </c>
      <c r="C8" s="156">
        <f>'Revenues &amp; Expenses'!M8</f>
        <v>0</v>
      </c>
      <c r="D8" s="156">
        <f>C8+$C$3</f>
        <v>2.2499999999999999E-2</v>
      </c>
      <c r="G8" s="155" t="s">
        <v>130</v>
      </c>
      <c r="H8" s="172">
        <v>0</v>
      </c>
      <c r="I8" s="172">
        <f ca="1">AS13</f>
        <v>2374746.1277370825</v>
      </c>
      <c r="J8" s="172">
        <f t="shared" ref="J8:AB8" ca="1" si="8">AT13</f>
        <v>2582516.2229067814</v>
      </c>
      <c r="K8" s="172">
        <f t="shared" ca="1" si="8"/>
        <v>2808464.4348623604</v>
      </c>
      <c r="L8" s="172">
        <f t="shared" ca="1" si="8"/>
        <v>3054181.1942652259</v>
      </c>
      <c r="M8" s="172">
        <f t="shared" ca="1" si="8"/>
        <v>3321396.0809372067</v>
      </c>
      <c r="N8" s="172">
        <f t="shared" ca="1" si="8"/>
        <v>3611989.9982289765</v>
      </c>
      <c r="O8" s="172">
        <f t="shared" ca="1" si="8"/>
        <v>3928008.4125422426</v>
      </c>
      <c r="P8" s="172">
        <f t="shared" ca="1" si="8"/>
        <v>4271675.7511974927</v>
      </c>
      <c r="Q8" s="172">
        <f t="shared" ca="1" si="8"/>
        <v>4645411.0599928489</v>
      </c>
      <c r="R8" s="172">
        <f t="shared" ca="1" si="8"/>
        <v>5051845.030666085</v>
      </c>
      <c r="S8" s="172">
        <f t="shared" ca="1" si="8"/>
        <v>5493838.5181148862</v>
      </c>
      <c r="T8" s="172">
        <f t="shared" ca="1" si="8"/>
        <v>5974502.6777163949</v>
      </c>
      <c r="U8" s="172">
        <f t="shared" ca="1" si="8"/>
        <v>6497220.8644910008</v>
      </c>
      <c r="V8" s="172">
        <f t="shared" ca="1" si="8"/>
        <v>7065672.448256799</v>
      </c>
      <c r="W8" s="172">
        <f t="shared" ca="1" si="8"/>
        <v>7683858.7124075396</v>
      </c>
      <c r="X8" s="172">
        <f t="shared" ca="1" si="8"/>
        <v>8356131.0186134782</v>
      </c>
      <c r="Y8" s="172">
        <f t="shared" ca="1" si="8"/>
        <v>9087221.4356940575</v>
      </c>
      <c r="Z8" s="172">
        <f t="shared" ca="1" si="8"/>
        <v>9882276.0482565444</v>
      </c>
      <c r="AA8" s="172">
        <f t="shared" ca="1" si="8"/>
        <v>10746891.179557351</v>
      </c>
      <c r="AB8" s="172">
        <f t="shared" ca="1" si="8"/>
        <v>11687152.783555735</v>
      </c>
      <c r="AC8" s="172"/>
      <c r="AE8" s="625">
        <f t="shared" si="1"/>
        <v>38687.25</v>
      </c>
      <c r="AF8" s="626">
        <f>VLOOKUP(AE8,'Revenues &amp; Expenses'!$K$9:$N$258,4)</f>
        <v>0.6547701320602235</v>
      </c>
      <c r="AG8" s="172"/>
      <c r="AH8" s="179">
        <f t="shared" si="5"/>
        <v>38717.25</v>
      </c>
      <c r="AI8" s="175">
        <v>3.7999999999999999E-2</v>
      </c>
      <c r="AJ8" s="172">
        <f t="shared" si="2"/>
        <v>4488750</v>
      </c>
      <c r="AK8" s="170">
        <f>$AJ$2-SUM($AJ$3:AJ8)</f>
        <v>95445000</v>
      </c>
      <c r="AM8" s="173">
        <f t="shared" si="3"/>
        <v>8.830385129426499E-2</v>
      </c>
      <c r="AN8" s="172">
        <f t="shared" si="6"/>
        <v>8824534.9992782548</v>
      </c>
      <c r="AO8" s="172"/>
      <c r="AP8" s="170"/>
      <c r="AR8" s="563" t="s">
        <v>283</v>
      </c>
      <c r="AS8" s="565">
        <f ca="1">AS4/AS7</f>
        <v>12709679.283437245</v>
      </c>
      <c r="AT8" s="563"/>
      <c r="AU8" s="563"/>
      <c r="AV8" s="575"/>
      <c r="AW8" s="574"/>
      <c r="AX8" s="575"/>
      <c r="AY8" s="575"/>
      <c r="AZ8" s="563"/>
      <c r="BA8" s="563"/>
      <c r="BB8" s="564"/>
      <c r="BC8" s="563"/>
      <c r="BD8" s="563"/>
      <c r="BE8" s="563"/>
      <c r="BF8" s="563"/>
      <c r="BG8" s="564"/>
      <c r="BH8" s="563"/>
      <c r="BI8" s="563"/>
      <c r="BJ8" s="563"/>
      <c r="BK8" s="563"/>
      <c r="BL8" s="563"/>
      <c r="BM8" s="574"/>
      <c r="BN8" s="575"/>
      <c r="BO8" s="575"/>
      <c r="BP8" s="575"/>
      <c r="BQ8" s="574"/>
      <c r="BR8" s="575"/>
      <c r="BS8" s="575"/>
      <c r="BT8" s="575"/>
      <c r="BU8" s="575"/>
      <c r="BV8" s="575"/>
      <c r="BW8" s="576"/>
      <c r="BX8" s="576"/>
      <c r="BY8" s="576"/>
      <c r="BZ8" s="576"/>
      <c r="CA8" s="576"/>
      <c r="CB8" s="576"/>
      <c r="CC8" s="576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6"/>
      <c r="DM8" s="576"/>
      <c r="DN8" s="576"/>
    </row>
    <row r="9" spans="1:118">
      <c r="A9" s="161">
        <v>36616</v>
      </c>
      <c r="B9" s="171">
        <v>36586</v>
      </c>
      <c r="C9" s="156">
        <f>'Revenues &amp; Expenses'!M9</f>
        <v>5.8667181517753013E-2</v>
      </c>
      <c r="D9" s="156">
        <f t="shared" ref="D9:D72" si="9">C9+$C$3</f>
        <v>8.1167181517753012E-2</v>
      </c>
      <c r="G9" s="155" t="s">
        <v>131</v>
      </c>
      <c r="H9" s="170">
        <f>H7-H8</f>
        <v>118125000</v>
      </c>
      <c r="I9" s="170">
        <f ca="1">I7-I8</f>
        <v>115750253.87226292</v>
      </c>
      <c r="J9" s="170">
        <f ca="1">J7-J8</f>
        <v>113167737.64935614</v>
      </c>
      <c r="K9" s="170">
        <f t="shared" ref="K9:AB9" ca="1" si="10">K7-K8</f>
        <v>110359273.21449377</v>
      </c>
      <c r="L9" s="170">
        <f t="shared" ca="1" si="10"/>
        <v>107305092.02022855</v>
      </c>
      <c r="M9" s="170">
        <f t="shared" ca="1" si="10"/>
        <v>103983695.93929137</v>
      </c>
      <c r="N9" s="170">
        <f t="shared" ca="1" si="10"/>
        <v>100371705.94106238</v>
      </c>
      <c r="O9" s="170">
        <f t="shared" ca="1" si="10"/>
        <v>96443697.528520137</v>
      </c>
      <c r="P9" s="170">
        <f t="shared" ca="1" si="10"/>
        <v>92172021.77732262</v>
      </c>
      <c r="Q9" s="170">
        <f t="shared" ca="1" si="10"/>
        <v>87526610.717329815</v>
      </c>
      <c r="R9" s="170">
        <f t="shared" ca="1" si="10"/>
        <v>82474765.686663717</v>
      </c>
      <c r="S9" s="170">
        <f t="shared" ca="1" si="10"/>
        <v>76980927.168548867</v>
      </c>
      <c r="T9" s="170">
        <f t="shared" ca="1" si="10"/>
        <v>71006424.490832508</v>
      </c>
      <c r="U9" s="170">
        <f t="shared" ca="1" si="10"/>
        <v>64509203.626341492</v>
      </c>
      <c r="V9" s="170">
        <f t="shared" ca="1" si="10"/>
        <v>57443531.178084709</v>
      </c>
      <c r="W9" s="170">
        <f t="shared" ca="1" si="10"/>
        <v>49759672.465677172</v>
      </c>
      <c r="X9" s="170">
        <f t="shared" ca="1" si="10"/>
        <v>41403541.447063692</v>
      </c>
      <c r="Y9" s="170">
        <f t="shared" ca="1" si="10"/>
        <v>32316320.011369605</v>
      </c>
      <c r="Z9" s="170">
        <f t="shared" ca="1" si="10"/>
        <v>22434043.963113017</v>
      </c>
      <c r="AA9" s="170">
        <f t="shared" ca="1" si="10"/>
        <v>11687152.783555666</v>
      </c>
      <c r="AB9" s="170">
        <f t="shared" ca="1" si="10"/>
        <v>-4.8428773880004883E-8</v>
      </c>
      <c r="AC9" s="170"/>
      <c r="AE9" s="625">
        <f t="shared" si="1"/>
        <v>39052.5</v>
      </c>
      <c r="AF9" s="626">
        <f>VLOOKUP(AE9,'Revenues &amp; Expenses'!$K$9:$N$258,4)</f>
        <v>0.60803619621257565</v>
      </c>
      <c r="AG9" s="170"/>
      <c r="AH9" s="179">
        <f t="shared" si="5"/>
        <v>39082.5</v>
      </c>
      <c r="AI9" s="175">
        <v>7.8E-2</v>
      </c>
      <c r="AJ9" s="172">
        <f t="shared" si="2"/>
        <v>9213750</v>
      </c>
      <c r="AK9" s="170">
        <f>$AJ$2-SUM($AJ$3:AJ9)</f>
        <v>86231250</v>
      </c>
      <c r="AM9" s="173">
        <f t="shared" si="3"/>
        <v>8.8148007530095995E-2</v>
      </c>
      <c r="AN9" s="172">
        <f t="shared" si="6"/>
        <v>8413286.5787100121</v>
      </c>
      <c r="AO9" s="172"/>
      <c r="AP9" s="170"/>
      <c r="AR9" s="563"/>
      <c r="AS9" s="563"/>
      <c r="AT9" s="563"/>
      <c r="AU9" s="563"/>
      <c r="AV9" s="575"/>
      <c r="AW9" s="574"/>
      <c r="AX9" s="575"/>
      <c r="AY9" s="575"/>
      <c r="AZ9" s="563"/>
      <c r="BA9" s="563"/>
      <c r="BB9" s="564"/>
      <c r="BC9" s="563"/>
      <c r="BD9" s="563"/>
      <c r="BE9" s="563"/>
      <c r="BF9" s="563"/>
      <c r="BG9" s="564"/>
      <c r="BH9" s="563"/>
      <c r="BI9" s="563"/>
      <c r="BJ9" s="563"/>
      <c r="BK9" s="563"/>
      <c r="BL9" s="563"/>
      <c r="BM9" s="574"/>
      <c r="BN9" s="575"/>
      <c r="BO9" s="575"/>
      <c r="BP9" s="575"/>
      <c r="BQ9" s="574"/>
      <c r="BR9" s="575"/>
      <c r="BS9" s="575"/>
      <c r="BT9" s="575"/>
      <c r="BU9" s="575"/>
      <c r="BV9" s="575"/>
      <c r="BW9" s="576"/>
      <c r="BX9" s="576"/>
      <c r="BY9" s="576"/>
      <c r="BZ9" s="576"/>
      <c r="CA9" s="576"/>
      <c r="CB9" s="576"/>
      <c r="CC9" s="576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6"/>
      <c r="CU9" s="576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6"/>
      <c r="DL9" s="576"/>
      <c r="DM9" s="576"/>
      <c r="DN9" s="576"/>
    </row>
    <row r="10" spans="1:118">
      <c r="A10" s="161">
        <v>36646</v>
      </c>
      <c r="B10" s="171">
        <v>36617</v>
      </c>
      <c r="C10" s="156">
        <f>'Revenues &amp; Expenses'!M10</f>
        <v>5.8863659044766009E-2</v>
      </c>
      <c r="D10" s="156">
        <f t="shared" si="9"/>
        <v>8.1363659044766001E-2</v>
      </c>
      <c r="AE10" s="625">
        <f t="shared" si="1"/>
        <v>39417.75</v>
      </c>
      <c r="AF10" s="626">
        <f>VLOOKUP(AE10,'Revenues &amp; Expenses'!$K$9:$N$258,4)</f>
        <v>0.56467270987595808</v>
      </c>
      <c r="AH10" s="179">
        <f t="shared" si="5"/>
        <v>39447.75</v>
      </c>
      <c r="AI10" s="175">
        <v>7.4999999999999997E-2</v>
      </c>
      <c r="AJ10" s="172">
        <f t="shared" si="2"/>
        <v>8859375</v>
      </c>
      <c r="AK10" s="170">
        <f>$AJ$2-SUM($AJ$3:AJ10)</f>
        <v>77371875</v>
      </c>
      <c r="AM10" s="173">
        <f t="shared" si="3"/>
        <v>8.7992163934928008E-2</v>
      </c>
      <c r="AN10" s="172">
        <f t="shared" si="6"/>
        <v>7587674.286313761</v>
      </c>
      <c r="AO10" s="172"/>
      <c r="AP10" s="170"/>
      <c r="AR10" s="563"/>
      <c r="AS10" s="567">
        <v>1</v>
      </c>
      <c r="AT10" s="567">
        <v>2</v>
      </c>
      <c r="AU10" s="567">
        <v>3</v>
      </c>
      <c r="AV10" s="567">
        <v>4</v>
      </c>
      <c r="AW10" s="568">
        <v>5</v>
      </c>
      <c r="AX10" s="567">
        <v>6</v>
      </c>
      <c r="AY10" s="567">
        <v>7</v>
      </c>
      <c r="AZ10" s="567">
        <v>8</v>
      </c>
      <c r="BA10" s="567">
        <v>9</v>
      </c>
      <c r="BB10" s="568">
        <v>10</v>
      </c>
      <c r="BC10" s="567">
        <v>11</v>
      </c>
      <c r="BD10" s="567">
        <v>12</v>
      </c>
      <c r="BE10" s="567">
        <v>13</v>
      </c>
      <c r="BF10" s="567">
        <v>14</v>
      </c>
      <c r="BG10" s="568">
        <v>15</v>
      </c>
      <c r="BH10" s="567">
        <v>16</v>
      </c>
      <c r="BI10" s="567">
        <v>17</v>
      </c>
      <c r="BJ10" s="567">
        <v>18</v>
      </c>
      <c r="BK10" s="567">
        <v>19</v>
      </c>
      <c r="BL10" s="567">
        <v>20</v>
      </c>
      <c r="BM10" s="577"/>
      <c r="BN10" s="578"/>
      <c r="BO10" s="578"/>
      <c r="BP10" s="578"/>
      <c r="BQ10" s="577"/>
      <c r="BR10" s="578"/>
      <c r="BS10" s="578"/>
      <c r="BT10" s="578"/>
      <c r="BU10" s="578"/>
      <c r="BV10" s="578"/>
      <c r="BW10" s="576"/>
      <c r="BX10" s="576"/>
      <c r="BY10" s="576"/>
      <c r="BZ10" s="576"/>
      <c r="CA10" s="576"/>
      <c r="CB10" s="576"/>
      <c r="CC10" s="576"/>
      <c r="CD10" s="576"/>
      <c r="CE10" s="576"/>
      <c r="CF10" s="576"/>
      <c r="CG10" s="576"/>
      <c r="CH10" s="576"/>
      <c r="CI10" s="576"/>
      <c r="CJ10" s="576"/>
      <c r="CK10" s="576"/>
      <c r="CL10" s="576"/>
      <c r="CM10" s="576"/>
      <c r="CN10" s="576"/>
      <c r="CO10" s="576"/>
      <c r="CP10" s="576"/>
      <c r="CQ10" s="576"/>
      <c r="CR10" s="576"/>
      <c r="CS10" s="576"/>
      <c r="CT10" s="576"/>
      <c r="CU10" s="576"/>
      <c r="CV10" s="576"/>
      <c r="CW10" s="576"/>
      <c r="CX10" s="576"/>
      <c r="CY10" s="576"/>
      <c r="CZ10" s="576"/>
      <c r="DA10" s="576"/>
      <c r="DB10" s="576"/>
      <c r="DC10" s="576"/>
      <c r="DD10" s="576"/>
      <c r="DE10" s="576"/>
      <c r="DF10" s="576"/>
      <c r="DG10" s="576"/>
      <c r="DH10" s="576"/>
      <c r="DI10" s="576"/>
      <c r="DJ10" s="576"/>
      <c r="DK10" s="576"/>
      <c r="DL10" s="576"/>
      <c r="DM10" s="576"/>
      <c r="DN10" s="576"/>
    </row>
    <row r="11" spans="1:118">
      <c r="A11" s="161">
        <v>36677</v>
      </c>
      <c r="B11" s="171">
        <v>36647</v>
      </c>
      <c r="C11" s="156">
        <f>'Revenues &amp; Expenses'!M11</f>
        <v>5.8863659044765003E-2</v>
      </c>
      <c r="D11" s="156">
        <f t="shared" si="9"/>
        <v>8.1363659044765002E-2</v>
      </c>
      <c r="G11" s="155" t="s">
        <v>132</v>
      </c>
      <c r="H11" s="173">
        <f>VLOOKUP(H5,$A$8:$D$246,4)</f>
        <v>8.3794834601901014E-2</v>
      </c>
      <c r="I11" s="173">
        <f t="shared" ref="I11:AB11" si="11">VLOOKUP(I5,$A$8:$D$246,4)</f>
        <v>8.6879877198238004E-2</v>
      </c>
      <c r="J11" s="173">
        <f t="shared" si="11"/>
        <v>8.864493984845101E-2</v>
      </c>
      <c r="K11" s="173">
        <f t="shared" si="11"/>
        <v>8.9026089068365011E-2</v>
      </c>
      <c r="L11" s="173">
        <f t="shared" si="11"/>
        <v>8.8459695227423002E-2</v>
      </c>
      <c r="M11" s="173">
        <f t="shared" si="11"/>
        <v>8.830385129426499E-2</v>
      </c>
      <c r="N11" s="173">
        <f t="shared" si="11"/>
        <v>8.8148007530095995E-2</v>
      </c>
      <c r="O11" s="173">
        <f t="shared" si="11"/>
        <v>8.7992163934928008E-2</v>
      </c>
      <c r="P11" s="173">
        <f t="shared" si="11"/>
        <v>8.7780999020832001E-2</v>
      </c>
      <c r="Q11" s="173">
        <f t="shared" si="11"/>
        <v>8.6372881644976029E-2</v>
      </c>
      <c r="R11" s="173">
        <f t="shared" si="11"/>
        <v>8.6209103799484016E-2</v>
      </c>
      <c r="S11" s="173">
        <f t="shared" si="11"/>
        <v>8.6345827844272E-2</v>
      </c>
      <c r="T11" s="173">
        <f t="shared" si="11"/>
        <v>8.6482926606210014E-2</v>
      </c>
      <c r="U11" s="173">
        <f t="shared" si="11"/>
        <v>8.6619650911728019E-2</v>
      </c>
      <c r="V11" s="173">
        <f t="shared" si="11"/>
        <v>8.6756375347421005E-2</v>
      </c>
      <c r="W11" s="173">
        <f t="shared" si="11"/>
        <v>8.6893099913280009E-2</v>
      </c>
      <c r="X11" s="173">
        <f t="shared" si="11"/>
        <v>8.7030199197684011E-2</v>
      </c>
      <c r="Y11" s="173">
        <f t="shared" si="11"/>
        <v>8.7166924024206005E-2</v>
      </c>
      <c r="Z11" s="173">
        <f t="shared" si="11"/>
        <v>8.7303648980870008E-2</v>
      </c>
      <c r="AA11" s="173">
        <f t="shared" si="11"/>
        <v>8.7440374067666998E-2</v>
      </c>
      <c r="AB11" s="173">
        <f t="shared" si="11"/>
        <v>8.7440374067666998E-2</v>
      </c>
      <c r="AC11" s="173"/>
      <c r="AE11" s="625">
        <f t="shared" si="1"/>
        <v>39783</v>
      </c>
      <c r="AF11" s="626">
        <f>VLOOKUP(AE11,'Revenues &amp; Expenses'!$K$9:$N$258,4)</f>
        <v>0.52421535241972717</v>
      </c>
      <c r="AG11" s="173"/>
      <c r="AH11" s="179">
        <f t="shared" si="5"/>
        <v>39813</v>
      </c>
      <c r="AI11" s="175">
        <v>7.0000000000000007E-2</v>
      </c>
      <c r="AJ11" s="172">
        <f t="shared" si="2"/>
        <v>8268750.0000000009</v>
      </c>
      <c r="AK11" s="170">
        <f>$AJ$2-SUM($AJ$3:AJ11)</f>
        <v>69103125</v>
      </c>
      <c r="AM11" s="173">
        <f t="shared" si="3"/>
        <v>8.7780999020832001E-2</v>
      </c>
      <c r="AN11" s="172">
        <f t="shared" si="6"/>
        <v>6791780.4836149355</v>
      </c>
      <c r="AO11" s="172"/>
      <c r="AP11" s="170"/>
      <c r="AR11" s="569"/>
      <c r="AS11" s="570">
        <v>2001</v>
      </c>
      <c r="AT11" s="570">
        <v>2002</v>
      </c>
      <c r="AU11" s="570">
        <v>2003</v>
      </c>
      <c r="AV11" s="570">
        <v>2004</v>
      </c>
      <c r="AW11" s="571">
        <v>2005</v>
      </c>
      <c r="AX11" s="570">
        <v>2006</v>
      </c>
      <c r="AY11" s="570">
        <v>2007</v>
      </c>
      <c r="AZ11" s="570">
        <v>2008</v>
      </c>
      <c r="BA11" s="570">
        <v>2009</v>
      </c>
      <c r="BB11" s="571">
        <v>2010</v>
      </c>
      <c r="BC11" s="570">
        <v>2011</v>
      </c>
      <c r="BD11" s="570">
        <v>2012</v>
      </c>
      <c r="BE11" s="570">
        <v>2013</v>
      </c>
      <c r="BF11" s="570">
        <v>2014</v>
      </c>
      <c r="BG11" s="571">
        <v>2015</v>
      </c>
      <c r="BH11" s="570">
        <v>2016</v>
      </c>
      <c r="BI11" s="570">
        <v>2017</v>
      </c>
      <c r="BJ11" s="570">
        <v>2018</v>
      </c>
      <c r="BK11" s="570">
        <v>2019</v>
      </c>
      <c r="BL11" s="570">
        <v>2020</v>
      </c>
      <c r="BM11" s="579"/>
      <c r="BN11" s="580"/>
      <c r="BO11" s="580"/>
      <c r="BP11" s="580"/>
      <c r="BQ11" s="579"/>
      <c r="BR11" s="580"/>
      <c r="BS11" s="580"/>
      <c r="BT11" s="580"/>
      <c r="BU11" s="580"/>
      <c r="BV11" s="580"/>
      <c r="BW11" s="576"/>
      <c r="BX11" s="576"/>
      <c r="BY11" s="576"/>
      <c r="BZ11" s="576"/>
      <c r="CA11" s="576"/>
      <c r="CB11" s="576"/>
      <c r="CC11" s="576"/>
      <c r="CD11" s="576"/>
      <c r="CE11" s="576"/>
      <c r="CF11" s="576"/>
      <c r="CG11" s="576"/>
      <c r="CH11" s="576"/>
      <c r="CI11" s="576"/>
      <c r="CJ11" s="576"/>
      <c r="CK11" s="576"/>
      <c r="CL11" s="576"/>
      <c r="CM11" s="576"/>
      <c r="CN11" s="576"/>
      <c r="CO11" s="576"/>
      <c r="CP11" s="576"/>
      <c r="CQ11" s="576"/>
      <c r="CR11" s="576"/>
      <c r="CS11" s="576"/>
      <c r="CT11" s="576"/>
      <c r="CU11" s="576"/>
      <c r="CV11" s="576"/>
      <c r="CW11" s="576"/>
      <c r="CX11" s="576"/>
      <c r="CY11" s="576"/>
      <c r="CZ11" s="576"/>
      <c r="DA11" s="576"/>
      <c r="DB11" s="576"/>
      <c r="DC11" s="576"/>
      <c r="DD11" s="576"/>
      <c r="DE11" s="576"/>
      <c r="DF11" s="576"/>
      <c r="DG11" s="576"/>
      <c r="DH11" s="576"/>
      <c r="DI11" s="576"/>
      <c r="DJ11" s="576"/>
      <c r="DK11" s="576"/>
      <c r="DL11" s="576"/>
      <c r="DM11" s="576"/>
      <c r="DN11" s="576"/>
    </row>
    <row r="12" spans="1:118">
      <c r="A12" s="161">
        <v>36707</v>
      </c>
      <c r="B12" s="171">
        <v>36678</v>
      </c>
      <c r="C12" s="156">
        <f>'Revenues &amp; Expenses'!M12</f>
        <v>5.8863659044765003E-2</v>
      </c>
      <c r="D12" s="156">
        <f t="shared" si="9"/>
        <v>8.1363659044765002E-2</v>
      </c>
      <c r="AE12" s="625">
        <f t="shared" si="1"/>
        <v>40148.25</v>
      </c>
      <c r="AF12" s="626">
        <f>VLOOKUP(AE12,'Revenues &amp; Expenses'!$K$9:$N$258,4)</f>
        <v>0.48658990934541541</v>
      </c>
      <c r="AH12" s="179">
        <f t="shared" si="5"/>
        <v>40178.25</v>
      </c>
      <c r="AI12" s="175">
        <v>7.0000000000000007E-2</v>
      </c>
      <c r="AJ12" s="172">
        <f t="shared" si="2"/>
        <v>8268750.0000000009</v>
      </c>
      <c r="AK12" s="170">
        <f>$AJ$2-SUM($AJ$3:AJ12)</f>
        <v>60834375</v>
      </c>
      <c r="AM12" s="173">
        <f t="shared" si="3"/>
        <v>8.6372881644976029E-2</v>
      </c>
      <c r="AN12" s="172">
        <f t="shared" si="6"/>
        <v>5968636.0369229838</v>
      </c>
      <c r="AO12" s="172"/>
      <c r="AP12" s="170"/>
      <c r="AR12" s="565" t="s">
        <v>129</v>
      </c>
      <c r="AS12" s="565">
        <f>AS4</f>
        <v>118125000</v>
      </c>
      <c r="AT12" s="565">
        <f t="shared" ref="AT12:BL12" ca="1" si="12">AS15</f>
        <v>115750253.87226292</v>
      </c>
      <c r="AU12" s="565">
        <f t="shared" ca="1" si="12"/>
        <v>113167737.64935614</v>
      </c>
      <c r="AV12" s="565">
        <f t="shared" ca="1" si="12"/>
        <v>110359273.21449377</v>
      </c>
      <c r="AW12" s="572">
        <f t="shared" ca="1" si="12"/>
        <v>107305092.02022855</v>
      </c>
      <c r="AX12" s="565">
        <f t="shared" ca="1" si="12"/>
        <v>103983695.93929137</v>
      </c>
      <c r="AY12" s="565">
        <f t="shared" ca="1" si="12"/>
        <v>100371705.94106238</v>
      </c>
      <c r="AZ12" s="565">
        <f t="shared" ca="1" si="12"/>
        <v>96443697.528520137</v>
      </c>
      <c r="BA12" s="565">
        <f t="shared" ca="1" si="12"/>
        <v>92172021.77732262</v>
      </c>
      <c r="BB12" s="572">
        <f t="shared" ca="1" si="12"/>
        <v>87526610.717329815</v>
      </c>
      <c r="BC12" s="565">
        <f t="shared" ca="1" si="12"/>
        <v>82474765.686663717</v>
      </c>
      <c r="BD12" s="565">
        <f t="shared" ca="1" si="12"/>
        <v>76980927.168548867</v>
      </c>
      <c r="BE12" s="565">
        <f t="shared" ca="1" si="12"/>
        <v>71006424.490832508</v>
      </c>
      <c r="BF12" s="565">
        <f t="shared" ca="1" si="12"/>
        <v>64509203.626341492</v>
      </c>
      <c r="BG12" s="572">
        <f t="shared" ca="1" si="12"/>
        <v>57443531.178084709</v>
      </c>
      <c r="BH12" s="565">
        <f t="shared" ca="1" si="12"/>
        <v>49759672.465677172</v>
      </c>
      <c r="BI12" s="565">
        <f t="shared" ca="1" si="12"/>
        <v>41403541.447063692</v>
      </c>
      <c r="BJ12" s="565">
        <f t="shared" ca="1" si="12"/>
        <v>32316320.011369605</v>
      </c>
      <c r="BK12" s="565">
        <f t="shared" ca="1" si="12"/>
        <v>22434043.963113017</v>
      </c>
      <c r="BL12" s="565">
        <f t="shared" ca="1" si="12"/>
        <v>11687152.783555666</v>
      </c>
      <c r="BM12" s="581"/>
      <c r="BN12" s="582"/>
      <c r="BO12" s="582"/>
      <c r="BP12" s="582"/>
      <c r="BQ12" s="581"/>
      <c r="BR12" s="582"/>
      <c r="BS12" s="582"/>
      <c r="BT12" s="582"/>
      <c r="BU12" s="582"/>
      <c r="BV12" s="582"/>
      <c r="BW12" s="576"/>
      <c r="BX12" s="576"/>
      <c r="BY12" s="576"/>
      <c r="BZ12" s="576"/>
      <c r="CA12" s="576"/>
      <c r="CB12" s="576"/>
      <c r="CC12" s="576"/>
      <c r="CD12" s="576"/>
      <c r="CE12" s="576"/>
      <c r="CF12" s="576"/>
      <c r="CG12" s="576"/>
      <c r="CH12" s="576"/>
      <c r="CI12" s="576"/>
      <c r="CJ12" s="576"/>
      <c r="CK12" s="576"/>
      <c r="CL12" s="576"/>
      <c r="CM12" s="576"/>
      <c r="CN12" s="576"/>
      <c r="CO12" s="576"/>
      <c r="CP12" s="576"/>
      <c r="CQ12" s="576"/>
      <c r="CR12" s="576"/>
      <c r="CS12" s="576"/>
      <c r="CT12" s="576"/>
      <c r="CU12" s="576"/>
      <c r="CV12" s="576"/>
      <c r="CW12" s="576"/>
      <c r="CX12" s="576"/>
      <c r="CY12" s="576"/>
      <c r="CZ12" s="576"/>
      <c r="DA12" s="576"/>
      <c r="DB12" s="576"/>
      <c r="DC12" s="576"/>
      <c r="DD12" s="576"/>
      <c r="DE12" s="576"/>
      <c r="DF12" s="576"/>
      <c r="DG12" s="576"/>
      <c r="DH12" s="576"/>
      <c r="DI12" s="576"/>
      <c r="DJ12" s="576"/>
      <c r="DK12" s="576"/>
      <c r="DL12" s="576"/>
      <c r="DM12" s="576"/>
      <c r="DN12" s="576"/>
    </row>
    <row r="13" spans="1:118">
      <c r="A13" s="161">
        <v>36738</v>
      </c>
      <c r="B13" s="171">
        <v>36708</v>
      </c>
      <c r="C13" s="156">
        <f>'Revenues &amp; Expenses'!M13</f>
        <v>5.9501889247316024E-2</v>
      </c>
      <c r="D13" s="156">
        <f t="shared" si="9"/>
        <v>8.2001889247316023E-2</v>
      </c>
      <c r="G13" s="155" t="s">
        <v>133</v>
      </c>
      <c r="H13" s="172">
        <v>0</v>
      </c>
      <c r="I13" s="172">
        <f ca="1">AS14</f>
        <v>10334933.155700158</v>
      </c>
      <c r="J13" s="172">
        <f t="shared" ref="J13:AB13" ca="1" si="13">AT14</f>
        <v>10127163.060530461</v>
      </c>
      <c r="K13" s="172">
        <f t="shared" ca="1" si="13"/>
        <v>9901214.8485748805</v>
      </c>
      <c r="L13" s="172">
        <f t="shared" ca="1" si="13"/>
        <v>9655498.0891720131</v>
      </c>
      <c r="M13" s="172">
        <f t="shared" ca="1" si="13"/>
        <v>9388283.202500036</v>
      </c>
      <c r="N13" s="172">
        <f t="shared" ca="1" si="13"/>
        <v>9097689.2852082644</v>
      </c>
      <c r="O13" s="172">
        <f t="shared" ca="1" si="13"/>
        <v>8781670.870895002</v>
      </c>
      <c r="P13" s="172">
        <f t="shared" ca="1" si="13"/>
        <v>8438003.5322397444</v>
      </c>
      <c r="Q13" s="172">
        <f t="shared" ca="1" si="13"/>
        <v>8064268.2234443938</v>
      </c>
      <c r="R13" s="172">
        <f t="shared" ca="1" si="13"/>
        <v>7657834.252771154</v>
      </c>
      <c r="S13" s="172">
        <f t="shared" ca="1" si="13"/>
        <v>7215840.7653223518</v>
      </c>
      <c r="T13" s="172">
        <f t="shared" ca="1" si="13"/>
        <v>6735176.6057208469</v>
      </c>
      <c r="U13" s="172">
        <f t="shared" ca="1" si="13"/>
        <v>6212458.4189462382</v>
      </c>
      <c r="V13" s="172">
        <f t="shared" ca="1" si="13"/>
        <v>5644006.8351804418</v>
      </c>
      <c r="W13" s="172">
        <f t="shared" ca="1" si="13"/>
        <v>5025820.5710297013</v>
      </c>
      <c r="X13" s="172">
        <f t="shared" ca="1" si="13"/>
        <v>4353548.2648237646</v>
      </c>
      <c r="Y13" s="172">
        <f t="shared" ca="1" si="13"/>
        <v>3622457.8477431866</v>
      </c>
      <c r="Z13" s="172">
        <f t="shared" ca="1" si="13"/>
        <v>2827403.2351806965</v>
      </c>
      <c r="AA13" s="172">
        <f t="shared" ca="1" si="13"/>
        <v>1962788.1038798874</v>
      </c>
      <c r="AB13" s="172">
        <f t="shared" ca="1" si="13"/>
        <v>1022526.4998815074</v>
      </c>
      <c r="AC13" s="172"/>
      <c r="AE13" s="625">
        <f t="shared" si="1"/>
        <v>40513.5</v>
      </c>
      <c r="AF13" s="626">
        <f>VLOOKUP(AE13,'Revenues &amp; Expenses'!$K$9:$N$258,4)</f>
        <v>0.45233637889151584</v>
      </c>
      <c r="AG13" s="172"/>
      <c r="AH13" s="179">
        <f t="shared" si="5"/>
        <v>40543.5</v>
      </c>
      <c r="AI13" s="175">
        <v>6.5000000000000002E-2</v>
      </c>
      <c r="AJ13" s="172">
        <f t="shared" si="2"/>
        <v>7678125</v>
      </c>
      <c r="AK13" s="170">
        <f>$AJ$2-SUM($AJ$3:AJ13)</f>
        <v>53156250</v>
      </c>
      <c r="AM13" s="173">
        <f t="shared" si="3"/>
        <v>8.6209103799484016E-2</v>
      </c>
      <c r="AN13" s="172">
        <f t="shared" si="6"/>
        <v>5244476.9489517352</v>
      </c>
      <c r="AO13" s="172"/>
      <c r="AP13" s="170"/>
      <c r="AR13" s="565" t="s">
        <v>130</v>
      </c>
      <c r="AS13" s="565">
        <f ca="1">$AS$8-AS14</f>
        <v>2374746.1277370863</v>
      </c>
      <c r="AT13" s="565">
        <f t="shared" ref="AT13:BL13" ca="1" si="14">$AS$8-AT14</f>
        <v>2582516.2229067832</v>
      </c>
      <c r="AU13" s="565">
        <f t="shared" ca="1" si="14"/>
        <v>2808464.4348623641</v>
      </c>
      <c r="AV13" s="565">
        <f t="shared" ca="1" si="14"/>
        <v>3054181.1942652315</v>
      </c>
      <c r="AW13" s="565">
        <f t="shared" ca="1" si="14"/>
        <v>3321396.0809372086</v>
      </c>
      <c r="AX13" s="565">
        <f t="shared" ca="1" si="14"/>
        <v>3611989.9982289802</v>
      </c>
      <c r="AY13" s="565">
        <f t="shared" ca="1" si="14"/>
        <v>3928008.4125422426</v>
      </c>
      <c r="AZ13" s="565">
        <f t="shared" ca="1" si="14"/>
        <v>4271675.7511975002</v>
      </c>
      <c r="BA13" s="565">
        <f t="shared" ca="1" si="14"/>
        <v>4645411.0599928508</v>
      </c>
      <c r="BB13" s="565">
        <f t="shared" ca="1" si="14"/>
        <v>5051845.0306660905</v>
      </c>
      <c r="BC13" s="565">
        <f t="shared" ca="1" si="14"/>
        <v>5493838.5181148928</v>
      </c>
      <c r="BD13" s="565">
        <f t="shared" ca="1" si="14"/>
        <v>5974502.6777163977</v>
      </c>
      <c r="BE13" s="565">
        <f t="shared" ca="1" si="14"/>
        <v>6497220.8644910064</v>
      </c>
      <c r="BF13" s="565">
        <f t="shared" ca="1" si="14"/>
        <v>7065672.4482568027</v>
      </c>
      <c r="BG13" s="565">
        <f t="shared" ca="1" si="14"/>
        <v>7683858.7124075433</v>
      </c>
      <c r="BH13" s="565">
        <f t="shared" ca="1" si="14"/>
        <v>8356131.01861348</v>
      </c>
      <c r="BI13" s="565">
        <f t="shared" ca="1" si="14"/>
        <v>9087221.4356940575</v>
      </c>
      <c r="BJ13" s="565">
        <f t="shared" ca="1" si="14"/>
        <v>9882276.0482565481</v>
      </c>
      <c r="BK13" s="565">
        <f t="shared" ca="1" si="14"/>
        <v>10746891.179557357</v>
      </c>
      <c r="BL13" s="565">
        <f t="shared" ca="1" si="14"/>
        <v>11687152.783555737</v>
      </c>
      <c r="BM13" s="582"/>
      <c r="BN13" s="582"/>
      <c r="BO13" s="582"/>
      <c r="BP13" s="582"/>
      <c r="BQ13" s="582"/>
      <c r="BR13" s="582"/>
      <c r="BS13" s="582"/>
      <c r="BT13" s="582"/>
      <c r="BU13" s="582"/>
      <c r="BV13" s="582"/>
      <c r="BW13" s="576"/>
      <c r="BX13" s="576"/>
      <c r="BY13" s="576"/>
      <c r="BZ13" s="576"/>
      <c r="CA13" s="576"/>
      <c r="CB13" s="576"/>
      <c r="CC13" s="576"/>
      <c r="CD13" s="576"/>
      <c r="CE13" s="576"/>
      <c r="CF13" s="576"/>
      <c r="CG13" s="576"/>
      <c r="CH13" s="576"/>
      <c r="CI13" s="576"/>
      <c r="CJ13" s="576"/>
      <c r="CK13" s="576"/>
      <c r="CL13" s="576"/>
      <c r="CM13" s="576"/>
      <c r="CN13" s="576"/>
      <c r="CO13" s="576"/>
      <c r="CP13" s="576"/>
      <c r="CQ13" s="576"/>
      <c r="CR13" s="576"/>
      <c r="CS13" s="576"/>
      <c r="CT13" s="576"/>
      <c r="CU13" s="576"/>
      <c r="CV13" s="576"/>
      <c r="CW13" s="576"/>
      <c r="CX13" s="576"/>
      <c r="CY13" s="576"/>
      <c r="CZ13" s="576"/>
      <c r="DA13" s="576"/>
      <c r="DB13" s="576"/>
      <c r="DC13" s="576"/>
      <c r="DD13" s="576"/>
      <c r="DE13" s="576"/>
      <c r="DF13" s="576"/>
      <c r="DG13" s="576"/>
      <c r="DH13" s="576"/>
      <c r="DI13" s="576"/>
      <c r="DJ13" s="576"/>
      <c r="DK13" s="576"/>
      <c r="DL13" s="576"/>
      <c r="DM13" s="576"/>
      <c r="DN13" s="576"/>
    </row>
    <row r="14" spans="1:118">
      <c r="A14" s="161">
        <v>36769</v>
      </c>
      <c r="B14" s="171">
        <v>36739</v>
      </c>
      <c r="C14" s="156">
        <f>'Revenues &amp; Expenses'!M14</f>
        <v>6.0184138469651018E-2</v>
      </c>
      <c r="D14" s="156">
        <f t="shared" si="9"/>
        <v>8.2684138469651017E-2</v>
      </c>
      <c r="AE14" s="625">
        <f t="shared" si="1"/>
        <v>40878.75</v>
      </c>
      <c r="AF14" s="626">
        <f>VLOOKUP(AE14,'Revenues &amp; Expenses'!$K$9:$N$258,4)</f>
        <v>0.42079582396906579</v>
      </c>
      <c r="AH14" s="179">
        <f t="shared" si="5"/>
        <v>40908.75</v>
      </c>
      <c r="AI14" s="175">
        <v>0.06</v>
      </c>
      <c r="AJ14" s="172">
        <f t="shared" si="2"/>
        <v>7087500</v>
      </c>
      <c r="AK14" s="170">
        <f>$AJ$2-SUM($AJ$3:AJ14)</f>
        <v>46068750</v>
      </c>
      <c r="AM14" s="173">
        <f>VLOOKUP(AH14,$A$8:$C$246,3)+$C$3</f>
        <v>8.6345827844272E-2</v>
      </c>
      <c r="AN14" s="172">
        <f t="shared" si="6"/>
        <v>4589820.4113470837</v>
      </c>
      <c r="AO14" s="172"/>
      <c r="AP14" s="170"/>
      <c r="AR14" s="565" t="s">
        <v>284</v>
      </c>
      <c r="AS14" s="565">
        <f ca="1">AS12*$AS$5</f>
        <v>10334933.155700162</v>
      </c>
      <c r="AT14" s="565">
        <f t="shared" ref="AT14:BL14" ca="1" si="15">AT12*$AS$5</f>
        <v>10127163.060530463</v>
      </c>
      <c r="AU14" s="565">
        <f t="shared" ca="1" si="15"/>
        <v>9901214.8485748842</v>
      </c>
      <c r="AV14" s="565">
        <f t="shared" ca="1" si="15"/>
        <v>9655498.089172015</v>
      </c>
      <c r="AW14" s="565">
        <f t="shared" ca="1" si="15"/>
        <v>9388283.202500036</v>
      </c>
      <c r="AX14" s="565">
        <f t="shared" ca="1" si="15"/>
        <v>9097689.2852082681</v>
      </c>
      <c r="AY14" s="565">
        <f t="shared" ca="1" si="15"/>
        <v>8781670.8708950039</v>
      </c>
      <c r="AZ14" s="565">
        <f t="shared" ca="1" si="15"/>
        <v>8438003.53223975</v>
      </c>
      <c r="BA14" s="565">
        <f t="shared" ca="1" si="15"/>
        <v>8064268.223444392</v>
      </c>
      <c r="BB14" s="565">
        <f t="shared" ca="1" si="15"/>
        <v>7657834.2527711578</v>
      </c>
      <c r="BC14" s="565">
        <f t="shared" ca="1" si="15"/>
        <v>7215840.7653223518</v>
      </c>
      <c r="BD14" s="565">
        <f t="shared" ca="1" si="15"/>
        <v>6735176.6057208469</v>
      </c>
      <c r="BE14" s="565">
        <f t="shared" ca="1" si="15"/>
        <v>6212458.418946242</v>
      </c>
      <c r="BF14" s="565">
        <f t="shared" ca="1" si="15"/>
        <v>5644006.8351804428</v>
      </c>
      <c r="BG14" s="565">
        <f t="shared" ca="1" si="15"/>
        <v>5025820.5710297022</v>
      </c>
      <c r="BH14" s="565">
        <f t="shared" ca="1" si="15"/>
        <v>4353548.2648237664</v>
      </c>
      <c r="BI14" s="565">
        <f t="shared" ca="1" si="15"/>
        <v>3622457.8477431904</v>
      </c>
      <c r="BJ14" s="565">
        <f t="shared" ca="1" si="15"/>
        <v>2827403.2351807011</v>
      </c>
      <c r="BK14" s="565">
        <f t="shared" ca="1" si="15"/>
        <v>1962788.1038798881</v>
      </c>
      <c r="BL14" s="565">
        <f t="shared" ca="1" si="15"/>
        <v>1022526.4998815058</v>
      </c>
      <c r="BM14" s="582"/>
      <c r="BN14" s="582"/>
      <c r="BO14" s="582"/>
      <c r="BP14" s="582"/>
      <c r="BQ14" s="582"/>
      <c r="BR14" s="582"/>
      <c r="BS14" s="582"/>
      <c r="BT14" s="582"/>
      <c r="BU14" s="582"/>
      <c r="BV14" s="582"/>
      <c r="BW14" s="576"/>
      <c r="BX14" s="576"/>
      <c r="BY14" s="576"/>
      <c r="BZ14" s="576"/>
      <c r="CA14" s="576"/>
      <c r="CB14" s="576"/>
      <c r="CC14" s="576"/>
      <c r="CD14" s="576"/>
      <c r="CE14" s="576"/>
      <c r="CF14" s="576"/>
      <c r="CG14" s="576"/>
      <c r="CH14" s="576"/>
      <c r="CI14" s="576"/>
      <c r="CJ14" s="576"/>
      <c r="CK14" s="576"/>
      <c r="CL14" s="576"/>
      <c r="CM14" s="576"/>
      <c r="CN14" s="576"/>
      <c r="CO14" s="576"/>
      <c r="CP14" s="576"/>
      <c r="CQ14" s="576"/>
      <c r="CR14" s="576"/>
      <c r="CS14" s="576"/>
      <c r="CT14" s="576"/>
      <c r="CU14" s="576"/>
      <c r="CV14" s="576"/>
      <c r="CW14" s="576"/>
      <c r="CX14" s="576"/>
      <c r="CY14" s="576"/>
      <c r="CZ14" s="576"/>
      <c r="DA14" s="576"/>
      <c r="DB14" s="576"/>
      <c r="DC14" s="576"/>
      <c r="DD14" s="576"/>
      <c r="DE14" s="576"/>
      <c r="DF14" s="576"/>
      <c r="DG14" s="576"/>
      <c r="DH14" s="576"/>
      <c r="DI14" s="576"/>
      <c r="DJ14" s="576"/>
      <c r="DK14" s="576"/>
      <c r="DL14" s="576"/>
      <c r="DM14" s="576"/>
      <c r="DN14" s="576"/>
    </row>
    <row r="15" spans="1:118">
      <c r="A15" s="161">
        <v>36799</v>
      </c>
      <c r="B15" s="171">
        <v>36770</v>
      </c>
      <c r="C15" s="156">
        <f>'Revenues &amp; Expenses'!M15</f>
        <v>6.0866390939501018E-2</v>
      </c>
      <c r="D15" s="156">
        <f t="shared" si="9"/>
        <v>8.3366390939501017E-2</v>
      </c>
      <c r="G15" s="155" t="s">
        <v>144</v>
      </c>
      <c r="H15" s="170">
        <f t="shared" ref="H15:AB15" si="16">H8+H13</f>
        <v>0</v>
      </c>
      <c r="I15" s="170">
        <f ca="1">I8+I13</f>
        <v>12709679.283437241</v>
      </c>
      <c r="J15" s="170">
        <f t="shared" ca="1" si="16"/>
        <v>12709679.283437243</v>
      </c>
      <c r="K15" s="170">
        <f t="shared" ca="1" si="16"/>
        <v>12709679.283437241</v>
      </c>
      <c r="L15" s="170">
        <f t="shared" ca="1" si="16"/>
        <v>12709679.283437239</v>
      </c>
      <c r="M15" s="170">
        <f t="shared" ca="1" si="16"/>
        <v>12709679.283437243</v>
      </c>
      <c r="N15" s="170">
        <f t="shared" ca="1" si="16"/>
        <v>12709679.283437241</v>
      </c>
      <c r="O15" s="170">
        <f t="shared" ca="1" si="16"/>
        <v>12709679.283437245</v>
      </c>
      <c r="P15" s="170">
        <f t="shared" ca="1" si="16"/>
        <v>12709679.283437237</v>
      </c>
      <c r="Q15" s="170">
        <f t="shared" ca="1" si="16"/>
        <v>12709679.283437243</v>
      </c>
      <c r="R15" s="170">
        <f t="shared" ca="1" si="16"/>
        <v>12709679.283437239</v>
      </c>
      <c r="S15" s="170">
        <f t="shared" ca="1" si="16"/>
        <v>12709679.283437237</v>
      </c>
      <c r="T15" s="170">
        <f t="shared" ca="1" si="16"/>
        <v>12709679.283437241</v>
      </c>
      <c r="U15" s="170">
        <f t="shared" ca="1" si="16"/>
        <v>12709679.283437239</v>
      </c>
      <c r="V15" s="170">
        <f t="shared" ca="1" si="16"/>
        <v>12709679.283437241</v>
      </c>
      <c r="W15" s="170">
        <f t="shared" ca="1" si="16"/>
        <v>12709679.283437241</v>
      </c>
      <c r="X15" s="170">
        <f t="shared" ca="1" si="16"/>
        <v>12709679.283437243</v>
      </c>
      <c r="Y15" s="170">
        <f t="shared" ca="1" si="16"/>
        <v>12709679.283437245</v>
      </c>
      <c r="Z15" s="170">
        <f t="shared" ca="1" si="16"/>
        <v>12709679.283437241</v>
      </c>
      <c r="AA15" s="170">
        <f t="shared" ca="1" si="16"/>
        <v>12709679.283437239</v>
      </c>
      <c r="AB15" s="170">
        <f t="shared" ca="1" si="16"/>
        <v>12709679.283437243</v>
      </c>
      <c r="AE15" s="625">
        <f t="shared" si="1"/>
        <v>41244</v>
      </c>
      <c r="AF15" s="626">
        <f>VLOOKUP(AE15,'Revenues &amp; Expenses'!$K$9:$N$258,4)</f>
        <v>0.39142316275722272</v>
      </c>
      <c r="AH15" s="179">
        <f t="shared" si="5"/>
        <v>41274</v>
      </c>
      <c r="AI15" s="175">
        <v>1E-3</v>
      </c>
      <c r="AJ15" s="172">
        <f t="shared" si="2"/>
        <v>118125</v>
      </c>
      <c r="AK15" s="170">
        <f>$AJ$2-SUM($AJ$3:AJ15)</f>
        <v>45950625</v>
      </c>
      <c r="AM15" s="173">
        <f t="shared" si="3"/>
        <v>8.6482926606210014E-2</v>
      </c>
      <c r="AN15" s="172">
        <f t="shared" si="6"/>
        <v>3984160.3250898374</v>
      </c>
      <c r="AO15" s="172"/>
      <c r="AP15" s="170"/>
      <c r="AR15" s="565" t="s">
        <v>131</v>
      </c>
      <c r="AS15" s="565">
        <f ca="1">AS12-AS13</f>
        <v>115750253.87226291</v>
      </c>
      <c r="AT15" s="565">
        <f t="shared" ref="AT15:BL15" ca="1" si="17">IF(AT12&lt;=0,0,AT12-AT13)</f>
        <v>113167737.64935614</v>
      </c>
      <c r="AU15" s="565">
        <f t="shared" ca="1" si="17"/>
        <v>110359273.21449378</v>
      </c>
      <c r="AV15" s="565">
        <f t="shared" ca="1" si="17"/>
        <v>107305092.02022853</v>
      </c>
      <c r="AW15" s="572">
        <f t="shared" ca="1" si="17"/>
        <v>103983695.93929134</v>
      </c>
      <c r="AX15" s="565">
        <f t="shared" ca="1" si="17"/>
        <v>100371705.94106239</v>
      </c>
      <c r="AY15" s="565">
        <f t="shared" ca="1" si="17"/>
        <v>96443697.528520137</v>
      </c>
      <c r="AZ15" s="565">
        <f t="shared" ca="1" si="17"/>
        <v>92172021.777322635</v>
      </c>
      <c r="BA15" s="565">
        <f t="shared" ca="1" si="17"/>
        <v>87526610.71732977</v>
      </c>
      <c r="BB15" s="572">
        <f t="shared" ca="1" si="17"/>
        <v>82474765.686663717</v>
      </c>
      <c r="BC15" s="565">
        <f t="shared" ca="1" si="17"/>
        <v>76980927.168548822</v>
      </c>
      <c r="BD15" s="565">
        <f t="shared" ca="1" si="17"/>
        <v>71006424.490832463</v>
      </c>
      <c r="BE15" s="565">
        <f t="shared" ca="1" si="17"/>
        <v>64509203.626341499</v>
      </c>
      <c r="BF15" s="565">
        <f t="shared" ca="1" si="17"/>
        <v>57443531.178084686</v>
      </c>
      <c r="BG15" s="572">
        <f t="shared" ca="1" si="17"/>
        <v>49759672.465677164</v>
      </c>
      <c r="BH15" s="565">
        <f t="shared" ca="1" si="17"/>
        <v>41403541.447063692</v>
      </c>
      <c r="BI15" s="565">
        <f t="shared" ca="1" si="17"/>
        <v>32316320.011369634</v>
      </c>
      <c r="BJ15" s="565">
        <f t="shared" ca="1" si="17"/>
        <v>22434043.963113055</v>
      </c>
      <c r="BK15" s="565">
        <f t="shared" ca="1" si="17"/>
        <v>11687152.78355566</v>
      </c>
      <c r="BL15" s="565">
        <f t="shared" ca="1" si="17"/>
        <v>-7.0780515670776367E-8</v>
      </c>
      <c r="BM15" s="581"/>
      <c r="BN15" s="582"/>
      <c r="BO15" s="582"/>
      <c r="BP15" s="582"/>
      <c r="BQ15" s="581"/>
      <c r="BR15" s="582"/>
      <c r="BS15" s="582"/>
      <c r="BT15" s="582"/>
      <c r="BU15" s="582"/>
      <c r="BV15" s="582"/>
      <c r="BW15" s="576"/>
      <c r="BX15" s="576"/>
      <c r="BY15" s="576"/>
      <c r="BZ15" s="576"/>
      <c r="CA15" s="576"/>
      <c r="CB15" s="576"/>
      <c r="CC15" s="576"/>
      <c r="CD15" s="576"/>
      <c r="CE15" s="576"/>
      <c r="CF15" s="576"/>
      <c r="CG15" s="576"/>
      <c r="CH15" s="576"/>
      <c r="CI15" s="576"/>
      <c r="CJ15" s="576"/>
      <c r="CK15" s="576"/>
      <c r="CL15" s="576"/>
      <c r="CM15" s="576"/>
      <c r="CN15" s="576"/>
      <c r="CO15" s="576"/>
      <c r="CP15" s="576"/>
      <c r="CQ15" s="576"/>
      <c r="CR15" s="576"/>
      <c r="CS15" s="576"/>
      <c r="CT15" s="576"/>
      <c r="CU15" s="576"/>
      <c r="CV15" s="576"/>
      <c r="CW15" s="576"/>
      <c r="CX15" s="576"/>
      <c r="CY15" s="576"/>
      <c r="CZ15" s="576"/>
      <c r="DA15" s="576"/>
      <c r="DB15" s="576"/>
      <c r="DC15" s="576"/>
      <c r="DD15" s="576"/>
      <c r="DE15" s="576"/>
      <c r="DF15" s="576"/>
      <c r="DG15" s="576"/>
      <c r="DH15" s="576"/>
      <c r="DI15" s="576"/>
      <c r="DJ15" s="576"/>
      <c r="DK15" s="576"/>
      <c r="DL15" s="576"/>
      <c r="DM15" s="576"/>
      <c r="DN15" s="576"/>
    </row>
    <row r="16" spans="1:118">
      <c r="A16" s="161">
        <v>36830</v>
      </c>
      <c r="B16" s="171">
        <v>36800</v>
      </c>
      <c r="C16" s="156">
        <f>'Revenues &amp; Expenses'!M16</f>
        <v>6.1056155646000011E-2</v>
      </c>
      <c r="D16" s="156">
        <f t="shared" si="9"/>
        <v>8.355615564600001E-2</v>
      </c>
      <c r="H16" s="589" t="s">
        <v>286</v>
      </c>
      <c r="I16" s="590">
        <f t="shared" ref="I16:AB16" si="18">I15/315000</f>
        <v>40.060963381769206</v>
      </c>
      <c r="J16" s="590">
        <f t="shared" ca="1" si="18"/>
        <v>40.348188201388069</v>
      </c>
      <c r="K16" s="590">
        <f t="shared" ca="1" si="18"/>
        <v>40.348188201388069</v>
      </c>
      <c r="L16" s="590">
        <f t="shared" ca="1" si="18"/>
        <v>40.348188201388062</v>
      </c>
      <c r="M16" s="590">
        <f t="shared" ca="1" si="18"/>
        <v>40.348188201388069</v>
      </c>
      <c r="N16" s="590">
        <f t="shared" ca="1" si="18"/>
        <v>40.348188201388069</v>
      </c>
      <c r="O16" s="590">
        <f t="shared" ca="1" si="18"/>
        <v>40.348188201388076</v>
      </c>
      <c r="P16" s="590">
        <f t="shared" ca="1" si="18"/>
        <v>40.348188201388055</v>
      </c>
      <c r="Q16" s="590">
        <f t="shared" ca="1" si="18"/>
        <v>40.348188201388069</v>
      </c>
      <c r="R16" s="590">
        <f t="shared" ca="1" si="18"/>
        <v>40.348188201388062</v>
      </c>
      <c r="S16" s="590">
        <f t="shared" ca="1" si="18"/>
        <v>40.348188201388055</v>
      </c>
      <c r="T16" s="590">
        <f t="shared" ca="1" si="18"/>
        <v>40.348188201388069</v>
      </c>
      <c r="U16" s="590">
        <f t="shared" ca="1" si="18"/>
        <v>40.348188201388062</v>
      </c>
      <c r="V16" s="590">
        <f t="shared" ca="1" si="18"/>
        <v>40.348188201388069</v>
      </c>
      <c r="W16" s="590">
        <f t="shared" ca="1" si="18"/>
        <v>40.348188201388069</v>
      </c>
      <c r="X16" s="590">
        <f t="shared" ca="1" si="18"/>
        <v>40.348188201388069</v>
      </c>
      <c r="Y16" s="590">
        <f t="shared" ca="1" si="18"/>
        <v>40.348188201388076</v>
      </c>
      <c r="Z16" s="590">
        <f t="shared" ca="1" si="18"/>
        <v>40.348188201388069</v>
      </c>
      <c r="AA16" s="590">
        <f t="shared" ca="1" si="18"/>
        <v>40.348188201388062</v>
      </c>
      <c r="AB16" s="590">
        <f t="shared" ca="1" si="18"/>
        <v>40.348188201388069</v>
      </c>
      <c r="AE16" s="625">
        <f t="shared" si="1"/>
        <v>41609.25</v>
      </c>
      <c r="AF16" s="626">
        <f>VLOOKUP(AE16,'Revenues &amp; Expenses'!$K$9:$N$258,4)</f>
        <v>0.36421559866544645</v>
      </c>
      <c r="AH16" s="179">
        <f t="shared" si="5"/>
        <v>41639.25</v>
      </c>
      <c r="AI16" s="175">
        <v>4.2999999999999997E-2</v>
      </c>
      <c r="AJ16" s="172">
        <f t="shared" si="2"/>
        <v>5079375</v>
      </c>
      <c r="AK16" s="170">
        <f>$AJ$2-SUM($AJ$3:AJ16)</f>
        <v>40871250</v>
      </c>
      <c r="AM16" s="173">
        <f t="shared" si="3"/>
        <v>8.6619650911728019E-2</v>
      </c>
      <c r="AN16" s="172">
        <f t="shared" si="6"/>
        <v>3980227.0966757224</v>
      </c>
      <c r="AO16" s="172"/>
      <c r="AP16" s="170"/>
      <c r="AR16" s="563"/>
      <c r="AS16" s="563"/>
      <c r="AT16" s="563"/>
      <c r="AU16" s="563"/>
      <c r="AV16" s="563"/>
      <c r="AW16" s="564"/>
      <c r="AX16" s="563"/>
      <c r="AY16" s="563"/>
      <c r="AZ16" s="563"/>
      <c r="BA16" s="563"/>
      <c r="BB16" s="564"/>
      <c r="BC16" s="563"/>
      <c r="BD16" s="563"/>
      <c r="BE16" s="563"/>
      <c r="BF16" s="563"/>
      <c r="BG16" s="564"/>
      <c r="BH16" s="563"/>
      <c r="BI16" s="563"/>
      <c r="BJ16" s="563"/>
      <c r="BK16" s="563"/>
      <c r="BL16" s="563"/>
      <c r="BM16" s="574"/>
      <c r="BN16" s="575"/>
      <c r="BO16" s="575"/>
      <c r="BP16" s="575"/>
      <c r="BQ16" s="574"/>
      <c r="BR16" s="575"/>
      <c r="BS16" s="575"/>
      <c r="BT16" s="575"/>
      <c r="BU16" s="575"/>
      <c r="BV16" s="575"/>
      <c r="BW16" s="576"/>
      <c r="BX16" s="576"/>
      <c r="BY16" s="576"/>
      <c r="BZ16" s="576"/>
      <c r="CA16" s="576"/>
      <c r="CB16" s="576"/>
      <c r="CC16" s="576"/>
      <c r="CD16" s="576"/>
      <c r="CE16" s="576"/>
      <c r="CF16" s="576"/>
      <c r="CG16" s="576"/>
      <c r="CH16" s="576"/>
      <c r="CI16" s="576"/>
      <c r="CJ16" s="576"/>
      <c r="CK16" s="576"/>
      <c r="CL16" s="576"/>
      <c r="CM16" s="576"/>
      <c r="CN16" s="576"/>
      <c r="CO16" s="576"/>
      <c r="CP16" s="576"/>
      <c r="CQ16" s="576"/>
      <c r="CR16" s="576"/>
      <c r="CS16" s="576"/>
      <c r="CT16" s="576"/>
      <c r="CU16" s="576"/>
      <c r="CV16" s="576"/>
      <c r="CW16" s="576"/>
      <c r="CX16" s="576"/>
      <c r="CY16" s="576"/>
      <c r="CZ16" s="576"/>
      <c r="DA16" s="576"/>
      <c r="DB16" s="576"/>
      <c r="DC16" s="576"/>
      <c r="DD16" s="576"/>
      <c r="DE16" s="576"/>
      <c r="DF16" s="576"/>
      <c r="DG16" s="576"/>
      <c r="DH16" s="576"/>
      <c r="DI16" s="576"/>
      <c r="DJ16" s="576"/>
      <c r="DK16" s="576"/>
      <c r="DL16" s="576"/>
      <c r="DM16" s="576"/>
      <c r="DN16" s="576"/>
    </row>
    <row r="17" spans="1:118" ht="16.2" thickBot="1">
      <c r="A17" s="161">
        <v>36860</v>
      </c>
      <c r="B17" s="171">
        <v>36831</v>
      </c>
      <c r="C17" s="156">
        <f>'Revenues &amp; Expenses'!M17</f>
        <v>6.1177451459186009E-2</v>
      </c>
      <c r="D17" s="156">
        <f t="shared" si="9"/>
        <v>8.3677451459186009E-2</v>
      </c>
      <c r="AC17" s="187"/>
      <c r="AE17" s="625">
        <f t="shared" si="1"/>
        <v>41974.5</v>
      </c>
      <c r="AF17" s="626">
        <f>VLOOKUP(AE17,'Revenues &amp; Expenses'!$K$9:$N$258,4)</f>
        <v>0.33893900754314626</v>
      </c>
      <c r="AG17" s="187"/>
      <c r="AH17" s="179">
        <f t="shared" si="5"/>
        <v>42004.5</v>
      </c>
      <c r="AI17" s="175">
        <v>0.05</v>
      </c>
      <c r="AJ17" s="172">
        <f t="shared" si="2"/>
        <v>5906250</v>
      </c>
      <c r="AK17" s="170">
        <f>$AJ$2-SUM($AJ$3:AJ17)</f>
        <v>34965000</v>
      </c>
      <c r="AM17" s="173">
        <f t="shared" si="3"/>
        <v>8.6756375347421005E-2</v>
      </c>
      <c r="AN17" s="172">
        <f t="shared" si="6"/>
        <v>3545841.5059182807</v>
      </c>
      <c r="AO17" s="172"/>
      <c r="AP17" s="170"/>
      <c r="AR17" s="563"/>
      <c r="AS17" s="563"/>
      <c r="AT17" s="563"/>
      <c r="AU17" s="563"/>
      <c r="AV17" s="563"/>
      <c r="AW17" s="564"/>
      <c r="AX17" s="563"/>
      <c r="AY17" s="563"/>
      <c r="AZ17" s="563"/>
      <c r="BA17" s="563"/>
      <c r="BB17" s="564"/>
      <c r="BC17" s="563"/>
      <c r="BD17" s="563"/>
      <c r="BE17" s="563"/>
      <c r="BF17" s="563"/>
      <c r="BG17" s="564"/>
      <c r="BH17" s="563"/>
      <c r="BI17" s="563"/>
      <c r="BJ17" s="563"/>
      <c r="BK17" s="563"/>
      <c r="BL17" s="563"/>
      <c r="BM17" s="574"/>
      <c r="BN17" s="575"/>
      <c r="BO17" s="575"/>
      <c r="BP17" s="575"/>
      <c r="BQ17" s="574"/>
      <c r="BR17" s="575"/>
      <c r="BS17" s="575"/>
      <c r="BT17" s="575"/>
      <c r="BU17" s="575"/>
      <c r="BV17" s="575"/>
      <c r="BW17" s="576"/>
      <c r="BX17" s="576"/>
      <c r="BY17" s="576"/>
      <c r="BZ17" s="576"/>
      <c r="CA17" s="576"/>
      <c r="CB17" s="576"/>
      <c r="CC17" s="576"/>
      <c r="CD17" s="576"/>
      <c r="CE17" s="576"/>
      <c r="CF17" s="576"/>
      <c r="CG17" s="576"/>
      <c r="CH17" s="576"/>
      <c r="CI17" s="576"/>
      <c r="CJ17" s="576"/>
      <c r="CK17" s="576"/>
      <c r="CL17" s="576"/>
      <c r="CM17" s="576"/>
      <c r="CN17" s="576"/>
      <c r="CO17" s="576"/>
      <c r="CP17" s="576"/>
      <c r="CQ17" s="576"/>
      <c r="CR17" s="576"/>
      <c r="CS17" s="576"/>
      <c r="CT17" s="576"/>
      <c r="CU17" s="576"/>
      <c r="CV17" s="576"/>
      <c r="CW17" s="576"/>
      <c r="CX17" s="576"/>
      <c r="CY17" s="576"/>
      <c r="CZ17" s="576"/>
      <c r="DA17" s="576"/>
      <c r="DB17" s="576"/>
      <c r="DC17" s="576"/>
      <c r="DD17" s="576"/>
      <c r="DE17" s="576"/>
      <c r="DF17" s="576"/>
      <c r="DG17" s="576"/>
      <c r="DH17" s="576"/>
      <c r="DI17" s="576"/>
      <c r="DJ17" s="576"/>
      <c r="DK17" s="576"/>
      <c r="DL17" s="576"/>
      <c r="DM17" s="576"/>
      <c r="DN17" s="576"/>
    </row>
    <row r="18" spans="1:118" ht="16.2" thickBot="1">
      <c r="A18" s="161">
        <v>36891</v>
      </c>
      <c r="B18" s="171">
        <v>36861</v>
      </c>
      <c r="C18" s="156">
        <f>'Revenues &amp; Expenses'!M18</f>
        <v>6.1294834601901008E-2</v>
      </c>
      <c r="D18" s="156">
        <f t="shared" si="9"/>
        <v>8.3794834601901014E-2</v>
      </c>
      <c r="G18" s="183" t="s">
        <v>141</v>
      </c>
      <c r="AD18" s="623"/>
      <c r="AE18" s="625">
        <f t="shared" si="1"/>
        <v>42339.75</v>
      </c>
      <c r="AF18" s="626">
        <f>VLOOKUP(AE18,'Revenues &amp; Expenses'!$K$9:$N$258,4)</f>
        <v>0.31545365140992127</v>
      </c>
      <c r="AH18" s="179">
        <f t="shared" si="5"/>
        <v>42369.75</v>
      </c>
      <c r="AI18" s="175">
        <v>4.8500000000000001E-2</v>
      </c>
      <c r="AJ18" s="172">
        <f t="shared" si="2"/>
        <v>5729062.5</v>
      </c>
      <c r="AK18" s="170">
        <f>$AJ$2-SUM($AJ$3:AJ18)</f>
        <v>29235937.5</v>
      </c>
      <c r="AM18" s="173">
        <f t="shared" si="3"/>
        <v>8.6893099913280009E-2</v>
      </c>
      <c r="AN18" s="172">
        <f t="shared" si="6"/>
        <v>3038217.2384678354</v>
      </c>
      <c r="AO18" s="172"/>
      <c r="AP18" s="170"/>
      <c r="AR18" s="563" t="s">
        <v>128</v>
      </c>
      <c r="AS18" s="584">
        <f>'Debt Amortization'!I11</f>
        <v>8.6879877198238004E-2</v>
      </c>
      <c r="AT18" s="584">
        <f>'Debt Amortization'!J11</f>
        <v>8.864493984845101E-2</v>
      </c>
      <c r="AU18" s="584">
        <f>'Debt Amortization'!K11</f>
        <v>8.9026089068365011E-2</v>
      </c>
      <c r="AV18" s="584">
        <f>'Debt Amortization'!L11</f>
        <v>8.8459695227423002E-2</v>
      </c>
      <c r="AW18" s="584">
        <f>'Debt Amortization'!M11</f>
        <v>8.830385129426499E-2</v>
      </c>
      <c r="AX18" s="584">
        <f>'Debt Amortization'!N11</f>
        <v>8.8148007530095995E-2</v>
      </c>
      <c r="AY18" s="584">
        <f>'Debt Amortization'!O11</f>
        <v>8.7992163934928008E-2</v>
      </c>
      <c r="AZ18" s="584">
        <f>'Debt Amortization'!P11</f>
        <v>8.7780999020832001E-2</v>
      </c>
      <c r="BA18" s="584">
        <f>'Debt Amortization'!Q11</f>
        <v>8.6372881644976029E-2</v>
      </c>
      <c r="BB18" s="584">
        <f>'Debt Amortization'!R11</f>
        <v>8.6209103799484016E-2</v>
      </c>
      <c r="BC18" s="584">
        <f>'Debt Amortization'!S11</f>
        <v>8.6345827844272E-2</v>
      </c>
      <c r="BD18" s="584">
        <f>'Debt Amortization'!T11</f>
        <v>8.6482926606210014E-2</v>
      </c>
      <c r="BE18" s="584">
        <f>'Debt Amortization'!U11</f>
        <v>8.6619650911728019E-2</v>
      </c>
      <c r="BF18" s="584">
        <f>'Debt Amortization'!V11</f>
        <v>8.6756375347421005E-2</v>
      </c>
      <c r="BG18" s="584">
        <f>'Debt Amortization'!W11</f>
        <v>8.6893099913280009E-2</v>
      </c>
      <c r="BH18" s="584">
        <f>'Debt Amortization'!X11</f>
        <v>8.7030199197684011E-2</v>
      </c>
      <c r="BI18" s="584">
        <f>'Debt Amortization'!Y11</f>
        <v>8.7166924024206005E-2</v>
      </c>
      <c r="BJ18" s="584">
        <f>'Debt Amortization'!Z11</f>
        <v>8.7303648980870008E-2</v>
      </c>
      <c r="BK18" s="584">
        <f>'Debt Amortization'!AA11</f>
        <v>8.7440374067666998E-2</v>
      </c>
      <c r="BL18" s="584">
        <f>'Debt Amortization'!AB11</f>
        <v>8.7440374067666998E-2</v>
      </c>
      <c r="BM18" s="575"/>
      <c r="BN18" s="575"/>
      <c r="BO18" s="575"/>
      <c r="BP18" s="575"/>
      <c r="BQ18" s="575"/>
      <c r="BR18" s="575"/>
      <c r="BS18" s="575"/>
      <c r="BT18" s="575"/>
      <c r="BU18" s="575"/>
      <c r="BV18" s="575"/>
      <c r="BW18" s="576"/>
      <c r="BX18" s="576"/>
      <c r="BY18" s="576"/>
      <c r="BZ18" s="576"/>
      <c r="CA18" s="576"/>
      <c r="CB18" s="576"/>
      <c r="CC18" s="576"/>
      <c r="CD18" s="576"/>
      <c r="CE18" s="576"/>
      <c r="CF18" s="576"/>
      <c r="CG18" s="576"/>
      <c r="CH18" s="576"/>
      <c r="CI18" s="576"/>
      <c r="CJ18" s="576"/>
      <c r="CK18" s="576"/>
      <c r="CL18" s="576"/>
      <c r="CM18" s="576"/>
      <c r="CN18" s="576"/>
      <c r="CO18" s="576"/>
      <c r="CP18" s="576"/>
      <c r="CQ18" s="576"/>
      <c r="CR18" s="576"/>
      <c r="CS18" s="576"/>
      <c r="CT18" s="576"/>
      <c r="CU18" s="576"/>
      <c r="CV18" s="576"/>
      <c r="CW18" s="576"/>
      <c r="CX18" s="576"/>
      <c r="CY18" s="576"/>
      <c r="CZ18" s="576"/>
      <c r="DA18" s="576"/>
      <c r="DB18" s="576"/>
      <c r="DC18" s="576"/>
      <c r="DD18" s="576"/>
      <c r="DE18" s="576"/>
      <c r="DF18" s="576"/>
      <c r="DG18" s="576"/>
      <c r="DH18" s="576"/>
      <c r="DI18" s="576"/>
      <c r="DJ18" s="576"/>
      <c r="DK18" s="576"/>
      <c r="DL18" s="576"/>
      <c r="DM18" s="576"/>
      <c r="DN18" s="576"/>
    </row>
    <row r="19" spans="1:118">
      <c r="A19" s="161">
        <v>36922</v>
      </c>
      <c r="B19" s="171">
        <v>36892</v>
      </c>
      <c r="C19" s="156">
        <f>'Revenues &amp; Expenses'!M19</f>
        <v>6.141613061697801E-2</v>
      </c>
      <c r="D19" s="156">
        <f t="shared" si="9"/>
        <v>8.3916130616978002E-2</v>
      </c>
      <c r="G19" s="155" t="s">
        <v>142</v>
      </c>
      <c r="H19" s="187">
        <f ca="1">AVERAGE(I15:M15)</f>
        <v>12709679.283437241</v>
      </c>
      <c r="I19" s="187">
        <f t="shared" ref="I19:X19" ca="1" si="19">AVERAGE(J15:N15)</f>
        <v>12709679.283437241</v>
      </c>
      <c r="J19" s="187">
        <f t="shared" ca="1" si="19"/>
        <v>12709679.283437241</v>
      </c>
      <c r="K19" s="187">
        <f t="shared" ca="1" si="19"/>
        <v>12709679.283437241</v>
      </c>
      <c r="L19" s="187">
        <f t="shared" ca="1" si="19"/>
        <v>12709679.283437241</v>
      </c>
      <c r="M19" s="187">
        <f t="shared" ca="1" si="19"/>
        <v>12709679.283437241</v>
      </c>
      <c r="N19" s="187">
        <f t="shared" ca="1" si="19"/>
        <v>12709679.283437241</v>
      </c>
      <c r="O19" s="187">
        <f t="shared" ca="1" si="19"/>
        <v>12709679.283437241</v>
      </c>
      <c r="P19" s="187">
        <f t="shared" ca="1" si="19"/>
        <v>12709679.283437241</v>
      </c>
      <c r="Q19" s="187">
        <f t="shared" ca="1" si="19"/>
        <v>12709679.283437237</v>
      </c>
      <c r="R19" s="187">
        <f t="shared" ca="1" si="19"/>
        <v>12709679.283437241</v>
      </c>
      <c r="S19" s="187">
        <f t="shared" ca="1" si="19"/>
        <v>12709679.283437241</v>
      </c>
      <c r="T19" s="187">
        <f t="shared" ca="1" si="19"/>
        <v>12709679.283437243</v>
      </c>
      <c r="U19" s="187">
        <f t="shared" ca="1" si="19"/>
        <v>12709679.283437243</v>
      </c>
      <c r="V19" s="187">
        <f t="shared" ca="1" si="19"/>
        <v>12709679.283437241</v>
      </c>
      <c r="W19" s="187">
        <f t="shared" ca="1" si="19"/>
        <v>12709679.283437241</v>
      </c>
      <c r="X19" s="187">
        <f t="shared" ca="1" si="19"/>
        <v>12709679.283437243</v>
      </c>
      <c r="Y19" s="187">
        <f ca="1">AVERAGE(Z15:AE15)</f>
        <v>9542570.4625779316</v>
      </c>
      <c r="Z19" s="187">
        <f ca="1">AVERAGE(AA15:AE15)</f>
        <v>8486867.5222914945</v>
      </c>
      <c r="AA19" s="187">
        <f ca="1">AVERAGE(AB15:AF15)</f>
        <v>4250307.8916201349</v>
      </c>
      <c r="AB19" s="187">
        <v>0</v>
      </c>
      <c r="AE19" s="625">
        <f t="shared" si="1"/>
        <v>42705</v>
      </c>
      <c r="AF19" s="626">
        <f>VLOOKUP(AE19,'Revenues &amp; Expenses'!$K$9:$N$258,4)</f>
        <v>0.29357247131203396</v>
      </c>
      <c r="AH19" s="179">
        <f t="shared" si="5"/>
        <v>42735</v>
      </c>
      <c r="AI19" s="175">
        <v>4.5999999999999999E-2</v>
      </c>
      <c r="AJ19" s="172">
        <f t="shared" si="2"/>
        <v>5433750</v>
      </c>
      <c r="AK19" s="170">
        <f>$AJ$2-SUM($AJ$3:AJ19)</f>
        <v>23802187.5</v>
      </c>
      <c r="AM19" s="173">
        <f t="shared" si="3"/>
        <v>8.7030199197684011E-2</v>
      </c>
      <c r="AN19" s="172">
        <f t="shared" si="6"/>
        <v>2544409.4643560397</v>
      </c>
      <c r="AO19" s="172"/>
      <c r="AP19" s="170"/>
      <c r="AR19" s="573"/>
      <c r="AS19" s="563">
        <f ca="1">AS13+AS14</f>
        <v>12709679.283437248</v>
      </c>
      <c r="AT19" s="563">
        <f t="shared" ref="AT19:BL19" ca="1" si="20">AT13+AT14</f>
        <v>12709679.283437246</v>
      </c>
      <c r="AU19" s="563">
        <f t="shared" ca="1" si="20"/>
        <v>12709679.283437248</v>
      </c>
      <c r="AV19" s="563">
        <f t="shared" ca="1" si="20"/>
        <v>12709679.283437246</v>
      </c>
      <c r="AW19" s="563">
        <f t="shared" ca="1" si="20"/>
        <v>12709679.283437245</v>
      </c>
      <c r="AX19" s="563">
        <f t="shared" ca="1" si="20"/>
        <v>12709679.283437248</v>
      </c>
      <c r="AY19" s="563">
        <f t="shared" ca="1" si="20"/>
        <v>12709679.283437246</v>
      </c>
      <c r="AZ19" s="563">
        <f t="shared" ca="1" si="20"/>
        <v>12709679.28343725</v>
      </c>
      <c r="BA19" s="563">
        <f t="shared" ca="1" si="20"/>
        <v>12709679.283437243</v>
      </c>
      <c r="BB19" s="563">
        <f t="shared" ca="1" si="20"/>
        <v>12709679.283437248</v>
      </c>
      <c r="BC19" s="563">
        <f t="shared" ca="1" si="20"/>
        <v>12709679.283437245</v>
      </c>
      <c r="BD19" s="563">
        <f t="shared" ca="1" si="20"/>
        <v>12709679.283437245</v>
      </c>
      <c r="BE19" s="563">
        <f t="shared" ca="1" si="20"/>
        <v>12709679.283437248</v>
      </c>
      <c r="BF19" s="563">
        <f t="shared" ca="1" si="20"/>
        <v>12709679.283437245</v>
      </c>
      <c r="BG19" s="563">
        <f t="shared" ca="1" si="20"/>
        <v>12709679.283437245</v>
      </c>
      <c r="BH19" s="563">
        <f t="shared" ca="1" si="20"/>
        <v>12709679.283437246</v>
      </c>
      <c r="BI19" s="563">
        <f t="shared" ca="1" si="20"/>
        <v>12709679.283437248</v>
      </c>
      <c r="BJ19" s="563">
        <f t="shared" ca="1" si="20"/>
        <v>12709679.283437248</v>
      </c>
      <c r="BK19" s="563">
        <f t="shared" ca="1" si="20"/>
        <v>12709679.283437245</v>
      </c>
      <c r="BL19" s="563">
        <f t="shared" ca="1" si="20"/>
        <v>12709679.283437243</v>
      </c>
      <c r="BM19" s="574"/>
      <c r="BN19" s="575"/>
      <c r="BO19" s="575"/>
      <c r="BP19" s="575"/>
      <c r="BQ19" s="574"/>
      <c r="BR19" s="575"/>
      <c r="BS19" s="575"/>
      <c r="BT19" s="575"/>
      <c r="BU19" s="575"/>
      <c r="BV19" s="575"/>
      <c r="BW19" s="576"/>
      <c r="BX19" s="576"/>
      <c r="BY19" s="576"/>
      <c r="BZ19" s="576"/>
      <c r="CA19" s="576"/>
      <c r="CB19" s="576"/>
      <c r="CC19" s="576"/>
      <c r="CD19" s="576"/>
      <c r="CE19" s="576"/>
      <c r="CF19" s="576"/>
      <c r="CG19" s="576"/>
      <c r="CH19" s="576"/>
      <c r="CI19" s="576"/>
      <c r="CJ19" s="576"/>
      <c r="CK19" s="576"/>
      <c r="CL19" s="576"/>
      <c r="CM19" s="576"/>
      <c r="CN19" s="576"/>
      <c r="CO19" s="576"/>
      <c r="CP19" s="576"/>
      <c r="CQ19" s="576"/>
      <c r="CR19" s="576"/>
      <c r="CS19" s="576"/>
      <c r="CT19" s="576"/>
      <c r="CU19" s="576"/>
      <c r="CV19" s="576"/>
      <c r="CW19" s="576"/>
      <c r="CX19" s="576"/>
      <c r="CY19" s="576"/>
      <c r="CZ19" s="576"/>
      <c r="DA19" s="576"/>
      <c r="DB19" s="576"/>
      <c r="DC19" s="576"/>
      <c r="DD19" s="576"/>
      <c r="DE19" s="576"/>
      <c r="DF19" s="576"/>
      <c r="DG19" s="576"/>
      <c r="DH19" s="576"/>
      <c r="DI19" s="576"/>
      <c r="DJ19" s="576"/>
      <c r="DK19" s="576"/>
      <c r="DL19" s="576"/>
      <c r="DM19" s="576"/>
      <c r="DN19" s="576"/>
    </row>
    <row r="20" spans="1:118">
      <c r="A20" s="161">
        <v>36950</v>
      </c>
      <c r="B20" s="171">
        <v>36923</v>
      </c>
      <c r="C20" s="156">
        <f>'Revenues &amp; Expenses'!M20</f>
        <v>6.1537426734644012E-2</v>
      </c>
      <c r="D20" s="156">
        <f t="shared" si="9"/>
        <v>8.4037426734644011E-2</v>
      </c>
      <c r="G20" s="155" t="s">
        <v>143</v>
      </c>
      <c r="H20" s="190">
        <v>8.0000000000000002E-3</v>
      </c>
      <c r="I20" s="189">
        <v>8.0000000000000002E-3</v>
      </c>
      <c r="J20" s="189">
        <v>8.0000000000000002E-3</v>
      </c>
      <c r="K20" s="189">
        <v>8.0000000000000002E-3</v>
      </c>
      <c r="L20" s="189">
        <v>8.0000000000000002E-3</v>
      </c>
      <c r="M20" s="189">
        <v>8.0000000000000002E-3</v>
      </c>
      <c r="N20" s="189">
        <v>8.0000000000000002E-3</v>
      </c>
      <c r="O20" s="189">
        <v>8.0000000000000002E-3</v>
      </c>
      <c r="P20" s="189">
        <v>8.0000000000000002E-3</v>
      </c>
      <c r="Q20" s="189">
        <v>8.0000000000000002E-3</v>
      </c>
      <c r="R20" s="189">
        <v>8.0000000000000002E-3</v>
      </c>
      <c r="S20" s="189">
        <v>8.0000000000000002E-3</v>
      </c>
      <c r="T20" s="189">
        <v>8.0000000000000002E-3</v>
      </c>
      <c r="U20" s="189">
        <v>8.0000000000000002E-3</v>
      </c>
      <c r="V20" s="189">
        <v>8.0000000000000002E-3</v>
      </c>
      <c r="W20" s="189">
        <v>8.0000000000000002E-3</v>
      </c>
      <c r="X20" s="189">
        <v>8.0000000000000002E-3</v>
      </c>
      <c r="Y20" s="189">
        <v>8.0000000000000002E-3</v>
      </c>
      <c r="Z20" s="189">
        <v>8.0000000000000002E-3</v>
      </c>
      <c r="AA20" s="189">
        <v>8.0000000000000002E-3</v>
      </c>
      <c r="AB20" s="189">
        <v>8.0000000000000002E-3</v>
      </c>
      <c r="AE20" s="625">
        <f t="shared" si="1"/>
        <v>43070.25</v>
      </c>
      <c r="AF20" s="626">
        <f>VLOOKUP(AE20,'Revenues &amp; Expenses'!$K$9:$N$258,4)</f>
        <v>0.2732948626893707</v>
      </c>
      <c r="AH20" s="179">
        <f t="shared" si="5"/>
        <v>43100.25</v>
      </c>
      <c r="AI20" s="175">
        <v>0.04</v>
      </c>
      <c r="AJ20" s="172">
        <f t="shared" si="2"/>
        <v>4725000</v>
      </c>
      <c r="AK20" s="170">
        <f>$AJ$2-SUM($AJ$3:AJ20)</f>
        <v>19077187.5</v>
      </c>
      <c r="AM20" s="173">
        <f t="shared" si="3"/>
        <v>8.7166924024206005E-2</v>
      </c>
      <c r="AN20" s="172">
        <f t="shared" si="6"/>
        <v>2074763.4694224058</v>
      </c>
      <c r="AO20" s="172"/>
      <c r="AP20" s="170"/>
      <c r="AR20" s="573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564"/>
      <c r="BN20" s="563"/>
      <c r="BO20" s="563"/>
      <c r="BP20" s="563"/>
      <c r="BQ20" s="564"/>
      <c r="BR20" s="563"/>
      <c r="BS20" s="563"/>
      <c r="BT20" s="563"/>
      <c r="BU20" s="563"/>
      <c r="BV20" s="563"/>
    </row>
    <row r="21" spans="1:118">
      <c r="A21" s="161">
        <v>36981</v>
      </c>
      <c r="B21" s="171">
        <v>36951</v>
      </c>
      <c r="C21" s="156">
        <f>'Revenues &amp; Expenses'!M21</f>
        <v>6.1646984606513008E-2</v>
      </c>
      <c r="D21" s="156">
        <f t="shared" si="9"/>
        <v>8.4146984606513014E-2</v>
      </c>
      <c r="H21" s="172">
        <v>0</v>
      </c>
      <c r="I21" s="172">
        <f ca="1">I19*I20</f>
        <v>101677.43426749793</v>
      </c>
      <c r="J21" s="172">
        <f t="shared" ref="J21:AB21" ca="1" si="21">J19*J20</f>
        <v>101677.43426749793</v>
      </c>
      <c r="K21" s="172">
        <f t="shared" ca="1" si="21"/>
        <v>101677.43426749793</v>
      </c>
      <c r="L21" s="172">
        <f t="shared" ca="1" si="21"/>
        <v>101677.43426749793</v>
      </c>
      <c r="M21" s="172">
        <f t="shared" ca="1" si="21"/>
        <v>101677.43426749793</v>
      </c>
      <c r="N21" s="172">
        <f t="shared" ca="1" si="21"/>
        <v>101677.43426749793</v>
      </c>
      <c r="O21" s="172">
        <f t="shared" ca="1" si="21"/>
        <v>101677.43426749793</v>
      </c>
      <c r="P21" s="172">
        <f t="shared" ca="1" si="21"/>
        <v>101677.43426749793</v>
      </c>
      <c r="Q21" s="172">
        <f t="shared" ca="1" si="21"/>
        <v>101677.4342674979</v>
      </c>
      <c r="R21" s="172">
        <f t="shared" ca="1" si="21"/>
        <v>101677.43426749793</v>
      </c>
      <c r="S21" s="172">
        <f t="shared" ca="1" si="21"/>
        <v>101677.43426749793</v>
      </c>
      <c r="T21" s="172">
        <f t="shared" ca="1" si="21"/>
        <v>101677.43426749794</v>
      </c>
      <c r="U21" s="172">
        <f t="shared" ca="1" si="21"/>
        <v>101677.43426749794</v>
      </c>
      <c r="V21" s="172">
        <f t="shared" ca="1" si="21"/>
        <v>101677.43426749793</v>
      </c>
      <c r="W21" s="172">
        <f t="shared" ca="1" si="21"/>
        <v>101677.43426749793</v>
      </c>
      <c r="X21" s="172">
        <f t="shared" ca="1" si="21"/>
        <v>101677.43426749794</v>
      </c>
      <c r="Y21" s="172">
        <f t="shared" ca="1" si="21"/>
        <v>76340.563700623461</v>
      </c>
      <c r="Z21" s="172">
        <f t="shared" ca="1" si="21"/>
        <v>67894.940178331963</v>
      </c>
      <c r="AA21" s="172">
        <f t="shared" ca="1" si="21"/>
        <v>34002.463132961078</v>
      </c>
      <c r="AB21" s="172">
        <f t="shared" si="21"/>
        <v>0</v>
      </c>
      <c r="AE21" s="625">
        <f t="shared" si="1"/>
        <v>43435.5</v>
      </c>
      <c r="AF21" s="626">
        <f>VLOOKUP(AE21,'Revenues &amp; Expenses'!$K$9:$N$258,4)</f>
        <v>0.25444774583402968</v>
      </c>
      <c r="AH21" s="179">
        <f t="shared" si="5"/>
        <v>43465.5</v>
      </c>
      <c r="AI21" s="175">
        <v>0.05</v>
      </c>
      <c r="AJ21" s="172">
        <f t="shared" si="2"/>
        <v>5906250</v>
      </c>
      <c r="AK21" s="170">
        <f>$AJ$2-SUM($AJ$3:AJ21)</f>
        <v>13170937.5</v>
      </c>
      <c r="AM21" s="173">
        <f t="shared" si="3"/>
        <v>8.7303648980870008E-2</v>
      </c>
      <c r="AN21" s="172">
        <f t="shared" si="6"/>
        <v>1665508.0810422411</v>
      </c>
      <c r="AO21" s="172"/>
      <c r="AP21" s="170"/>
      <c r="AR21" s="587" t="s">
        <v>285</v>
      </c>
      <c r="AS21" s="732">
        <f ca="1">AS19/315000</f>
        <v>40.348188201388091</v>
      </c>
      <c r="AT21" s="588">
        <f t="shared" ref="AT21:BL21" ca="1" si="22">AT19/315000</f>
        <v>40.348188201388083</v>
      </c>
      <c r="AU21" s="588">
        <f t="shared" ca="1" si="22"/>
        <v>40.348188201388091</v>
      </c>
      <c r="AV21" s="588">
        <f t="shared" ca="1" si="22"/>
        <v>40.348188201388083</v>
      </c>
      <c r="AW21" s="588">
        <f t="shared" ca="1" si="22"/>
        <v>40.348188201388076</v>
      </c>
      <c r="AX21" s="588">
        <f t="shared" ca="1" si="22"/>
        <v>40.348188201388091</v>
      </c>
      <c r="AY21" s="588">
        <f t="shared" ca="1" si="22"/>
        <v>40.348188201388083</v>
      </c>
      <c r="AZ21" s="588">
        <f t="shared" ca="1" si="22"/>
        <v>40.348188201388098</v>
      </c>
      <c r="BA21" s="588">
        <f t="shared" ca="1" si="22"/>
        <v>40.348188201388069</v>
      </c>
      <c r="BB21" s="588">
        <f t="shared" ca="1" si="22"/>
        <v>40.348188201388091</v>
      </c>
      <c r="BC21" s="588">
        <f t="shared" ca="1" si="22"/>
        <v>40.348188201388076</v>
      </c>
      <c r="BD21" s="588">
        <f t="shared" ca="1" si="22"/>
        <v>40.348188201388076</v>
      </c>
      <c r="BE21" s="588">
        <f t="shared" ca="1" si="22"/>
        <v>40.348188201388091</v>
      </c>
      <c r="BF21" s="588">
        <f t="shared" ca="1" si="22"/>
        <v>40.348188201388076</v>
      </c>
      <c r="BG21" s="588">
        <f t="shared" ca="1" si="22"/>
        <v>40.348188201388076</v>
      </c>
      <c r="BH21" s="588">
        <f t="shared" ca="1" si="22"/>
        <v>40.348188201388083</v>
      </c>
      <c r="BI21" s="588">
        <f t="shared" ca="1" si="22"/>
        <v>40.348188201388091</v>
      </c>
      <c r="BJ21" s="588">
        <f t="shared" ca="1" si="22"/>
        <v>40.348188201388091</v>
      </c>
      <c r="BK21" s="588">
        <f ca="1">BK19/315000</f>
        <v>40.348188201388076</v>
      </c>
      <c r="BL21" s="588">
        <f t="shared" ca="1" si="22"/>
        <v>40.348188201388069</v>
      </c>
      <c r="BM21" s="564"/>
      <c r="BN21" s="563"/>
      <c r="BO21" s="563"/>
      <c r="BP21" s="563"/>
      <c r="BQ21" s="564"/>
      <c r="BR21" s="563"/>
      <c r="BS21" s="563"/>
      <c r="BT21" s="563"/>
      <c r="BU21" s="563"/>
      <c r="BV21" s="563"/>
    </row>
    <row r="22" spans="1:118">
      <c r="A22" s="161">
        <v>37011</v>
      </c>
      <c r="B22" s="171">
        <v>36982</v>
      </c>
      <c r="C22" s="156">
        <f>'Revenues &amp; Expenses'!M22</f>
        <v>6.1949688268952009E-2</v>
      </c>
      <c r="D22" s="156">
        <f t="shared" si="9"/>
        <v>8.4449688268952008E-2</v>
      </c>
      <c r="AE22" s="625">
        <f t="shared" si="1"/>
        <v>43800.75</v>
      </c>
      <c r="AF22" s="626">
        <f>VLOOKUP(AE22,'Revenues &amp; Expenses'!$K$9:$N$258,4)</f>
        <v>0.2369281974153673</v>
      </c>
      <c r="AH22" s="179">
        <f t="shared" si="5"/>
        <v>43830.75</v>
      </c>
      <c r="AI22" s="175">
        <v>0.05</v>
      </c>
      <c r="AJ22" s="172">
        <f t="shared" si="2"/>
        <v>5906250</v>
      </c>
      <c r="AK22" s="170">
        <f>$AJ$2-SUM($AJ$3:AJ22)</f>
        <v>7264687.5</v>
      </c>
      <c r="AM22" s="173">
        <f t="shared" si="3"/>
        <v>8.7440374067666998E-2</v>
      </c>
      <c r="AN22" s="172">
        <f t="shared" si="6"/>
        <v>1151671.7018218627</v>
      </c>
      <c r="AO22" s="172"/>
      <c r="AP22" s="170"/>
    </row>
    <row r="23" spans="1:118">
      <c r="A23" s="161">
        <v>37042</v>
      </c>
      <c r="B23" s="171">
        <v>37012</v>
      </c>
      <c r="C23" s="156">
        <f>'Revenues &amp; Expenses'!M23</f>
        <v>6.2248479771043003E-2</v>
      </c>
      <c r="D23" s="156">
        <f t="shared" si="9"/>
        <v>8.4748479771042995E-2</v>
      </c>
      <c r="AD23" s="623"/>
      <c r="AE23" s="625">
        <f t="shared" si="1"/>
        <v>44166</v>
      </c>
      <c r="AF23" s="626">
        <f>VLOOKUP(AE23,'Revenues &amp; Expenses'!$K$9:$N$258,4)</f>
        <v>0.22086572693958989</v>
      </c>
      <c r="AH23" s="180">
        <f t="shared" si="5"/>
        <v>44196</v>
      </c>
      <c r="AI23" s="176">
        <v>6.1499999999999666E-2</v>
      </c>
      <c r="AJ23" s="181">
        <f t="shared" si="2"/>
        <v>7264687.4999999609</v>
      </c>
      <c r="AK23" s="170">
        <f>$AJ$2-SUM($AJ$3:AJ23)</f>
        <v>0</v>
      </c>
      <c r="AM23" s="173">
        <f t="shared" si="3"/>
        <v>8.7440374067666998E-2</v>
      </c>
      <c r="AN23" s="172">
        <f t="shared" si="6"/>
        <v>635226.99248470459</v>
      </c>
      <c r="AO23" s="172"/>
      <c r="AP23" s="170"/>
      <c r="AS23" s="172">
        <f ca="1">AS19-AS20</f>
        <v>12709679.283437248</v>
      </c>
      <c r="AT23" s="172">
        <f t="shared" ref="AT23:BL23" ca="1" si="23">AT19-AT20</f>
        <v>12709679.283437246</v>
      </c>
      <c r="AU23" s="172">
        <f t="shared" ca="1" si="23"/>
        <v>12709679.283437248</v>
      </c>
      <c r="AV23" s="172">
        <f t="shared" ca="1" si="23"/>
        <v>12709679.283437246</v>
      </c>
      <c r="AW23" s="172">
        <f t="shared" ca="1" si="23"/>
        <v>12709679.283437245</v>
      </c>
      <c r="AX23" s="172">
        <f t="shared" ca="1" si="23"/>
        <v>12709679.283437248</v>
      </c>
      <c r="AY23" s="172">
        <f t="shared" ca="1" si="23"/>
        <v>12709679.283437246</v>
      </c>
      <c r="AZ23" s="172">
        <f t="shared" ca="1" si="23"/>
        <v>12709679.28343725</v>
      </c>
      <c r="BA23" s="172">
        <f t="shared" ca="1" si="23"/>
        <v>12709679.283437243</v>
      </c>
      <c r="BB23" s="172">
        <f t="shared" ca="1" si="23"/>
        <v>12709679.283437248</v>
      </c>
      <c r="BC23" s="172">
        <f t="shared" ca="1" si="23"/>
        <v>12709679.283437245</v>
      </c>
      <c r="BD23" s="172">
        <f t="shared" ca="1" si="23"/>
        <v>12709679.283437245</v>
      </c>
      <c r="BE23" s="172">
        <f t="shared" ca="1" si="23"/>
        <v>12709679.283437248</v>
      </c>
      <c r="BF23" s="172">
        <f t="shared" ca="1" si="23"/>
        <v>12709679.283437245</v>
      </c>
      <c r="BG23" s="172">
        <f t="shared" ca="1" si="23"/>
        <v>12709679.283437245</v>
      </c>
      <c r="BH23" s="172">
        <f t="shared" ca="1" si="23"/>
        <v>12709679.283437246</v>
      </c>
      <c r="BI23" s="172">
        <f t="shared" ca="1" si="23"/>
        <v>12709679.283437248</v>
      </c>
      <c r="BJ23" s="172">
        <f t="shared" ca="1" si="23"/>
        <v>12709679.283437248</v>
      </c>
      <c r="BK23" s="172">
        <f t="shared" ca="1" si="23"/>
        <v>12709679.283437245</v>
      </c>
      <c r="BL23" s="172">
        <f t="shared" ca="1" si="23"/>
        <v>12709679.283437243</v>
      </c>
    </row>
    <row r="24" spans="1:118">
      <c r="A24" s="161">
        <v>37072</v>
      </c>
      <c r="B24" s="171">
        <v>37043</v>
      </c>
      <c r="C24" s="156">
        <f>'Revenues &amp; Expenses'!M24</f>
        <v>6.2557231643578015E-2</v>
      </c>
      <c r="D24" s="156">
        <f t="shared" si="9"/>
        <v>8.5057231643578007E-2</v>
      </c>
      <c r="AJ24" s="182">
        <f>SUM(AJ3:AJ23)</f>
        <v>118124999.99999996</v>
      </c>
      <c r="AN24" s="172">
        <f>SUM(AN3:AN23)</f>
        <v>120067143.54896282</v>
      </c>
      <c r="AS24" s="170">
        <f ca="1">SUM(AS23:BL23)</f>
        <v>254193585.66874498</v>
      </c>
    </row>
    <row r="25" spans="1:118">
      <c r="A25" s="161">
        <v>37103</v>
      </c>
      <c r="B25" s="171">
        <v>37073</v>
      </c>
      <c r="C25" s="156">
        <f>'Revenues &amp; Expenses'!M25</f>
        <v>6.2856024410819999E-2</v>
      </c>
      <c r="D25" s="156">
        <f t="shared" si="9"/>
        <v>8.5356024410819992E-2</v>
      </c>
      <c r="AN25" s="172">
        <f ca="1">SUM('Debt Amortization'!H13:AB13)</f>
        <v>136068585.66874474</v>
      </c>
      <c r="AS25" s="172">
        <f ca="1">AS21*315000</f>
        <v>12709679.283437248</v>
      </c>
    </row>
    <row r="26" spans="1:118">
      <c r="A26" s="161">
        <v>37134</v>
      </c>
      <c r="B26" s="171">
        <v>37104</v>
      </c>
      <c r="C26" s="156">
        <f>'Revenues &amp; Expenses'!M26</f>
        <v>6.3164777590491009E-2</v>
      </c>
      <c r="D26" s="156">
        <f t="shared" si="9"/>
        <v>8.5664777590491015E-2</v>
      </c>
    </row>
    <row r="27" spans="1:118">
      <c r="A27" s="161">
        <v>37164</v>
      </c>
      <c r="B27" s="171">
        <v>37135</v>
      </c>
      <c r="C27" s="156">
        <f>'Revenues &amp; Expenses'!M27</f>
        <v>6.3473531434301012E-2</v>
      </c>
      <c r="D27" s="156">
        <f t="shared" si="9"/>
        <v>8.5973531434301004E-2</v>
      </c>
    </row>
    <row r="28" spans="1:118">
      <c r="A28" s="161">
        <v>37195</v>
      </c>
      <c r="B28" s="171">
        <v>37165</v>
      </c>
      <c r="C28" s="156">
        <f>'Revenues &amp; Expenses'!M28</f>
        <v>6.3772326108956015E-2</v>
      </c>
      <c r="D28" s="156">
        <f t="shared" si="9"/>
        <v>8.6272326108956021E-2</v>
      </c>
    </row>
    <row r="29" spans="1:118">
      <c r="A29" s="161">
        <v>37225</v>
      </c>
      <c r="B29" s="171">
        <v>37196</v>
      </c>
      <c r="C29" s="156">
        <f>'Revenues &amp; Expenses'!M29</f>
        <v>6.4081081259339021E-2</v>
      </c>
      <c r="D29" s="156">
        <f t="shared" si="9"/>
        <v>8.6581081259339027E-2</v>
      </c>
    </row>
    <row r="30" spans="1:118">
      <c r="A30" s="161">
        <v>37256</v>
      </c>
      <c r="B30" s="171">
        <v>37226</v>
      </c>
      <c r="C30" s="156">
        <f>'Revenues &amp; Expenses'!M30</f>
        <v>6.4379877198237997E-2</v>
      </c>
      <c r="D30" s="156">
        <f t="shared" si="9"/>
        <v>8.6879877198238004E-2</v>
      </c>
    </row>
    <row r="31" spans="1:118">
      <c r="A31" s="161">
        <v>37287</v>
      </c>
      <c r="B31" s="171">
        <v>37257</v>
      </c>
      <c r="C31" s="156">
        <f>'Revenues &amp; Expenses'!M31</f>
        <v>6.4688633654820013E-2</v>
      </c>
      <c r="D31" s="156">
        <f t="shared" si="9"/>
        <v>8.7188633654820019E-2</v>
      </c>
    </row>
    <row r="32" spans="1:118">
      <c r="A32" s="161">
        <v>37315</v>
      </c>
      <c r="B32" s="171">
        <v>37288</v>
      </c>
      <c r="C32" s="156">
        <f>'Revenues &amp; Expenses'!M32</f>
        <v>6.4997390775064001E-2</v>
      </c>
      <c r="D32" s="156">
        <f t="shared" si="9"/>
        <v>8.7497390775063993E-2</v>
      </c>
    </row>
    <row r="33" spans="1:4">
      <c r="A33" s="161">
        <v>37346</v>
      </c>
      <c r="B33" s="171">
        <v>37316</v>
      </c>
      <c r="C33" s="156">
        <f>'Revenues &amp; Expenses'!M33</f>
        <v>6.528639882091701E-2</v>
      </c>
      <c r="D33" s="156">
        <f t="shared" si="9"/>
        <v>8.7786398820917017E-2</v>
      </c>
    </row>
    <row r="34" spans="1:4">
      <c r="A34" s="161">
        <v>37376</v>
      </c>
      <c r="B34" s="171">
        <v>37347</v>
      </c>
      <c r="C34" s="156">
        <f>'Revenues &amp; Expenses'!M34</f>
        <v>6.589014476916101E-2</v>
      </c>
      <c r="D34" s="156">
        <f t="shared" si="9"/>
        <v>8.8390144769161016E-2</v>
      </c>
    </row>
    <row r="35" spans="1:4">
      <c r="A35" s="161">
        <v>37407</v>
      </c>
      <c r="B35" s="171">
        <v>37377</v>
      </c>
      <c r="C35" s="156">
        <f>'Revenues &amp; Expenses'!M35</f>
        <v>6.5921472008656015E-2</v>
      </c>
      <c r="D35" s="156">
        <f t="shared" si="9"/>
        <v>8.8421472008656021E-2</v>
      </c>
    </row>
    <row r="36" spans="1:4">
      <c r="A36" s="161">
        <v>37437</v>
      </c>
      <c r="B36" s="171">
        <v>37408</v>
      </c>
      <c r="C36" s="156">
        <f>'Revenues &amp; Expenses'!M36</f>
        <v>6.5953843496640019E-2</v>
      </c>
      <c r="D36" s="156">
        <f t="shared" si="9"/>
        <v>8.8453843496640011E-2</v>
      </c>
    </row>
    <row r="37" spans="1:4">
      <c r="A37" s="161">
        <v>37468</v>
      </c>
      <c r="B37" s="171">
        <v>37438</v>
      </c>
      <c r="C37" s="156">
        <f>'Revenues &amp; Expenses'!M37</f>
        <v>6.5985170750018002E-2</v>
      </c>
      <c r="D37" s="156">
        <f t="shared" si="9"/>
        <v>8.8485170750017994E-2</v>
      </c>
    </row>
    <row r="38" spans="1:4">
      <c r="A38" s="161">
        <v>37499</v>
      </c>
      <c r="B38" s="171">
        <v>37469</v>
      </c>
      <c r="C38" s="156">
        <f>'Revenues &amp; Expenses'!M38</f>
        <v>6.6017542252348002E-2</v>
      </c>
      <c r="D38" s="156">
        <f t="shared" si="9"/>
        <v>8.8517542252348008E-2</v>
      </c>
    </row>
    <row r="39" spans="1:4">
      <c r="A39" s="161">
        <v>37529</v>
      </c>
      <c r="B39" s="171">
        <v>37500</v>
      </c>
      <c r="C39" s="156">
        <f>'Revenues &amp; Expenses'!M39</f>
        <v>6.6049913761969004E-2</v>
      </c>
      <c r="D39" s="156">
        <f t="shared" si="9"/>
        <v>8.8549913761968996E-2</v>
      </c>
    </row>
    <row r="40" spans="1:4">
      <c r="A40" s="161">
        <v>37560</v>
      </c>
      <c r="B40" s="171">
        <v>37530</v>
      </c>
      <c r="C40" s="156">
        <f>'Revenues &amp; Expenses'!M40</f>
        <v>6.6081241036285029E-2</v>
      </c>
      <c r="D40" s="156">
        <f t="shared" si="9"/>
        <v>8.8581241036285036E-2</v>
      </c>
    </row>
    <row r="41" spans="1:4">
      <c r="A41" s="161">
        <v>37590</v>
      </c>
      <c r="B41" s="171">
        <v>37561</v>
      </c>
      <c r="C41" s="156">
        <f>'Revenues &amp; Expenses'!M41</f>
        <v>6.6113612560252027E-2</v>
      </c>
      <c r="D41" s="156">
        <f t="shared" si="9"/>
        <v>8.861361256025202E-2</v>
      </c>
    </row>
    <row r="42" spans="1:4">
      <c r="A42" s="161">
        <v>37621</v>
      </c>
      <c r="B42" s="171">
        <v>37591</v>
      </c>
      <c r="C42" s="156">
        <f>'Revenues &amp; Expenses'!M42</f>
        <v>6.6144939848451018E-2</v>
      </c>
      <c r="D42" s="156">
        <f t="shared" si="9"/>
        <v>8.864493984845101E-2</v>
      </c>
    </row>
    <row r="43" spans="1:4">
      <c r="A43" s="161">
        <v>37652</v>
      </c>
      <c r="B43" s="171">
        <v>37622</v>
      </c>
      <c r="C43" s="156">
        <f>'Revenues &amp; Expenses'!M43</f>
        <v>6.6177311386763013E-2</v>
      </c>
      <c r="D43" s="156">
        <f t="shared" si="9"/>
        <v>8.8677311386763019E-2</v>
      </c>
    </row>
    <row r="44" spans="1:4">
      <c r="A44" s="161">
        <v>37680</v>
      </c>
      <c r="B44" s="171">
        <v>37653</v>
      </c>
      <c r="C44" s="156">
        <f>'Revenues &amp; Expenses'!M44</f>
        <v>6.6209682932364025E-2</v>
      </c>
      <c r="D44" s="156">
        <f t="shared" si="9"/>
        <v>8.8709682932364031E-2</v>
      </c>
    </row>
    <row r="45" spans="1:4">
      <c r="A45" s="161">
        <v>37711</v>
      </c>
      <c r="B45" s="171">
        <v>37681</v>
      </c>
      <c r="C45" s="156">
        <f>'Revenues &amp; Expenses'!M45</f>
        <v>6.6238921754012012E-2</v>
      </c>
      <c r="D45" s="156">
        <f t="shared" si="9"/>
        <v>8.8738921754012018E-2</v>
      </c>
    </row>
    <row r="46" spans="1:4">
      <c r="A46" s="161">
        <v>37741</v>
      </c>
      <c r="B46" s="171">
        <v>37712</v>
      </c>
      <c r="C46" s="156">
        <f>'Revenues &amp; Expenses'!M46</f>
        <v>6.6271293313487994E-2</v>
      </c>
      <c r="D46" s="156">
        <f t="shared" si="9"/>
        <v>8.8771293313487987E-2</v>
      </c>
    </row>
    <row r="47" spans="1:4">
      <c r="A47" s="161">
        <v>37772</v>
      </c>
      <c r="B47" s="171">
        <v>37742</v>
      </c>
      <c r="C47" s="156">
        <f>'Revenues &amp; Expenses'!M47</f>
        <v>6.6302620636051024E-2</v>
      </c>
      <c r="D47" s="156">
        <f t="shared" si="9"/>
        <v>8.8802620636051016E-2</v>
      </c>
    </row>
    <row r="48" spans="1:4">
      <c r="A48" s="161">
        <v>37802</v>
      </c>
      <c r="B48" s="171">
        <v>37773</v>
      </c>
      <c r="C48" s="156">
        <f>'Revenues &amp; Expenses'!M48</f>
        <v>6.6334992209871019E-2</v>
      </c>
      <c r="D48" s="156">
        <f t="shared" si="9"/>
        <v>8.8834992209871011E-2</v>
      </c>
    </row>
    <row r="49" spans="1:4">
      <c r="A49" s="161">
        <v>37833</v>
      </c>
      <c r="B49" s="171">
        <v>37803</v>
      </c>
      <c r="C49" s="156">
        <f>'Revenues &amp; Expenses'!M49</f>
        <v>6.6366319546315E-2</v>
      </c>
      <c r="D49" s="156">
        <f t="shared" si="9"/>
        <v>8.8866319546314992E-2</v>
      </c>
    </row>
    <row r="50" spans="1:4">
      <c r="A50" s="161">
        <v>37864</v>
      </c>
      <c r="B50" s="171">
        <v>37834</v>
      </c>
      <c r="C50" s="156">
        <f>'Revenues &amp; Expenses'!M50</f>
        <v>6.6398691134478022E-2</v>
      </c>
      <c r="D50" s="156">
        <f t="shared" si="9"/>
        <v>8.8898691134478014E-2</v>
      </c>
    </row>
    <row r="51" spans="1:4">
      <c r="A51" s="161">
        <v>37894</v>
      </c>
      <c r="B51" s="171">
        <v>37865</v>
      </c>
      <c r="C51" s="156">
        <f>'Revenues &amp; Expenses'!M51</f>
        <v>6.6431062729931017E-2</v>
      </c>
      <c r="D51" s="156">
        <f t="shared" si="9"/>
        <v>8.893106272993101E-2</v>
      </c>
    </row>
    <row r="52" spans="1:4">
      <c r="A52" s="161">
        <v>37925</v>
      </c>
      <c r="B52" s="171">
        <v>37895</v>
      </c>
      <c r="C52" s="156">
        <f>'Revenues &amp; Expenses'!M52</f>
        <v>6.6462390087310017E-2</v>
      </c>
      <c r="D52" s="156">
        <f t="shared" si="9"/>
        <v>8.8962390087310023E-2</v>
      </c>
    </row>
    <row r="53" spans="1:4">
      <c r="A53" s="161">
        <v>37955</v>
      </c>
      <c r="B53" s="171">
        <v>37926</v>
      </c>
      <c r="C53" s="156">
        <f>'Revenues &amp; Expenses'!M53</f>
        <v>6.6494761697106025E-2</v>
      </c>
      <c r="D53" s="156">
        <f t="shared" si="9"/>
        <v>8.8994761697106017E-2</v>
      </c>
    </row>
    <row r="54" spans="1:4">
      <c r="A54" s="161">
        <v>37986</v>
      </c>
      <c r="B54" s="171">
        <v>37956</v>
      </c>
      <c r="C54" s="156">
        <f>'Revenues &amp; Expenses'!M54</f>
        <v>6.6526089068365019E-2</v>
      </c>
      <c r="D54" s="156">
        <f t="shared" si="9"/>
        <v>8.9026089068365011E-2</v>
      </c>
    </row>
    <row r="55" spans="1:4">
      <c r="A55" s="161">
        <v>38017</v>
      </c>
      <c r="B55" s="171">
        <v>37987</v>
      </c>
      <c r="C55" s="156">
        <f>'Revenues &amp; Expenses'!M55</f>
        <v>6.6558460692503013E-2</v>
      </c>
      <c r="D55" s="156">
        <f t="shared" si="9"/>
        <v>8.9058460692503005E-2</v>
      </c>
    </row>
    <row r="56" spans="1:4">
      <c r="A56" s="161">
        <v>38046</v>
      </c>
      <c r="B56" s="171">
        <v>38018</v>
      </c>
      <c r="C56" s="156">
        <f>'Revenues &amp; Expenses'!M56</f>
        <v>6.659083232393101E-2</v>
      </c>
      <c r="D56" s="156">
        <f t="shared" si="9"/>
        <v>8.9090832323931002E-2</v>
      </c>
    </row>
    <row r="57" spans="1:4">
      <c r="A57" s="161">
        <v>38077</v>
      </c>
      <c r="B57" s="171">
        <v>38047</v>
      </c>
      <c r="C57" s="156">
        <f>'Revenues &amp; Expenses'!M57</f>
        <v>6.6621115469606015E-2</v>
      </c>
      <c r="D57" s="156">
        <f t="shared" si="9"/>
        <v>8.9121115469606021E-2</v>
      </c>
    </row>
    <row r="58" spans="1:4">
      <c r="A58" s="161">
        <v>38107</v>
      </c>
      <c r="B58" s="171">
        <v>38078</v>
      </c>
      <c r="C58" s="156">
        <f>'Revenues &amp; Expenses'!M58</f>
        <v>6.6653487115140006E-2</v>
      </c>
      <c r="D58" s="156">
        <f t="shared" si="9"/>
        <v>8.9153487115140012E-2</v>
      </c>
    </row>
    <row r="59" spans="1:4">
      <c r="A59" s="161">
        <v>38138</v>
      </c>
      <c r="B59" s="171">
        <v>38108</v>
      </c>
      <c r="C59" s="156">
        <f>'Revenues &amp; Expenses'!M59</f>
        <v>6.6684814520984001E-2</v>
      </c>
      <c r="D59" s="156">
        <f t="shared" si="9"/>
        <v>8.9184814520984007E-2</v>
      </c>
    </row>
    <row r="60" spans="1:4">
      <c r="A60" s="161">
        <v>38168</v>
      </c>
      <c r="B60" s="171">
        <v>38139</v>
      </c>
      <c r="C60" s="156">
        <f>'Revenues &amp; Expenses'!M60</f>
        <v>6.6717186180860005E-2</v>
      </c>
      <c r="D60" s="156">
        <f t="shared" si="9"/>
        <v>8.9217186180859998E-2</v>
      </c>
    </row>
    <row r="61" spans="1:4">
      <c r="A61" s="161">
        <v>38199</v>
      </c>
      <c r="B61" s="171">
        <v>38169</v>
      </c>
      <c r="C61" s="156">
        <f>'Revenues &amp; Expenses'!M61</f>
        <v>6.674851360058201E-2</v>
      </c>
      <c r="D61" s="156">
        <f t="shared" si="9"/>
        <v>8.9248513600582002E-2</v>
      </c>
    </row>
    <row r="62" spans="1:4">
      <c r="A62" s="161">
        <v>38230</v>
      </c>
      <c r="B62" s="171">
        <v>38200</v>
      </c>
      <c r="C62" s="156">
        <f>'Revenues &amp; Expenses'!M62</f>
        <v>6.6780885274799001E-2</v>
      </c>
      <c r="D62" s="156">
        <f t="shared" si="9"/>
        <v>8.9280885274798993E-2</v>
      </c>
    </row>
    <row r="63" spans="1:4">
      <c r="A63" s="161">
        <v>38260</v>
      </c>
      <c r="B63" s="171">
        <v>38231</v>
      </c>
      <c r="C63" s="156">
        <f>'Revenues &amp; Expenses'!M63</f>
        <v>6.6642323666139994E-2</v>
      </c>
      <c r="D63" s="156">
        <f t="shared" si="9"/>
        <v>8.914232366614E-2</v>
      </c>
    </row>
    <row r="64" spans="1:4">
      <c r="A64" s="161">
        <v>38291</v>
      </c>
      <c r="B64" s="171">
        <v>38261</v>
      </c>
      <c r="C64" s="156">
        <f>'Revenues &amp; Expenses'!M64</f>
        <v>6.6372004516924016E-2</v>
      </c>
      <c r="D64" s="156">
        <f t="shared" si="9"/>
        <v>8.8872004516924008E-2</v>
      </c>
    </row>
    <row r="65" spans="1:4">
      <c r="A65" s="161">
        <v>38321</v>
      </c>
      <c r="B65" s="171">
        <v>38292</v>
      </c>
      <c r="C65" s="156">
        <f>'Revenues &amp; Expenses'!M65</f>
        <v>6.6092675263390022E-2</v>
      </c>
      <c r="D65" s="156">
        <f t="shared" si="9"/>
        <v>8.8592675263390014E-2</v>
      </c>
    </row>
    <row r="66" spans="1:4">
      <c r="A66" s="161">
        <v>38352</v>
      </c>
      <c r="B66" s="171">
        <v>38322</v>
      </c>
      <c r="C66" s="156">
        <f>'Revenues &amp; Expenses'!M66</f>
        <v>6.595969522742301E-2</v>
      </c>
      <c r="D66" s="156">
        <f t="shared" si="9"/>
        <v>8.8459695227423002E-2</v>
      </c>
    </row>
    <row r="67" spans="1:4">
      <c r="A67" s="161">
        <v>38383</v>
      </c>
      <c r="B67" s="171">
        <v>38353</v>
      </c>
      <c r="C67" s="156">
        <f>'Revenues &amp; Expenses'!M67</f>
        <v>6.5946459160780999E-2</v>
      </c>
      <c r="D67" s="156">
        <f t="shared" si="9"/>
        <v>8.8446459160781005E-2</v>
      </c>
    </row>
    <row r="68" spans="1:4">
      <c r="A68" s="161">
        <v>38411</v>
      </c>
      <c r="B68" s="171">
        <v>38384</v>
      </c>
      <c r="C68" s="156">
        <f>'Revenues &amp; Expenses'!M68</f>
        <v>6.5933223095356E-2</v>
      </c>
      <c r="D68" s="156">
        <f t="shared" si="9"/>
        <v>8.8433223095356006E-2</v>
      </c>
    </row>
    <row r="69" spans="1:4">
      <c r="A69" s="161">
        <v>38442</v>
      </c>
      <c r="B69" s="171">
        <v>38412</v>
      </c>
      <c r="C69" s="156">
        <f>'Revenues &amp; Expenses'!M69</f>
        <v>6.5921267940538014E-2</v>
      </c>
      <c r="D69" s="156">
        <f t="shared" si="9"/>
        <v>8.8421267940538006E-2</v>
      </c>
    </row>
    <row r="70" spans="1:4">
      <c r="A70" s="161">
        <v>38472</v>
      </c>
      <c r="B70" s="171">
        <v>38443</v>
      </c>
      <c r="C70" s="156">
        <f>'Revenues &amp; Expenses'!M70</f>
        <v>6.5908031877433007E-2</v>
      </c>
      <c r="D70" s="156">
        <f t="shared" si="9"/>
        <v>8.8408031877433013E-2</v>
      </c>
    </row>
    <row r="71" spans="1:4">
      <c r="A71" s="161">
        <v>38503</v>
      </c>
      <c r="B71" s="171">
        <v>38473</v>
      </c>
      <c r="C71" s="156">
        <f>'Revenues &amp; Expenses'!M71</f>
        <v>6.5895222785267021E-2</v>
      </c>
      <c r="D71" s="156">
        <f t="shared" si="9"/>
        <v>8.8395222785267014E-2</v>
      </c>
    </row>
    <row r="72" spans="1:4">
      <c r="A72" s="161">
        <v>38533</v>
      </c>
      <c r="B72" s="171">
        <v>38504</v>
      </c>
      <c r="C72" s="156">
        <f>'Revenues &amp; Expenses'!M72</f>
        <v>6.5881986724561026E-2</v>
      </c>
      <c r="D72" s="156">
        <f t="shared" si="9"/>
        <v>8.8381986724561018E-2</v>
      </c>
    </row>
    <row r="73" spans="1:4">
      <c r="A73" s="161">
        <v>38564</v>
      </c>
      <c r="B73" s="171">
        <v>38534</v>
      </c>
      <c r="C73" s="156">
        <f>'Revenues &amp; Expenses'!M73</f>
        <v>6.5869177634716017E-2</v>
      </c>
      <c r="D73" s="156">
        <f t="shared" ref="D73:D136" si="24">C73+$C$3</f>
        <v>8.8369177634716023E-2</v>
      </c>
    </row>
    <row r="74" spans="1:4">
      <c r="A74" s="161">
        <v>38595</v>
      </c>
      <c r="B74" s="171">
        <v>38565</v>
      </c>
      <c r="C74" s="156">
        <f>'Revenues &amp; Expenses'!M74</f>
        <v>6.5855941576409005E-2</v>
      </c>
      <c r="D74" s="156">
        <f t="shared" si="24"/>
        <v>8.8355941576408997E-2</v>
      </c>
    </row>
    <row r="75" spans="1:4">
      <c r="A75" s="161">
        <v>38625</v>
      </c>
      <c r="B75" s="171">
        <v>38596</v>
      </c>
      <c r="C75" s="156">
        <f>'Revenues &amp; Expenses'!M75</f>
        <v>6.5842705519321004E-2</v>
      </c>
      <c r="D75" s="156">
        <f t="shared" si="24"/>
        <v>8.8342705519320996E-2</v>
      </c>
    </row>
    <row r="76" spans="1:4">
      <c r="A76" s="161">
        <v>38656</v>
      </c>
      <c r="B76" s="171">
        <v>38626</v>
      </c>
      <c r="C76" s="156">
        <f>'Revenues &amp; Expenses'!M76</f>
        <v>6.5829896432977014E-2</v>
      </c>
      <c r="D76" s="156">
        <f t="shared" si="24"/>
        <v>8.8329896432977006E-2</v>
      </c>
    </row>
    <row r="77" spans="1:4">
      <c r="A77" s="161">
        <v>38686</v>
      </c>
      <c r="B77" s="171">
        <v>38657</v>
      </c>
      <c r="C77" s="156">
        <f>'Revenues &amp; Expenses'!M77</f>
        <v>6.5816660378287012E-2</v>
      </c>
      <c r="D77" s="156">
        <f t="shared" si="24"/>
        <v>8.8316660378287004E-2</v>
      </c>
    </row>
    <row r="78" spans="1:4">
      <c r="A78" s="161">
        <v>38717</v>
      </c>
      <c r="B78" s="171">
        <v>38687</v>
      </c>
      <c r="C78" s="156">
        <f>'Revenues &amp; Expenses'!M78</f>
        <v>6.5803851294264998E-2</v>
      </c>
      <c r="D78" s="156">
        <f t="shared" si="24"/>
        <v>8.830385129426499E-2</v>
      </c>
    </row>
    <row r="79" spans="1:4">
      <c r="A79" s="161">
        <v>38748</v>
      </c>
      <c r="B79" s="171">
        <v>38718</v>
      </c>
      <c r="C79" s="156">
        <f>'Revenues &amp; Expenses'!M79</f>
        <v>6.5790615241974021E-2</v>
      </c>
      <c r="D79" s="156">
        <f t="shared" si="24"/>
        <v>8.8290615241974013E-2</v>
      </c>
    </row>
    <row r="80" spans="1:4">
      <c r="A80" s="161">
        <v>38776</v>
      </c>
      <c r="B80" s="171">
        <v>38749</v>
      </c>
      <c r="C80" s="156">
        <f>'Revenues &amp; Expenses'!M80</f>
        <v>6.5777379190902013E-2</v>
      </c>
      <c r="D80" s="156">
        <f t="shared" si="24"/>
        <v>8.8277379190902006E-2</v>
      </c>
    </row>
    <row r="81" spans="1:4">
      <c r="A81" s="161">
        <v>38807</v>
      </c>
      <c r="B81" s="171">
        <v>38777</v>
      </c>
      <c r="C81" s="156">
        <f>'Revenues &amp; Expenses'!M81</f>
        <v>6.576542404904602E-2</v>
      </c>
      <c r="D81" s="156">
        <f t="shared" si="24"/>
        <v>8.8265424049046026E-2</v>
      </c>
    </row>
    <row r="82" spans="1:4">
      <c r="A82" s="161">
        <v>38837</v>
      </c>
      <c r="B82" s="171">
        <v>38808</v>
      </c>
      <c r="C82" s="156">
        <f>'Revenues &amp; Expenses'!M82</f>
        <v>6.5752188000294004E-2</v>
      </c>
      <c r="D82" s="156">
        <f t="shared" si="24"/>
        <v>8.8252188000293996E-2</v>
      </c>
    </row>
    <row r="83" spans="1:4">
      <c r="A83" s="161">
        <v>38868</v>
      </c>
      <c r="B83" s="171">
        <v>38838</v>
      </c>
      <c r="C83" s="156">
        <f>'Revenues &amp; Expenses'!M83</f>
        <v>6.5739378922018019E-2</v>
      </c>
      <c r="D83" s="156">
        <f t="shared" si="24"/>
        <v>8.8239378922018025E-2</v>
      </c>
    </row>
    <row r="84" spans="1:4">
      <c r="A84" s="161">
        <v>38898</v>
      </c>
      <c r="B84" s="171">
        <v>38869</v>
      </c>
      <c r="C84" s="156">
        <f>'Revenues &amp; Expenses'!M84</f>
        <v>6.5726142875664015E-2</v>
      </c>
      <c r="D84" s="156">
        <f t="shared" si="24"/>
        <v>8.8226142875664021E-2</v>
      </c>
    </row>
    <row r="85" spans="1:4">
      <c r="A85" s="161">
        <v>38929</v>
      </c>
      <c r="B85" s="171">
        <v>38899</v>
      </c>
      <c r="C85" s="156">
        <f>'Revenues &amp; Expenses'!M85</f>
        <v>6.571333379970902E-2</v>
      </c>
      <c r="D85" s="156">
        <f t="shared" si="24"/>
        <v>8.8213333799709026E-2</v>
      </c>
    </row>
    <row r="86" spans="1:4">
      <c r="A86" s="161">
        <v>38960</v>
      </c>
      <c r="B86" s="171">
        <v>38930</v>
      </c>
      <c r="C86" s="156">
        <f>'Revenues &amp; Expenses'!M86</f>
        <v>6.5700097755754014E-2</v>
      </c>
      <c r="D86" s="156">
        <f t="shared" si="24"/>
        <v>8.820009775575402E-2</v>
      </c>
    </row>
    <row r="87" spans="1:4">
      <c r="A87" s="161">
        <v>38990</v>
      </c>
      <c r="B87" s="171">
        <v>38961</v>
      </c>
      <c r="C87" s="156">
        <f>'Revenues &amp; Expenses'!M87</f>
        <v>6.5686861713019018E-2</v>
      </c>
      <c r="D87" s="156">
        <f t="shared" si="24"/>
        <v>8.818686171301901E-2</v>
      </c>
    </row>
    <row r="88" spans="1:4">
      <c r="A88" s="161">
        <v>39021</v>
      </c>
      <c r="B88" s="171">
        <v>38991</v>
      </c>
      <c r="C88" s="156">
        <f>'Revenues &amp; Expenses'!M88</f>
        <v>6.5674052640565E-2</v>
      </c>
      <c r="D88" s="156">
        <f t="shared" si="24"/>
        <v>8.8174052640564993E-2</v>
      </c>
    </row>
    <row r="89" spans="1:4">
      <c r="A89" s="161">
        <v>39051</v>
      </c>
      <c r="B89" s="171">
        <v>39022</v>
      </c>
      <c r="C89" s="156">
        <f>'Revenues &amp; Expenses'!M89</f>
        <v>6.5660816600228017E-2</v>
      </c>
      <c r="D89" s="156">
        <f t="shared" si="24"/>
        <v>8.8160816600228009E-2</v>
      </c>
    </row>
    <row r="90" spans="1:4">
      <c r="A90" s="161">
        <v>39082</v>
      </c>
      <c r="B90" s="171">
        <v>39052</v>
      </c>
      <c r="C90" s="156">
        <f>'Revenues &amp; Expenses'!M90</f>
        <v>6.5648007530096003E-2</v>
      </c>
      <c r="D90" s="156">
        <f t="shared" si="24"/>
        <v>8.8148007530095995E-2</v>
      </c>
    </row>
    <row r="91" spans="1:4">
      <c r="A91" s="161">
        <v>39113</v>
      </c>
      <c r="B91" s="171">
        <v>39083</v>
      </c>
      <c r="C91" s="156">
        <f>'Revenues &amp; Expenses'!M91</f>
        <v>6.5634771492158003E-2</v>
      </c>
      <c r="D91" s="156">
        <f t="shared" si="24"/>
        <v>8.8134771492158009E-2</v>
      </c>
    </row>
    <row r="92" spans="1:4">
      <c r="A92" s="161">
        <v>39141</v>
      </c>
      <c r="B92" s="171">
        <v>39114</v>
      </c>
      <c r="C92" s="156">
        <f>'Revenues &amp; Expenses'!M92</f>
        <v>6.5621535455439001E-2</v>
      </c>
      <c r="D92" s="156">
        <f t="shared" si="24"/>
        <v>8.8121535455438993E-2</v>
      </c>
    </row>
    <row r="93" spans="1:4">
      <c r="A93" s="161">
        <v>39172</v>
      </c>
      <c r="B93" s="171">
        <v>39142</v>
      </c>
      <c r="C93" s="156">
        <f>'Revenues &amp; Expenses'!M93</f>
        <v>6.5609580326547012E-2</v>
      </c>
      <c r="D93" s="156">
        <f t="shared" si="24"/>
        <v>8.8109580326547005E-2</v>
      </c>
    </row>
    <row r="94" spans="1:4">
      <c r="A94" s="161">
        <v>39202</v>
      </c>
      <c r="B94" s="171">
        <v>39173</v>
      </c>
      <c r="C94" s="156">
        <f>'Revenues &amp; Expenses'!M94</f>
        <v>6.5596344292149028E-2</v>
      </c>
      <c r="D94" s="156">
        <f t="shared" si="24"/>
        <v>8.809634429214902E-2</v>
      </c>
    </row>
    <row r="95" spans="1:4">
      <c r="A95" s="161">
        <v>39233</v>
      </c>
      <c r="B95" s="171">
        <v>39203</v>
      </c>
      <c r="C95" s="156">
        <f>'Revenues &amp; Expenses'!M95</f>
        <v>6.5583535227763015E-2</v>
      </c>
      <c r="D95" s="156">
        <f t="shared" si="24"/>
        <v>8.8083535227763021E-2</v>
      </c>
    </row>
    <row r="96" spans="1:4">
      <c r="A96" s="161">
        <v>39263</v>
      </c>
      <c r="B96" s="171">
        <v>39234</v>
      </c>
      <c r="C96" s="156">
        <f>'Revenues &amp; Expenses'!M96</f>
        <v>6.5570299195763002E-2</v>
      </c>
      <c r="D96" s="156">
        <f t="shared" si="24"/>
        <v>8.8070299195763008E-2</v>
      </c>
    </row>
    <row r="97" spans="1:4">
      <c r="A97" s="161">
        <v>39294</v>
      </c>
      <c r="B97" s="171">
        <v>39264</v>
      </c>
      <c r="C97" s="156">
        <f>'Revenues &amp; Expenses'!M97</f>
        <v>6.5557490133698007E-2</v>
      </c>
      <c r="D97" s="156">
        <f t="shared" si="24"/>
        <v>8.8057490133698013E-2</v>
      </c>
    </row>
    <row r="98" spans="1:4">
      <c r="A98" s="161">
        <v>39325</v>
      </c>
      <c r="B98" s="171">
        <v>39295</v>
      </c>
      <c r="C98" s="156">
        <f>'Revenues &amp; Expenses'!M98</f>
        <v>6.5544254104097005E-2</v>
      </c>
      <c r="D98" s="156">
        <f t="shared" si="24"/>
        <v>8.8044254104096997E-2</v>
      </c>
    </row>
    <row r="99" spans="1:4">
      <c r="A99" s="161">
        <v>39355</v>
      </c>
      <c r="B99" s="171">
        <v>39326</v>
      </c>
      <c r="C99" s="156">
        <f>'Revenues &amp; Expenses'!M99</f>
        <v>6.5531018075715014E-2</v>
      </c>
      <c r="D99" s="156">
        <f t="shared" si="24"/>
        <v>8.8031018075715006E-2</v>
      </c>
    </row>
    <row r="100" spans="1:4">
      <c r="A100" s="161">
        <v>39386</v>
      </c>
      <c r="B100" s="171">
        <v>39356</v>
      </c>
      <c r="C100" s="156">
        <f>'Revenues &amp; Expenses'!M100</f>
        <v>6.551820901715201E-2</v>
      </c>
      <c r="D100" s="156">
        <f t="shared" si="24"/>
        <v>8.8018209017152016E-2</v>
      </c>
    </row>
    <row r="101" spans="1:4">
      <c r="A101" s="161">
        <v>39416</v>
      </c>
      <c r="B101" s="171">
        <v>39387</v>
      </c>
      <c r="C101" s="156">
        <f>'Revenues &amp; Expenses'!M101</f>
        <v>6.5504972991170002E-2</v>
      </c>
      <c r="D101" s="156">
        <f t="shared" si="24"/>
        <v>8.8004972991169994E-2</v>
      </c>
    </row>
    <row r="102" spans="1:4">
      <c r="A102" s="161">
        <v>39447</v>
      </c>
      <c r="B102" s="171">
        <v>39417</v>
      </c>
      <c r="C102" s="156">
        <f>'Revenues &amp; Expenses'!M102</f>
        <v>6.5492163934928002E-2</v>
      </c>
      <c r="D102" s="156">
        <f t="shared" si="24"/>
        <v>8.7992163934928008E-2</v>
      </c>
    </row>
    <row r="103" spans="1:4">
      <c r="A103" s="161">
        <v>39478</v>
      </c>
      <c r="B103" s="171">
        <v>39448</v>
      </c>
      <c r="C103" s="156">
        <f>'Revenues &amp; Expenses'!M103</f>
        <v>6.547892791134402E-2</v>
      </c>
      <c r="D103" s="156">
        <f t="shared" si="24"/>
        <v>8.7978927911344013E-2</v>
      </c>
    </row>
    <row r="104" spans="1:4">
      <c r="A104" s="161">
        <v>39507</v>
      </c>
      <c r="B104" s="171">
        <v>39479</v>
      </c>
      <c r="C104" s="156">
        <f>'Revenues &amp; Expenses'!M104</f>
        <v>6.5465691888979008E-2</v>
      </c>
      <c r="D104" s="156">
        <f t="shared" si="24"/>
        <v>8.7965691888979014E-2</v>
      </c>
    </row>
    <row r="105" spans="1:4">
      <c r="A105" s="161">
        <v>39538</v>
      </c>
      <c r="B105" s="171">
        <v>39508</v>
      </c>
      <c r="C105" s="156">
        <f>'Revenues &amp; Expenses'!M105</f>
        <v>6.5453309804646004E-2</v>
      </c>
      <c r="D105" s="156">
        <f t="shared" si="24"/>
        <v>8.7953309804645996E-2</v>
      </c>
    </row>
    <row r="106" spans="1:4">
      <c r="A106" s="161">
        <v>39568</v>
      </c>
      <c r="B106" s="171">
        <v>39539</v>
      </c>
      <c r="C106" s="156">
        <f>'Revenues &amp; Expenses'!M106</f>
        <v>6.544007378464102E-2</v>
      </c>
      <c r="D106" s="156">
        <f t="shared" si="24"/>
        <v>8.7940073784641026E-2</v>
      </c>
    </row>
    <row r="107" spans="1:4">
      <c r="A107" s="161">
        <v>39599</v>
      </c>
      <c r="B107" s="171">
        <v>39569</v>
      </c>
      <c r="C107" s="156">
        <f>'Revenues &amp; Expenses'!M107</f>
        <v>6.5427264734184004E-2</v>
      </c>
      <c r="D107" s="156">
        <f t="shared" si="24"/>
        <v>8.7927264734183996E-2</v>
      </c>
    </row>
    <row r="108" spans="1:4">
      <c r="A108" s="161">
        <v>39629</v>
      </c>
      <c r="B108" s="171">
        <v>39600</v>
      </c>
      <c r="C108" s="156">
        <f>'Revenues &amp; Expenses'!M108</f>
        <v>6.5414028716578018E-2</v>
      </c>
      <c r="D108" s="156">
        <f t="shared" si="24"/>
        <v>8.7914028716578024E-2</v>
      </c>
    </row>
    <row r="109" spans="1:4">
      <c r="A109" s="161">
        <v>39660</v>
      </c>
      <c r="B109" s="171">
        <v>39630</v>
      </c>
      <c r="C109" s="156">
        <f>'Revenues &amp; Expenses'!M109</f>
        <v>6.5401219668443006E-2</v>
      </c>
      <c r="D109" s="156">
        <f t="shared" si="24"/>
        <v>8.7901219668442998E-2</v>
      </c>
    </row>
    <row r="110" spans="1:4">
      <c r="A110" s="161">
        <v>39691</v>
      </c>
      <c r="B110" s="171">
        <v>39661</v>
      </c>
      <c r="C110" s="156">
        <f>'Revenues &amp; Expenses'!M110</f>
        <v>6.5387983653237017E-2</v>
      </c>
      <c r="D110" s="156">
        <f t="shared" si="24"/>
        <v>8.7887983653237023E-2</v>
      </c>
    </row>
    <row r="111" spans="1:4">
      <c r="A111" s="161">
        <v>39721</v>
      </c>
      <c r="B111" s="171">
        <v>39692</v>
      </c>
      <c r="C111" s="156">
        <f>'Revenues &amp; Expenses'!M111</f>
        <v>6.5374747639249012E-2</v>
      </c>
      <c r="D111" s="156">
        <f t="shared" si="24"/>
        <v>8.7874747639249018E-2</v>
      </c>
    </row>
    <row r="112" spans="1:4">
      <c r="A112" s="161">
        <v>39752</v>
      </c>
      <c r="B112" s="171">
        <v>39722</v>
      </c>
      <c r="C112" s="156">
        <f>'Revenues &amp; Expenses'!M112</f>
        <v>6.5361938594616018E-2</v>
      </c>
      <c r="D112" s="156">
        <f t="shared" si="24"/>
        <v>8.7861938594616024E-2</v>
      </c>
    </row>
    <row r="113" spans="1:4">
      <c r="A113" s="161">
        <v>39782</v>
      </c>
      <c r="B113" s="171">
        <v>39753</v>
      </c>
      <c r="C113" s="156">
        <f>'Revenues &amp; Expenses'!M113</f>
        <v>6.5348702583027024E-2</v>
      </c>
      <c r="D113" s="156">
        <f t="shared" si="24"/>
        <v>8.7848702583027016E-2</v>
      </c>
    </row>
    <row r="114" spans="1:4">
      <c r="A114" s="161">
        <v>39813</v>
      </c>
      <c r="B114" s="171">
        <v>39783</v>
      </c>
      <c r="C114" s="156">
        <f>'Revenues &amp; Expenses'!M114</f>
        <v>6.5280999020832009E-2</v>
      </c>
      <c r="D114" s="156">
        <f t="shared" si="24"/>
        <v>8.7780999020832001E-2</v>
      </c>
    </row>
    <row r="115" spans="1:4">
      <c r="A115" s="161">
        <v>39844</v>
      </c>
      <c r="B115" s="171">
        <v>39814</v>
      </c>
      <c r="C115" s="156">
        <f>'Revenues &amp; Expenses'!M115</f>
        <v>6.5161404953905003E-2</v>
      </c>
      <c r="D115" s="156">
        <f t="shared" si="24"/>
        <v>8.7661404953905009E-2</v>
      </c>
    </row>
    <row r="116" spans="1:4">
      <c r="A116" s="161">
        <v>39872</v>
      </c>
      <c r="B116" s="171">
        <v>39845</v>
      </c>
      <c r="C116" s="156">
        <f>'Revenues &amp; Expenses'!M116</f>
        <v>6.5041810986527004E-2</v>
      </c>
      <c r="D116" s="156">
        <f t="shared" si="24"/>
        <v>8.7541810986526997E-2</v>
      </c>
    </row>
    <row r="117" spans="1:4">
      <c r="A117" s="161">
        <v>39903</v>
      </c>
      <c r="B117" s="171">
        <v>39873</v>
      </c>
      <c r="C117" s="156">
        <f>'Revenues &amp; Expenses'!M117</f>
        <v>6.4933790714462994E-2</v>
      </c>
      <c r="D117" s="156">
        <f t="shared" si="24"/>
        <v>8.7433790714463E-2</v>
      </c>
    </row>
    <row r="118" spans="1:4">
      <c r="A118" s="161">
        <v>39933</v>
      </c>
      <c r="B118" s="171">
        <v>39904</v>
      </c>
      <c r="C118" s="156">
        <f>'Revenues &amp; Expenses'!M118</f>
        <v>6.4814196936563012E-2</v>
      </c>
      <c r="D118" s="156">
        <f t="shared" si="24"/>
        <v>8.7314196936563004E-2</v>
      </c>
    </row>
    <row r="119" spans="1:4">
      <c r="A119" s="161">
        <v>39964</v>
      </c>
      <c r="B119" s="171">
        <v>39934</v>
      </c>
      <c r="C119" s="156">
        <f>'Revenues &amp; Expenses'!M119</f>
        <v>6.4698461117264017E-2</v>
      </c>
      <c r="D119" s="156">
        <f t="shared" si="24"/>
        <v>8.7198461117264009E-2</v>
      </c>
    </row>
    <row r="120" spans="1:4">
      <c r="A120" s="161">
        <v>39994</v>
      </c>
      <c r="B120" s="171">
        <v>39965</v>
      </c>
      <c r="C120" s="156">
        <f>'Revenues &amp; Expenses'!M120</f>
        <v>6.4578867535287007E-2</v>
      </c>
      <c r="D120" s="156">
        <f t="shared" si="24"/>
        <v>8.7078867535287013E-2</v>
      </c>
    </row>
    <row r="121" spans="1:4">
      <c r="A121" s="161">
        <v>40025</v>
      </c>
      <c r="B121" s="171">
        <v>39995</v>
      </c>
      <c r="C121" s="156">
        <f>'Revenues &amp; Expenses'!M121</f>
        <v>6.4463131905601018E-2</v>
      </c>
      <c r="D121" s="156">
        <f t="shared" si="24"/>
        <v>8.696313190560101E-2</v>
      </c>
    </row>
    <row r="122" spans="1:4">
      <c r="A122" s="161">
        <v>40056</v>
      </c>
      <c r="B122" s="171">
        <v>40026</v>
      </c>
      <c r="C122" s="156">
        <f>'Revenues &amp; Expenses'!M122</f>
        <v>6.4343538519569005E-2</v>
      </c>
      <c r="D122" s="156">
        <f t="shared" si="24"/>
        <v>8.6843538519568997E-2</v>
      </c>
    </row>
    <row r="123" spans="1:4">
      <c r="A123" s="161">
        <v>40086</v>
      </c>
      <c r="B123" s="171">
        <v>40057</v>
      </c>
      <c r="C123" s="156">
        <f>'Revenues &amp; Expenses'!M123</f>
        <v>6.4223945233122012E-2</v>
      </c>
      <c r="D123" s="156">
        <f t="shared" si="24"/>
        <v>8.6723945233122018E-2</v>
      </c>
    </row>
    <row r="124" spans="1:4">
      <c r="A124" s="161">
        <v>40117</v>
      </c>
      <c r="B124" s="171">
        <v>40087</v>
      </c>
      <c r="C124" s="156">
        <f>'Revenues &amp; Expenses'!M124</f>
        <v>6.4108209889451012E-2</v>
      </c>
      <c r="D124" s="156">
        <f t="shared" si="24"/>
        <v>8.6608209889451004E-2</v>
      </c>
    </row>
    <row r="125" spans="1:4">
      <c r="A125" s="161">
        <v>40147</v>
      </c>
      <c r="B125" s="171">
        <v>40118</v>
      </c>
      <c r="C125" s="156">
        <f>'Revenues &amp; Expenses'!M125</f>
        <v>6.3988616798981018E-2</v>
      </c>
      <c r="D125" s="156">
        <f t="shared" si="24"/>
        <v>8.6488616798981011E-2</v>
      </c>
    </row>
    <row r="126" spans="1:4">
      <c r="A126" s="161">
        <v>40178</v>
      </c>
      <c r="B126" s="171">
        <v>40148</v>
      </c>
      <c r="C126" s="156">
        <f>'Revenues &amp; Expenses'!M126</f>
        <v>6.3872881644976023E-2</v>
      </c>
      <c r="D126" s="156">
        <f t="shared" si="24"/>
        <v>8.6372881644976029E-2</v>
      </c>
    </row>
    <row r="127" spans="1:4">
      <c r="A127" s="161">
        <v>40209</v>
      </c>
      <c r="B127" s="171">
        <v>40179</v>
      </c>
      <c r="C127" s="156">
        <f>'Revenues &amp; Expenses'!M127</f>
        <v>6.3753288750505011E-2</v>
      </c>
      <c r="D127" s="156">
        <f t="shared" si="24"/>
        <v>8.6253288750505003E-2</v>
      </c>
    </row>
    <row r="128" spans="1:4">
      <c r="A128" s="161">
        <v>40237</v>
      </c>
      <c r="B128" s="171">
        <v>40210</v>
      </c>
      <c r="C128" s="156">
        <f>'Revenues &amp; Expenses'!M128</f>
        <v>6.3633695955649008E-2</v>
      </c>
      <c r="D128" s="156">
        <f t="shared" si="24"/>
        <v>8.6133695955649014E-2</v>
      </c>
    </row>
    <row r="129" spans="1:4">
      <c r="A129" s="161">
        <v>40268</v>
      </c>
      <c r="B129" s="171">
        <v>40238</v>
      </c>
      <c r="C129" s="156">
        <f>'Revenues &amp; Expenses'!M129</f>
        <v>6.3606092618865004E-2</v>
      </c>
      <c r="D129" s="156">
        <f t="shared" si="24"/>
        <v>8.610609261886501E-2</v>
      </c>
    </row>
    <row r="130" spans="1:4">
      <c r="A130" s="161">
        <v>40298</v>
      </c>
      <c r="B130" s="171">
        <v>40269</v>
      </c>
      <c r="C130" s="156">
        <f>'Revenues &amp; Expenses'!M130</f>
        <v>6.3617704784620019E-2</v>
      </c>
      <c r="D130" s="156">
        <f t="shared" si="24"/>
        <v>8.6117704784620025E-2</v>
      </c>
    </row>
    <row r="131" spans="1:4">
      <c r="A131" s="161">
        <v>40329</v>
      </c>
      <c r="B131" s="171">
        <v>40299</v>
      </c>
      <c r="C131" s="156">
        <f>'Revenues &amp; Expenses'!M131</f>
        <v>6.362894236527801E-2</v>
      </c>
      <c r="D131" s="156">
        <f t="shared" si="24"/>
        <v>8.6128942365278016E-2</v>
      </c>
    </row>
    <row r="132" spans="1:4">
      <c r="A132" s="161">
        <v>40359</v>
      </c>
      <c r="B132" s="171">
        <v>40330</v>
      </c>
      <c r="C132" s="156">
        <f>'Revenues &amp; Expenses'!M132</f>
        <v>6.3640554532881019E-2</v>
      </c>
      <c r="D132" s="156">
        <f t="shared" si="24"/>
        <v>8.6140554532881025E-2</v>
      </c>
    </row>
    <row r="133" spans="1:4">
      <c r="A133" s="161">
        <v>40390</v>
      </c>
      <c r="B133" s="171">
        <v>40360</v>
      </c>
      <c r="C133" s="156">
        <f>'Revenues &amp; Expenses'!M133</f>
        <v>6.3651792115326997E-2</v>
      </c>
      <c r="D133" s="156">
        <f t="shared" si="24"/>
        <v>8.6151792115327003E-2</v>
      </c>
    </row>
    <row r="134" spans="1:4">
      <c r="A134" s="161">
        <v>40421</v>
      </c>
      <c r="B134" s="171">
        <v>40391</v>
      </c>
      <c r="C134" s="156">
        <f>'Revenues &amp; Expenses'!M134</f>
        <v>6.3663404284779027E-2</v>
      </c>
      <c r="D134" s="156">
        <f t="shared" si="24"/>
        <v>8.6163404284779033E-2</v>
      </c>
    </row>
    <row r="135" spans="1:4">
      <c r="A135" s="161">
        <v>40451</v>
      </c>
      <c r="B135" s="171">
        <v>40422</v>
      </c>
      <c r="C135" s="156">
        <f>'Revenues &amp; Expenses'!M135</f>
        <v>6.367501645517E-2</v>
      </c>
      <c r="D135" s="156">
        <f t="shared" si="24"/>
        <v>8.6175016455170006E-2</v>
      </c>
    </row>
    <row r="136" spans="1:4">
      <c r="A136" s="161">
        <v>40482</v>
      </c>
      <c r="B136" s="171">
        <v>40452</v>
      </c>
      <c r="C136" s="156">
        <f>'Revenues &amp; Expenses'!M136</f>
        <v>6.3686254040312987E-2</v>
      </c>
      <c r="D136" s="156">
        <f t="shared" si="24"/>
        <v>8.6186254040312993E-2</v>
      </c>
    </row>
    <row r="137" spans="1:4">
      <c r="A137" s="161">
        <v>40512</v>
      </c>
      <c r="B137" s="171">
        <v>40483</v>
      </c>
      <c r="C137" s="156">
        <f>'Revenues &amp; Expenses'!M137</f>
        <v>6.3697866212553009E-2</v>
      </c>
      <c r="D137" s="156">
        <f t="shared" ref="D137:D200" si="25">C137+$C$3</f>
        <v>8.6197866212553015E-2</v>
      </c>
    </row>
    <row r="138" spans="1:4">
      <c r="A138" s="161">
        <v>40543</v>
      </c>
      <c r="B138" s="171">
        <v>40513</v>
      </c>
      <c r="C138" s="156">
        <f>'Revenues &amp; Expenses'!M138</f>
        <v>6.3709103799484024E-2</v>
      </c>
      <c r="D138" s="156">
        <f t="shared" si="25"/>
        <v>8.6209103799484016E-2</v>
      </c>
    </row>
    <row r="139" spans="1:4">
      <c r="A139" s="161">
        <v>40574</v>
      </c>
      <c r="B139" s="171">
        <v>40544</v>
      </c>
      <c r="C139" s="156">
        <f>'Revenues &amp; Expenses'!M139</f>
        <v>6.3720715973571013E-2</v>
      </c>
      <c r="D139" s="156">
        <f t="shared" si="25"/>
        <v>8.6220715973571005E-2</v>
      </c>
    </row>
    <row r="140" spans="1:4">
      <c r="A140" s="161">
        <v>40602</v>
      </c>
      <c r="B140" s="171">
        <v>40575</v>
      </c>
      <c r="C140" s="156">
        <f>'Revenues &amp; Expenses'!M140</f>
        <v>6.3732328148597014E-2</v>
      </c>
      <c r="D140" s="156">
        <f t="shared" si="25"/>
        <v>8.6232328148597021E-2</v>
      </c>
    </row>
    <row r="141" spans="1:4">
      <c r="A141" s="161">
        <v>40633</v>
      </c>
      <c r="B141" s="171">
        <v>40603</v>
      </c>
      <c r="C141" s="156">
        <f>'Revenues &amp; Expenses'!M141</f>
        <v>6.3742816565557012E-2</v>
      </c>
      <c r="D141" s="156">
        <f t="shared" si="25"/>
        <v>8.6242816565557018E-2</v>
      </c>
    </row>
    <row r="142" spans="1:4">
      <c r="A142" s="161">
        <v>40663</v>
      </c>
      <c r="B142" s="171">
        <v>40634</v>
      </c>
      <c r="C142" s="156">
        <f>'Revenues &amp; Expenses'!M142</f>
        <v>6.3754428742371014E-2</v>
      </c>
      <c r="D142" s="156">
        <f t="shared" si="25"/>
        <v>8.625442874237102E-2</v>
      </c>
    </row>
    <row r="143" spans="1:4">
      <c r="A143" s="161">
        <v>40694</v>
      </c>
      <c r="B143" s="171">
        <v>40664</v>
      </c>
      <c r="C143" s="156">
        <f>'Revenues &amp; Expenses'!M143</f>
        <v>6.3765666333730014E-2</v>
      </c>
      <c r="D143" s="156">
        <f t="shared" si="25"/>
        <v>8.6265666333730007E-2</v>
      </c>
    </row>
    <row r="144" spans="1:4">
      <c r="A144" s="161">
        <v>40724</v>
      </c>
      <c r="B144" s="171">
        <v>40695</v>
      </c>
      <c r="C144" s="156">
        <f>'Revenues &amp; Expenses'!M144</f>
        <v>6.3777278512391011E-2</v>
      </c>
      <c r="D144" s="156">
        <f t="shared" si="25"/>
        <v>8.6277278512391004E-2</v>
      </c>
    </row>
    <row r="145" spans="1:4">
      <c r="A145" s="161">
        <v>40755</v>
      </c>
      <c r="B145" s="171">
        <v>40725</v>
      </c>
      <c r="C145" s="156">
        <f>'Revenues &amp; Expenses'!M145</f>
        <v>6.3788516105538998E-2</v>
      </c>
      <c r="D145" s="156">
        <f t="shared" si="25"/>
        <v>8.6288516105539004E-2</v>
      </c>
    </row>
    <row r="146" spans="1:4">
      <c r="A146" s="161">
        <v>40786</v>
      </c>
      <c r="B146" s="171">
        <v>40756</v>
      </c>
      <c r="C146" s="156">
        <f>'Revenues &amp; Expenses'!M146</f>
        <v>6.3800128286049015E-2</v>
      </c>
      <c r="D146" s="156">
        <f t="shared" si="25"/>
        <v>8.6300128286049022E-2</v>
      </c>
    </row>
    <row r="147" spans="1:4">
      <c r="A147" s="161">
        <v>40816</v>
      </c>
      <c r="B147" s="171">
        <v>40787</v>
      </c>
      <c r="C147" s="156">
        <f>'Revenues &amp; Expenses'!M147</f>
        <v>6.3811740467497005E-2</v>
      </c>
      <c r="D147" s="156">
        <f t="shared" si="25"/>
        <v>8.6311740467497011E-2</v>
      </c>
    </row>
    <row r="148" spans="1:4">
      <c r="A148" s="161">
        <v>40847</v>
      </c>
      <c r="B148" s="171">
        <v>40817</v>
      </c>
      <c r="C148" s="156">
        <f>'Revenues &amp; Expenses'!M148</f>
        <v>6.3822978063342001E-2</v>
      </c>
      <c r="D148" s="156">
        <f t="shared" si="25"/>
        <v>8.6322978063341993E-2</v>
      </c>
    </row>
    <row r="149" spans="1:4">
      <c r="A149" s="161">
        <v>40877</v>
      </c>
      <c r="B149" s="171">
        <v>40848</v>
      </c>
      <c r="C149" s="156">
        <f>'Revenues &amp; Expenses'!M149</f>
        <v>6.3834590246639011E-2</v>
      </c>
      <c r="D149" s="156">
        <f t="shared" si="25"/>
        <v>8.6334590246639004E-2</v>
      </c>
    </row>
    <row r="150" spans="1:4">
      <c r="A150" s="161">
        <v>40908</v>
      </c>
      <c r="B150" s="171">
        <v>40878</v>
      </c>
      <c r="C150" s="156">
        <f>'Revenues &amp; Expenses'!M150</f>
        <v>6.3845827844272007E-2</v>
      </c>
      <c r="D150" s="156">
        <f t="shared" si="25"/>
        <v>8.6345827844272E-2</v>
      </c>
    </row>
    <row r="151" spans="1:4">
      <c r="A151" s="161">
        <v>40939</v>
      </c>
      <c r="B151" s="171">
        <v>40909</v>
      </c>
      <c r="C151" s="156">
        <f>'Revenues &amp; Expenses'!M151</f>
        <v>6.3857440029416013E-2</v>
      </c>
      <c r="D151" s="156">
        <f t="shared" si="25"/>
        <v>8.6357440029416005E-2</v>
      </c>
    </row>
    <row r="152" spans="1:4">
      <c r="A152" s="161">
        <v>40968</v>
      </c>
      <c r="B152" s="171">
        <v>40940</v>
      </c>
      <c r="C152" s="156">
        <f>'Revenues &amp; Expenses'!M152</f>
        <v>6.3869052215500016E-2</v>
      </c>
      <c r="D152" s="156">
        <f t="shared" si="25"/>
        <v>8.6369052215500008E-2</v>
      </c>
    </row>
    <row r="153" spans="1:4">
      <c r="A153" s="161">
        <v>40999</v>
      </c>
      <c r="B153" s="171">
        <v>40969</v>
      </c>
      <c r="C153" s="156">
        <f>'Revenues &amp; Expenses'!M153</f>
        <v>6.387991522913801E-2</v>
      </c>
      <c r="D153" s="156">
        <f t="shared" si="25"/>
        <v>8.6379915229138016E-2</v>
      </c>
    </row>
    <row r="154" spans="1:4">
      <c r="A154" s="161">
        <v>41029</v>
      </c>
      <c r="B154" s="171">
        <v>41000</v>
      </c>
      <c r="C154" s="156">
        <f>'Revenues &amp; Expenses'!M154</f>
        <v>6.3891527417039004E-2</v>
      </c>
      <c r="D154" s="156">
        <f t="shared" si="25"/>
        <v>8.639152741703901E-2</v>
      </c>
    </row>
    <row r="155" spans="1:4">
      <c r="A155" s="161">
        <v>41060</v>
      </c>
      <c r="B155" s="171">
        <v>41030</v>
      </c>
      <c r="C155" s="156">
        <f>'Revenues &amp; Expenses'!M155</f>
        <v>6.3902765019129004E-2</v>
      </c>
      <c r="D155" s="156">
        <f t="shared" si="25"/>
        <v>8.6402765019128996E-2</v>
      </c>
    </row>
    <row r="156" spans="1:4">
      <c r="A156" s="161">
        <v>41090</v>
      </c>
      <c r="B156" s="171">
        <v>41061</v>
      </c>
      <c r="C156" s="156">
        <f>'Revenues &amp; Expenses'!M156</f>
        <v>6.3914377208878007E-2</v>
      </c>
      <c r="D156" s="156">
        <f t="shared" si="25"/>
        <v>8.6414377208878013E-2</v>
      </c>
    </row>
    <row r="157" spans="1:4">
      <c r="A157" s="161">
        <v>41121</v>
      </c>
      <c r="B157" s="171">
        <v>41091</v>
      </c>
      <c r="C157" s="156">
        <f>'Revenues &amp; Expenses'!M157</f>
        <v>6.3925614812756021E-2</v>
      </c>
      <c r="D157" s="156">
        <f t="shared" si="25"/>
        <v>8.6425614812756013E-2</v>
      </c>
    </row>
    <row r="158" spans="1:4">
      <c r="A158" s="161">
        <v>41152</v>
      </c>
      <c r="B158" s="171">
        <v>41122</v>
      </c>
      <c r="C158" s="156">
        <f>'Revenues &amp; Expenses'!M158</f>
        <v>6.3937227004352004E-2</v>
      </c>
      <c r="D158" s="156">
        <f t="shared" si="25"/>
        <v>8.6437227004351996E-2</v>
      </c>
    </row>
    <row r="159" spans="1:4">
      <c r="A159" s="161">
        <v>41182</v>
      </c>
      <c r="B159" s="171">
        <v>41153</v>
      </c>
      <c r="C159" s="156">
        <f>'Revenues &amp; Expenses'!M159</f>
        <v>6.3948839196889012E-2</v>
      </c>
      <c r="D159" s="156">
        <f t="shared" si="25"/>
        <v>8.6448839196889005E-2</v>
      </c>
    </row>
    <row r="160" spans="1:4">
      <c r="A160" s="161">
        <v>41213</v>
      </c>
      <c r="B160" s="171">
        <v>41183</v>
      </c>
      <c r="C160" s="156">
        <f>'Revenues &amp; Expenses'!M160</f>
        <v>6.3960076803463009E-2</v>
      </c>
      <c r="D160" s="156">
        <f t="shared" si="25"/>
        <v>8.6460076803463015E-2</v>
      </c>
    </row>
    <row r="161" spans="1:4">
      <c r="A161" s="161">
        <v>41243</v>
      </c>
      <c r="B161" s="171">
        <v>41214</v>
      </c>
      <c r="C161" s="156">
        <f>'Revenues &amp; Expenses'!M161</f>
        <v>6.3971688997847012E-2</v>
      </c>
      <c r="D161" s="156">
        <f t="shared" si="25"/>
        <v>8.6471688997847018E-2</v>
      </c>
    </row>
    <row r="162" spans="1:4">
      <c r="A162" s="161">
        <v>41274</v>
      </c>
      <c r="B162" s="171">
        <v>41244</v>
      </c>
      <c r="C162" s="156">
        <f>'Revenues &amp; Expenses'!M162</f>
        <v>6.3982926606210008E-2</v>
      </c>
      <c r="D162" s="156">
        <f t="shared" si="25"/>
        <v>8.6482926606210014E-2</v>
      </c>
    </row>
    <row r="163" spans="1:4">
      <c r="A163" s="161">
        <v>41305</v>
      </c>
      <c r="B163" s="171">
        <v>41275</v>
      </c>
      <c r="C163" s="156">
        <f>'Revenues &amp; Expenses'!M163</f>
        <v>6.3994538802442005E-2</v>
      </c>
      <c r="D163" s="156">
        <f t="shared" si="25"/>
        <v>8.6494538802442011E-2</v>
      </c>
    </row>
    <row r="164" spans="1:4">
      <c r="A164" s="161">
        <v>41333</v>
      </c>
      <c r="B164" s="171">
        <v>41306</v>
      </c>
      <c r="C164" s="156">
        <f>'Revenues &amp; Expenses'!M164</f>
        <v>6.4006150999613015E-2</v>
      </c>
      <c r="D164" s="156">
        <f t="shared" si="25"/>
        <v>8.6506150999613007E-2</v>
      </c>
    </row>
    <row r="165" spans="1:4">
      <c r="A165" s="161">
        <v>41364</v>
      </c>
      <c r="B165" s="171">
        <v>41334</v>
      </c>
      <c r="C165" s="156">
        <f>'Revenues &amp; Expenses'!M165</f>
        <v>6.4016639436574027E-2</v>
      </c>
      <c r="D165" s="156">
        <f t="shared" si="25"/>
        <v>8.6516639436574033E-2</v>
      </c>
    </row>
    <row r="166" spans="1:4">
      <c r="A166" s="161">
        <v>41394</v>
      </c>
      <c r="B166" s="171">
        <v>41365</v>
      </c>
      <c r="C166" s="156">
        <f>'Revenues &amp; Expenses'!M166</f>
        <v>6.402825163553201E-2</v>
      </c>
      <c r="D166" s="156">
        <f t="shared" si="25"/>
        <v>8.6528251635532016E-2</v>
      </c>
    </row>
    <row r="167" spans="1:4">
      <c r="A167" s="161">
        <v>41425</v>
      </c>
      <c r="B167" s="171">
        <v>41395</v>
      </c>
      <c r="C167" s="156">
        <f>'Revenues &amp; Expenses'!M167</f>
        <v>6.4039489248322021E-2</v>
      </c>
      <c r="D167" s="156">
        <f t="shared" si="25"/>
        <v>8.6539489248322027E-2</v>
      </c>
    </row>
    <row r="168" spans="1:4">
      <c r="A168" s="161">
        <v>41455</v>
      </c>
      <c r="B168" s="171">
        <v>41426</v>
      </c>
      <c r="C168" s="156">
        <f>'Revenues &amp; Expenses'!M168</f>
        <v>6.4051101449127998E-2</v>
      </c>
      <c r="D168" s="156">
        <f t="shared" si="25"/>
        <v>8.6551101449128004E-2</v>
      </c>
    </row>
    <row r="169" spans="1:4">
      <c r="A169" s="161">
        <v>41486</v>
      </c>
      <c r="B169" s="171">
        <v>41456</v>
      </c>
      <c r="C169" s="156">
        <f>'Revenues &amp; Expenses'!M169</f>
        <v>6.4062339063705009E-2</v>
      </c>
      <c r="D169" s="156">
        <f t="shared" si="25"/>
        <v>8.6562339063705002E-2</v>
      </c>
    </row>
    <row r="170" spans="1:4">
      <c r="A170" s="161">
        <v>41517</v>
      </c>
      <c r="B170" s="171">
        <v>41487</v>
      </c>
      <c r="C170" s="156">
        <f>'Revenues &amp; Expenses'!M170</f>
        <v>6.4073951266359008E-2</v>
      </c>
      <c r="D170" s="156">
        <f t="shared" si="25"/>
        <v>8.6573951266359001E-2</v>
      </c>
    </row>
    <row r="171" spans="1:4">
      <c r="A171" s="161">
        <v>41547</v>
      </c>
      <c r="B171" s="171">
        <v>41518</v>
      </c>
      <c r="C171" s="156">
        <f>'Revenues &amp; Expenses'!M171</f>
        <v>6.4085563469952006E-2</v>
      </c>
      <c r="D171" s="156">
        <f t="shared" si="25"/>
        <v>8.6585563469951998E-2</v>
      </c>
    </row>
    <row r="172" spans="1:4">
      <c r="A172" s="161">
        <v>41578</v>
      </c>
      <c r="B172" s="171">
        <v>41548</v>
      </c>
      <c r="C172" s="156">
        <f>'Revenues &amp; Expenses'!M172</f>
        <v>6.4096801087225E-2</v>
      </c>
      <c r="D172" s="156">
        <f t="shared" si="25"/>
        <v>8.6596801087225006E-2</v>
      </c>
    </row>
    <row r="173" spans="1:4">
      <c r="A173" s="161">
        <v>41608</v>
      </c>
      <c r="B173" s="171">
        <v>41579</v>
      </c>
      <c r="C173" s="156">
        <f>'Revenues &amp; Expenses'!M173</f>
        <v>6.4108413292666006E-2</v>
      </c>
      <c r="D173" s="156">
        <f t="shared" si="25"/>
        <v>8.6608413292665998E-2</v>
      </c>
    </row>
    <row r="174" spans="1:4">
      <c r="A174" s="161">
        <v>41639</v>
      </c>
      <c r="B174" s="171">
        <v>41609</v>
      </c>
      <c r="C174" s="156">
        <f>'Revenues &amp; Expenses'!M174</f>
        <v>6.4119650911728013E-2</v>
      </c>
      <c r="D174" s="156">
        <f t="shared" si="25"/>
        <v>8.6619650911728019E-2</v>
      </c>
    </row>
    <row r="175" spans="1:4">
      <c r="A175" s="161">
        <v>41670</v>
      </c>
      <c r="B175" s="171">
        <v>41640</v>
      </c>
      <c r="C175" s="156">
        <f>'Revenues &amp; Expenses'!M175</f>
        <v>6.4131263119015999E-2</v>
      </c>
      <c r="D175" s="156">
        <f t="shared" si="25"/>
        <v>8.6631263119016005E-2</v>
      </c>
    </row>
    <row r="176" spans="1:4">
      <c r="A176" s="161">
        <v>41698</v>
      </c>
      <c r="B176" s="171">
        <v>41671</v>
      </c>
      <c r="C176" s="156">
        <f>'Revenues &amp; Expenses'!M176</f>
        <v>6.4142875327242999E-2</v>
      </c>
      <c r="D176" s="156">
        <f t="shared" si="25"/>
        <v>8.6642875327242991E-2</v>
      </c>
    </row>
    <row r="177" spans="1:4">
      <c r="A177" s="161">
        <v>41729</v>
      </c>
      <c r="B177" s="171">
        <v>41699</v>
      </c>
      <c r="C177" s="156">
        <f>'Revenues &amp; Expenses'!M177</f>
        <v>6.4153363774191022E-2</v>
      </c>
      <c r="D177" s="156">
        <f t="shared" si="25"/>
        <v>8.6653363774191028E-2</v>
      </c>
    </row>
    <row r="178" spans="1:4">
      <c r="A178" s="161">
        <v>41759</v>
      </c>
      <c r="B178" s="171">
        <v>41730</v>
      </c>
      <c r="C178" s="156">
        <f>'Revenues &amp; Expenses'!M178</f>
        <v>6.4164975984205008E-2</v>
      </c>
      <c r="D178" s="156">
        <f t="shared" si="25"/>
        <v>8.6664975984205E-2</v>
      </c>
    </row>
    <row r="179" spans="1:4">
      <c r="A179" s="161">
        <v>41790</v>
      </c>
      <c r="B179" s="171">
        <v>41760</v>
      </c>
      <c r="C179" s="156">
        <f>'Revenues &amp; Expenses'!M179</f>
        <v>6.4176213607694016E-2</v>
      </c>
      <c r="D179" s="156">
        <f t="shared" si="25"/>
        <v>8.6676213607694008E-2</v>
      </c>
    </row>
    <row r="180" spans="1:4">
      <c r="A180" s="161">
        <v>41820</v>
      </c>
      <c r="B180" s="171">
        <v>41791</v>
      </c>
      <c r="C180" s="156">
        <f>'Revenues &amp; Expenses'!M180</f>
        <v>6.4187825819556024E-2</v>
      </c>
      <c r="D180" s="156">
        <f t="shared" si="25"/>
        <v>8.668782581955603E-2</v>
      </c>
    </row>
    <row r="181" spans="1:4">
      <c r="A181" s="161">
        <v>41851</v>
      </c>
      <c r="B181" s="171">
        <v>41821</v>
      </c>
      <c r="C181" s="156">
        <f>'Revenues &amp; Expenses'!M181</f>
        <v>6.4199063444832019E-2</v>
      </c>
      <c r="D181" s="156">
        <f t="shared" si="25"/>
        <v>8.6699063444832025E-2</v>
      </c>
    </row>
    <row r="182" spans="1:4">
      <c r="A182" s="161">
        <v>41882</v>
      </c>
      <c r="B182" s="171">
        <v>41852</v>
      </c>
      <c r="C182" s="156">
        <f>'Revenues &amp; Expenses'!M182</f>
        <v>6.4210675658542007E-2</v>
      </c>
      <c r="D182" s="156">
        <f t="shared" si="25"/>
        <v>8.6710675658542014E-2</v>
      </c>
    </row>
    <row r="183" spans="1:4">
      <c r="A183" s="161">
        <v>41912</v>
      </c>
      <c r="B183" s="171">
        <v>41883</v>
      </c>
      <c r="C183" s="156">
        <f>'Revenues &amp; Expenses'!M183</f>
        <v>6.4222287873191022E-2</v>
      </c>
      <c r="D183" s="156">
        <f t="shared" si="25"/>
        <v>8.6722287873191028E-2</v>
      </c>
    </row>
    <row r="184" spans="1:4">
      <c r="A184" s="161">
        <v>41943</v>
      </c>
      <c r="B184" s="171">
        <v>41913</v>
      </c>
      <c r="C184" s="156">
        <f>'Revenues &amp; Expenses'!M184</f>
        <v>6.4233525501164013E-2</v>
      </c>
      <c r="D184" s="156">
        <f t="shared" si="25"/>
        <v>8.6733525501164005E-2</v>
      </c>
    </row>
    <row r="185" spans="1:4">
      <c r="A185" s="161">
        <v>41973</v>
      </c>
      <c r="B185" s="171">
        <v>41944</v>
      </c>
      <c r="C185" s="156">
        <f>'Revenues &amp; Expenses'!M185</f>
        <v>6.4245137717660022E-2</v>
      </c>
      <c r="D185" s="156">
        <f t="shared" si="25"/>
        <v>8.6745137717660015E-2</v>
      </c>
    </row>
    <row r="186" spans="1:4">
      <c r="A186" s="161">
        <v>42004</v>
      </c>
      <c r="B186" s="171">
        <v>41974</v>
      </c>
      <c r="C186" s="156">
        <f>'Revenues &amp; Expenses'!M186</f>
        <v>6.4256375347420999E-2</v>
      </c>
      <c r="D186" s="156">
        <f t="shared" si="25"/>
        <v>8.6756375347421005E-2</v>
      </c>
    </row>
    <row r="187" spans="1:4">
      <c r="A187" s="161">
        <v>42035</v>
      </c>
      <c r="B187" s="171">
        <v>42005</v>
      </c>
      <c r="C187" s="156">
        <f>'Revenues &amp; Expenses'!M187</f>
        <v>6.4267987565764018E-2</v>
      </c>
      <c r="D187" s="156">
        <f t="shared" si="25"/>
        <v>8.676798756576401E-2</v>
      </c>
    </row>
    <row r="188" spans="1:4">
      <c r="A188" s="161">
        <v>42063</v>
      </c>
      <c r="B188" s="171">
        <v>42036</v>
      </c>
      <c r="C188" s="156">
        <f>'Revenues &amp; Expenses'!M188</f>
        <v>6.427959978504702E-2</v>
      </c>
      <c r="D188" s="156">
        <f t="shared" si="25"/>
        <v>8.6779599785047012E-2</v>
      </c>
    </row>
    <row r="189" spans="1:4">
      <c r="A189" s="161">
        <v>42094</v>
      </c>
      <c r="B189" s="171">
        <v>42064</v>
      </c>
      <c r="C189" s="156">
        <f>'Revenues &amp; Expenses'!M189</f>
        <v>6.4290088241980001E-2</v>
      </c>
      <c r="D189" s="156">
        <f t="shared" si="25"/>
        <v>8.6790088241980007E-2</v>
      </c>
    </row>
    <row r="190" spans="1:4">
      <c r="A190" s="161">
        <v>42124</v>
      </c>
      <c r="B190" s="171">
        <v>42095</v>
      </c>
      <c r="C190" s="156">
        <f>'Revenues &amp; Expenses'!M190</f>
        <v>6.4301700463050018E-2</v>
      </c>
      <c r="D190" s="156">
        <f t="shared" si="25"/>
        <v>8.6801700463050024E-2</v>
      </c>
    </row>
    <row r="191" spans="1:4">
      <c r="A191" s="161">
        <v>42155</v>
      </c>
      <c r="B191" s="171">
        <v>42125</v>
      </c>
      <c r="C191" s="156">
        <f>'Revenues &amp; Expenses'!M191</f>
        <v>6.431293809723701E-2</v>
      </c>
      <c r="D191" s="156">
        <f t="shared" si="25"/>
        <v>8.6812938097237002E-2</v>
      </c>
    </row>
    <row r="192" spans="1:4">
      <c r="A192" s="161">
        <v>42185</v>
      </c>
      <c r="B192" s="171">
        <v>42156</v>
      </c>
      <c r="C192" s="156">
        <f>'Revenues &amp; Expenses'!M192</f>
        <v>6.4324550320154023E-2</v>
      </c>
      <c r="D192" s="156">
        <f t="shared" si="25"/>
        <v>8.6824550320154015E-2</v>
      </c>
    </row>
    <row r="193" spans="1:4">
      <c r="A193" s="161">
        <v>42216</v>
      </c>
      <c r="B193" s="171">
        <v>42186</v>
      </c>
      <c r="C193" s="156">
        <f>'Revenues &amp; Expenses'!M193</f>
        <v>6.4335787956129015E-2</v>
      </c>
      <c r="D193" s="156">
        <f t="shared" si="25"/>
        <v>8.6835787956129007E-2</v>
      </c>
    </row>
    <row r="194" spans="1:4">
      <c r="A194" s="161">
        <v>42247</v>
      </c>
      <c r="B194" s="171">
        <v>42217</v>
      </c>
      <c r="C194" s="156">
        <f>'Revenues &amp; Expenses'!M194</f>
        <v>6.4347400180894007E-2</v>
      </c>
      <c r="D194" s="156">
        <f t="shared" si="25"/>
        <v>8.6847400180894013E-2</v>
      </c>
    </row>
    <row r="195" spans="1:4">
      <c r="A195" s="161">
        <v>42277</v>
      </c>
      <c r="B195" s="171">
        <v>42248</v>
      </c>
      <c r="C195" s="156">
        <f>'Revenues &amp; Expenses'!M195</f>
        <v>6.4359012406598012E-2</v>
      </c>
      <c r="D195" s="156">
        <f t="shared" si="25"/>
        <v>8.6859012406598018E-2</v>
      </c>
    </row>
    <row r="196" spans="1:4">
      <c r="A196" s="161">
        <v>42308</v>
      </c>
      <c r="B196" s="171">
        <v>42278</v>
      </c>
      <c r="C196" s="156">
        <f>'Revenues &amp; Expenses'!M196</f>
        <v>6.4370250045270028E-2</v>
      </c>
      <c r="D196" s="156">
        <f t="shared" si="25"/>
        <v>8.687025004527002E-2</v>
      </c>
    </row>
    <row r="197" spans="1:4">
      <c r="A197" s="161">
        <v>42338</v>
      </c>
      <c r="B197" s="171">
        <v>42309</v>
      </c>
      <c r="C197" s="156">
        <f>'Revenues &amp; Expenses'!M197</f>
        <v>6.4381862272820001E-2</v>
      </c>
      <c r="D197" s="156">
        <f t="shared" si="25"/>
        <v>8.6881862272819993E-2</v>
      </c>
    </row>
    <row r="198" spans="1:4">
      <c r="A198" s="161">
        <v>42369</v>
      </c>
      <c r="B198" s="171">
        <v>42339</v>
      </c>
      <c r="C198" s="156">
        <f>'Revenues &amp; Expenses'!M198</f>
        <v>6.4393099913280002E-2</v>
      </c>
      <c r="D198" s="156">
        <f t="shared" si="25"/>
        <v>8.6893099913280009E-2</v>
      </c>
    </row>
    <row r="199" spans="1:4">
      <c r="A199" s="161">
        <v>42400</v>
      </c>
      <c r="B199" s="171">
        <v>42370</v>
      </c>
      <c r="C199" s="156">
        <f>'Revenues &amp; Expenses'!M199</f>
        <v>6.4404712142678011E-2</v>
      </c>
      <c r="D199" s="156">
        <f t="shared" si="25"/>
        <v>8.6904712142678003E-2</v>
      </c>
    </row>
    <row r="200" spans="1:4">
      <c r="A200" s="161">
        <v>42429</v>
      </c>
      <c r="B200" s="171">
        <v>42401</v>
      </c>
      <c r="C200" s="156">
        <f>'Revenues &amp; Expenses'!M200</f>
        <v>6.4416324373016018E-2</v>
      </c>
      <c r="D200" s="156">
        <f t="shared" si="25"/>
        <v>8.6916324373016024E-2</v>
      </c>
    </row>
    <row r="201" spans="1:4">
      <c r="A201" s="161">
        <v>42460</v>
      </c>
      <c r="B201" s="171">
        <v>42430</v>
      </c>
      <c r="C201" s="156">
        <f>'Revenues &amp; Expenses'!M201</f>
        <v>6.4427187428052007E-2</v>
      </c>
      <c r="D201" s="156">
        <f t="shared" ref="D201:D246" si="26">C201+$C$3</f>
        <v>8.6927187428052E-2</v>
      </c>
    </row>
    <row r="202" spans="1:4">
      <c r="A202" s="161">
        <v>42490</v>
      </c>
      <c r="B202" s="171">
        <v>42461</v>
      </c>
      <c r="C202" s="156">
        <f>'Revenues &amp; Expenses'!M202</f>
        <v>6.4438799660207005E-2</v>
      </c>
      <c r="D202" s="156">
        <f t="shared" si="26"/>
        <v>8.6938799660207011E-2</v>
      </c>
    </row>
    <row r="203" spans="1:4">
      <c r="A203" s="161">
        <v>42521</v>
      </c>
      <c r="B203" s="171">
        <v>42491</v>
      </c>
      <c r="C203" s="156">
        <f>'Revenues &amp; Expenses'!M203</f>
        <v>6.4450037305121027E-2</v>
      </c>
      <c r="D203" s="156">
        <f t="shared" si="26"/>
        <v>8.695003730512102E-2</v>
      </c>
    </row>
    <row r="204" spans="1:4">
      <c r="A204" s="161">
        <v>42551</v>
      </c>
      <c r="B204" s="171">
        <v>42522</v>
      </c>
      <c r="C204" s="156">
        <f>'Revenues &amp; Expenses'!M204</f>
        <v>6.4461649539123006E-2</v>
      </c>
      <c r="D204" s="156">
        <f t="shared" si="26"/>
        <v>8.6961649539122998E-2</v>
      </c>
    </row>
    <row r="205" spans="1:4">
      <c r="A205" s="161">
        <v>42582</v>
      </c>
      <c r="B205" s="171">
        <v>42552</v>
      </c>
      <c r="C205" s="156">
        <f>'Revenues &amp; Expenses'!M205</f>
        <v>6.4472887185825001E-2</v>
      </c>
      <c r="D205" s="156">
        <f t="shared" si="26"/>
        <v>8.6972887185824993E-2</v>
      </c>
    </row>
    <row r="206" spans="1:4">
      <c r="A206" s="161">
        <v>42613</v>
      </c>
      <c r="B206" s="171">
        <v>42583</v>
      </c>
      <c r="C206" s="156">
        <f>'Revenues &amp; Expenses'!M206</f>
        <v>6.4484499421675001E-2</v>
      </c>
      <c r="D206" s="156">
        <f t="shared" si="26"/>
        <v>8.6984499421674993E-2</v>
      </c>
    </row>
    <row r="207" spans="1:4">
      <c r="A207" s="161">
        <v>42643</v>
      </c>
      <c r="B207" s="171">
        <v>42614</v>
      </c>
      <c r="C207" s="156">
        <f>'Revenues &amp; Expenses'!M207</f>
        <v>6.4496111658463015E-2</v>
      </c>
      <c r="D207" s="156">
        <f t="shared" si="26"/>
        <v>8.6996111658463021E-2</v>
      </c>
    </row>
    <row r="208" spans="1:4">
      <c r="A208" s="161">
        <v>42674</v>
      </c>
      <c r="B208" s="171">
        <v>42644</v>
      </c>
      <c r="C208" s="156">
        <f>'Revenues &amp; Expenses'!M208</f>
        <v>6.4507349307862005E-2</v>
      </c>
      <c r="D208" s="156">
        <f t="shared" si="26"/>
        <v>8.7007349307861998E-2</v>
      </c>
    </row>
    <row r="209" spans="1:4">
      <c r="A209" s="161">
        <v>42704</v>
      </c>
      <c r="B209" s="171">
        <v>42675</v>
      </c>
      <c r="C209" s="156">
        <f>'Revenues &amp; Expenses'!M209</f>
        <v>6.4518961546497014E-2</v>
      </c>
      <c r="D209" s="156">
        <f t="shared" si="26"/>
        <v>8.701896154649702E-2</v>
      </c>
    </row>
    <row r="210" spans="1:4">
      <c r="A210" s="161">
        <v>42735</v>
      </c>
      <c r="B210" s="171">
        <v>42705</v>
      </c>
      <c r="C210" s="156">
        <f>'Revenues &amp; Expenses'!M210</f>
        <v>6.4530199197684018E-2</v>
      </c>
      <c r="D210" s="156">
        <f t="shared" si="26"/>
        <v>8.7030199197684011E-2</v>
      </c>
    </row>
    <row r="211" spans="1:4">
      <c r="A211" s="161">
        <v>42766</v>
      </c>
      <c r="B211" s="171">
        <v>42736</v>
      </c>
      <c r="C211" s="156">
        <f>'Revenues &amp; Expenses'!M211</f>
        <v>6.4541811438167007E-2</v>
      </c>
      <c r="D211" s="156">
        <f t="shared" si="26"/>
        <v>8.7041811438166999E-2</v>
      </c>
    </row>
    <row r="212" spans="1:4">
      <c r="A212" s="161">
        <v>42794</v>
      </c>
      <c r="B212" s="171">
        <v>42767</v>
      </c>
      <c r="C212" s="156">
        <f>'Revenues &amp; Expenses'!M212</f>
        <v>6.455342367958801E-2</v>
      </c>
      <c r="D212" s="156">
        <f t="shared" si="26"/>
        <v>8.7053423679588016E-2</v>
      </c>
    </row>
    <row r="213" spans="1:4">
      <c r="A213" s="161">
        <v>42825</v>
      </c>
      <c r="B213" s="171">
        <v>42795</v>
      </c>
      <c r="C213" s="156">
        <f>'Revenues &amp; Expenses'!M213</f>
        <v>6.4563912156518008E-2</v>
      </c>
      <c r="D213" s="156">
        <f t="shared" si="26"/>
        <v>8.7063912156518014E-2</v>
      </c>
    </row>
    <row r="214" spans="1:4">
      <c r="A214" s="161">
        <v>42855</v>
      </c>
      <c r="B214" s="171">
        <v>42826</v>
      </c>
      <c r="C214" s="156">
        <f>'Revenues &amp; Expenses'!M214</f>
        <v>6.4575524399727025E-2</v>
      </c>
      <c r="D214" s="156">
        <f t="shared" si="26"/>
        <v>8.7075524399727017E-2</v>
      </c>
    </row>
    <row r="215" spans="1:4">
      <c r="A215" s="161">
        <v>42886</v>
      </c>
      <c r="B215" s="171">
        <v>42856</v>
      </c>
      <c r="C215" s="156">
        <f>'Revenues &amp; Expenses'!M215</f>
        <v>6.4586762055339017E-2</v>
      </c>
      <c r="D215" s="156">
        <f t="shared" si="26"/>
        <v>8.7086762055339023E-2</v>
      </c>
    </row>
    <row r="216" spans="1:4">
      <c r="A216" s="161">
        <v>42916</v>
      </c>
      <c r="B216" s="171">
        <v>42887</v>
      </c>
      <c r="C216" s="156">
        <f>'Revenues &amp; Expenses'!M216</f>
        <v>6.4598374300394015E-2</v>
      </c>
      <c r="D216" s="156">
        <f t="shared" si="26"/>
        <v>8.7098374300394021E-2</v>
      </c>
    </row>
    <row r="217" spans="1:4">
      <c r="A217" s="161">
        <v>42947</v>
      </c>
      <c r="B217" s="171">
        <v>42917</v>
      </c>
      <c r="C217" s="156">
        <f>'Revenues &amp; Expenses'!M217</f>
        <v>6.4609611957794022E-2</v>
      </c>
      <c r="D217" s="156">
        <f t="shared" si="26"/>
        <v>8.7109611957794014E-2</v>
      </c>
    </row>
    <row r="218" spans="1:4">
      <c r="A218" s="161">
        <v>42978</v>
      </c>
      <c r="B218" s="171">
        <v>42948</v>
      </c>
      <c r="C218" s="156">
        <f>'Revenues &amp; Expenses'!M218</f>
        <v>6.4621224204697014E-2</v>
      </c>
      <c r="D218" s="156">
        <f t="shared" si="26"/>
        <v>8.7121224204697006E-2</v>
      </c>
    </row>
    <row r="219" spans="1:4">
      <c r="A219" s="161">
        <v>43008</v>
      </c>
      <c r="B219" s="171">
        <v>42979</v>
      </c>
      <c r="C219" s="156">
        <f>'Revenues &amp; Expenses'!M219</f>
        <v>6.4632836452538006E-2</v>
      </c>
      <c r="D219" s="156">
        <f t="shared" si="26"/>
        <v>8.7132836452537998E-2</v>
      </c>
    </row>
    <row r="220" spans="1:4">
      <c r="A220" s="161">
        <v>43039</v>
      </c>
      <c r="B220" s="171">
        <v>43009</v>
      </c>
      <c r="C220" s="156">
        <f>'Revenues &amp; Expenses'!M220</f>
        <v>6.4644074112634009E-2</v>
      </c>
      <c r="D220" s="156">
        <f t="shared" si="26"/>
        <v>8.7144074112634001E-2</v>
      </c>
    </row>
    <row r="221" spans="1:4">
      <c r="A221" s="161">
        <v>43069</v>
      </c>
      <c r="B221" s="171">
        <v>43040</v>
      </c>
      <c r="C221" s="156">
        <f>'Revenues &amp; Expenses'!M221</f>
        <v>6.4655686362322995E-2</v>
      </c>
      <c r="D221" s="156">
        <f t="shared" si="26"/>
        <v>8.7155686362322987E-2</v>
      </c>
    </row>
    <row r="222" spans="1:4">
      <c r="A222" s="161">
        <v>43100</v>
      </c>
      <c r="B222" s="171">
        <v>43070</v>
      </c>
      <c r="C222" s="156">
        <f>'Revenues &amp; Expenses'!M222</f>
        <v>6.4666924024206013E-2</v>
      </c>
      <c r="D222" s="156">
        <f t="shared" si="26"/>
        <v>8.7166924024206005E-2</v>
      </c>
    </row>
    <row r="223" spans="1:4">
      <c r="A223" s="161">
        <v>43131</v>
      </c>
      <c r="B223" s="171">
        <v>43101</v>
      </c>
      <c r="C223" s="156">
        <f>'Revenues &amp; Expenses'!M223</f>
        <v>6.4678536275743007E-2</v>
      </c>
      <c r="D223" s="156">
        <f t="shared" si="26"/>
        <v>8.7178536275743013E-2</v>
      </c>
    </row>
    <row r="224" spans="1:4">
      <c r="A224" s="161">
        <v>43159</v>
      </c>
      <c r="B224" s="171">
        <v>43132</v>
      </c>
      <c r="C224" s="156">
        <f>'Revenues &amp; Expenses'!M224</f>
        <v>6.4690148528218E-2</v>
      </c>
      <c r="D224" s="156">
        <f t="shared" si="26"/>
        <v>8.7190148528217992E-2</v>
      </c>
    </row>
    <row r="225" spans="1:4">
      <c r="A225" s="161">
        <v>43190</v>
      </c>
      <c r="B225" s="171">
        <v>43160</v>
      </c>
      <c r="C225" s="156">
        <f>'Revenues &amp; Expenses'!M225</f>
        <v>6.4700637015131027E-2</v>
      </c>
      <c r="D225" s="156">
        <f t="shared" si="26"/>
        <v>8.7200637015131033E-2</v>
      </c>
    </row>
    <row r="226" spans="1:4">
      <c r="A226" s="161">
        <v>43220</v>
      </c>
      <c r="B226" s="171">
        <v>43191</v>
      </c>
      <c r="C226" s="156">
        <f>'Revenues &amp; Expenses'!M226</f>
        <v>6.4712249269393007E-2</v>
      </c>
      <c r="D226" s="156">
        <f t="shared" si="26"/>
        <v>8.7212249269393E-2</v>
      </c>
    </row>
    <row r="227" spans="1:4">
      <c r="A227" s="161">
        <v>43251</v>
      </c>
      <c r="B227" s="171">
        <v>43221</v>
      </c>
      <c r="C227" s="156">
        <f>'Revenues &amp; Expenses'!M227</f>
        <v>6.4723486935701E-2</v>
      </c>
      <c r="D227" s="156">
        <f t="shared" si="26"/>
        <v>8.7223486935701006E-2</v>
      </c>
    </row>
    <row r="228" spans="1:4">
      <c r="A228" s="161">
        <v>43281</v>
      </c>
      <c r="B228" s="171">
        <v>43252</v>
      </c>
      <c r="C228" s="156">
        <f>'Revenues &amp; Expenses'!M228</f>
        <v>6.4735099191810003E-2</v>
      </c>
      <c r="D228" s="156">
        <f t="shared" si="26"/>
        <v>8.7235099191809995E-2</v>
      </c>
    </row>
    <row r="229" spans="1:4">
      <c r="A229" s="161">
        <v>43312</v>
      </c>
      <c r="B229" s="171">
        <v>43282</v>
      </c>
      <c r="C229" s="156">
        <f>'Revenues &amp; Expenses'!M229</f>
        <v>6.4746336859906009E-2</v>
      </c>
      <c r="D229" s="156">
        <f t="shared" si="26"/>
        <v>8.7246336859906015E-2</v>
      </c>
    </row>
    <row r="230" spans="1:4">
      <c r="A230" s="161">
        <v>43343</v>
      </c>
      <c r="B230" s="161">
        <v>43313</v>
      </c>
      <c r="C230" s="156">
        <f>'Revenues &amp; Expenses'!M230</f>
        <v>6.4757949117862007E-2</v>
      </c>
      <c r="D230" s="156">
        <f t="shared" si="26"/>
        <v>8.7257949117861999E-2</v>
      </c>
    </row>
    <row r="231" spans="1:4">
      <c r="A231" s="161">
        <v>43373</v>
      </c>
      <c r="B231" s="161">
        <v>43344</v>
      </c>
      <c r="C231" s="156">
        <f>'Revenues &amp; Expenses'!M231</f>
        <v>6.4769561376757004E-2</v>
      </c>
      <c r="D231" s="156">
        <f t="shared" si="26"/>
        <v>8.726956137675701E-2</v>
      </c>
    </row>
    <row r="232" spans="1:4">
      <c r="A232" s="161">
        <v>43404</v>
      </c>
      <c r="B232" s="161">
        <v>43374</v>
      </c>
      <c r="C232" s="156">
        <f>'Revenues &amp; Expenses'!M232</f>
        <v>6.478079904754902E-2</v>
      </c>
      <c r="D232" s="156">
        <f t="shared" si="26"/>
        <v>8.7280799047549013E-2</v>
      </c>
    </row>
    <row r="233" spans="1:4">
      <c r="A233" s="161">
        <v>43434</v>
      </c>
      <c r="B233" s="161">
        <v>43405</v>
      </c>
      <c r="C233" s="156">
        <f>'Revenues &amp; Expenses'!M233</f>
        <v>6.4792411308291012E-2</v>
      </c>
      <c r="D233" s="156">
        <f t="shared" si="26"/>
        <v>8.7292411308291018E-2</v>
      </c>
    </row>
    <row r="234" spans="1:4">
      <c r="A234" s="161">
        <v>43465</v>
      </c>
      <c r="B234" s="161">
        <v>43435</v>
      </c>
      <c r="C234" s="156">
        <f>'Revenues &amp; Expenses'!M234</f>
        <v>6.4803648980870016E-2</v>
      </c>
      <c r="D234" s="156">
        <f t="shared" si="26"/>
        <v>8.7303648980870008E-2</v>
      </c>
    </row>
    <row r="235" spans="1:4">
      <c r="A235" s="161">
        <v>43496</v>
      </c>
      <c r="B235" s="161">
        <v>43466</v>
      </c>
      <c r="C235" s="156">
        <f>'Revenues &amp; Expenses'!M235</f>
        <v>6.4815261243459016E-2</v>
      </c>
      <c r="D235" s="156">
        <f t="shared" si="26"/>
        <v>8.7315261243459008E-2</v>
      </c>
    </row>
    <row r="236" spans="1:4">
      <c r="A236" s="161">
        <v>43524</v>
      </c>
      <c r="B236" s="161">
        <v>43497</v>
      </c>
      <c r="C236" s="156">
        <f>'Revenues &amp; Expenses'!M236</f>
        <v>6.4826873506987001E-2</v>
      </c>
      <c r="D236" s="156">
        <f t="shared" si="26"/>
        <v>8.7326873506987007E-2</v>
      </c>
    </row>
    <row r="237" spans="1:4">
      <c r="A237" s="161">
        <v>43555</v>
      </c>
      <c r="B237" s="161">
        <v>43525</v>
      </c>
      <c r="C237" s="156">
        <f>'Revenues &amp; Expenses'!M237</f>
        <v>6.4837362003883001E-2</v>
      </c>
      <c r="D237" s="156">
        <f t="shared" si="26"/>
        <v>8.7337362003883007E-2</v>
      </c>
    </row>
    <row r="238" spans="1:4">
      <c r="A238" s="161">
        <v>43585</v>
      </c>
      <c r="B238" s="161">
        <v>43556</v>
      </c>
      <c r="C238" s="156">
        <f>'Revenues &amp; Expenses'!M238</f>
        <v>6.4848974269198015E-2</v>
      </c>
      <c r="D238" s="156">
        <f t="shared" si="26"/>
        <v>8.7348974269198021E-2</v>
      </c>
    </row>
    <row r="239" spans="1:4">
      <c r="A239" s="161">
        <v>43616</v>
      </c>
      <c r="B239" s="161">
        <v>43586</v>
      </c>
      <c r="C239" s="156">
        <f>'Revenues &amp; Expenses'!M239</f>
        <v>6.4860211946202007E-2</v>
      </c>
      <c r="D239" s="156">
        <f t="shared" si="26"/>
        <v>8.7360211946201999E-2</v>
      </c>
    </row>
    <row r="240" spans="1:4">
      <c r="A240" s="161">
        <v>43646</v>
      </c>
      <c r="B240" s="161">
        <v>43617</v>
      </c>
      <c r="C240" s="156">
        <f>'Revenues &amp; Expenses'!M240</f>
        <v>6.4871824213363002E-2</v>
      </c>
      <c r="D240" s="156">
        <f t="shared" si="26"/>
        <v>8.7371824213363009E-2</v>
      </c>
    </row>
    <row r="241" spans="1:4">
      <c r="A241" s="161">
        <v>43677</v>
      </c>
      <c r="B241" s="161">
        <v>43647</v>
      </c>
      <c r="C241" s="156">
        <f>'Revenues &amp; Expenses'!M241</f>
        <v>6.4883061892155022E-2</v>
      </c>
      <c r="D241" s="156">
        <f t="shared" si="26"/>
        <v>8.7383061892155028E-2</v>
      </c>
    </row>
    <row r="242" spans="1:4">
      <c r="A242" s="161">
        <v>43708</v>
      </c>
      <c r="B242" s="161">
        <v>43678</v>
      </c>
      <c r="C242" s="156">
        <f>'Revenues &amp; Expenses'!M242</f>
        <v>6.4894674161163013E-2</v>
      </c>
      <c r="D242" s="156">
        <f t="shared" si="26"/>
        <v>8.7394674161163005E-2</v>
      </c>
    </row>
    <row r="243" spans="1:4">
      <c r="A243" s="161">
        <v>43738</v>
      </c>
      <c r="B243" s="161">
        <v>43709</v>
      </c>
      <c r="C243" s="156">
        <f>'Revenues &amp; Expenses'!M243</f>
        <v>6.4906286431110016E-2</v>
      </c>
      <c r="D243" s="156">
        <f t="shared" si="26"/>
        <v>8.7406286431110009E-2</v>
      </c>
    </row>
    <row r="244" spans="1:4">
      <c r="A244" s="161">
        <v>43769</v>
      </c>
      <c r="B244" s="161">
        <v>43739</v>
      </c>
      <c r="C244" s="156">
        <f>'Revenues &amp; Expenses'!M244</f>
        <v>6.4917524112598005E-2</v>
      </c>
      <c r="D244" s="156">
        <f t="shared" si="26"/>
        <v>8.7417524112598011E-2</v>
      </c>
    </row>
    <row r="245" spans="1:4">
      <c r="A245" s="161">
        <v>43799</v>
      </c>
      <c r="B245" s="161">
        <v>43770</v>
      </c>
      <c r="C245" s="156">
        <f>'Revenues &amp; Expenses'!M245</f>
        <v>6.4929136384391017E-2</v>
      </c>
      <c r="D245" s="156">
        <f t="shared" si="26"/>
        <v>8.742913638439101E-2</v>
      </c>
    </row>
    <row r="246" spans="1:4">
      <c r="A246" s="161">
        <v>43830</v>
      </c>
      <c r="B246" s="161">
        <v>43800</v>
      </c>
      <c r="C246" s="156">
        <f>'Revenues &amp; Expenses'!M246</f>
        <v>6.4940374067667006E-2</v>
      </c>
      <c r="D246" s="156">
        <f t="shared" si="26"/>
        <v>8.7440374067666998E-2</v>
      </c>
    </row>
    <row r="247" spans="1:4">
      <c r="B247" s="161">
        <f>B246+31</f>
        <v>43831</v>
      </c>
      <c r="C247" s="156"/>
      <c r="D247" s="156"/>
    </row>
    <row r="248" spans="1:4">
      <c r="C248" s="156"/>
      <c r="D248" s="156"/>
    </row>
    <row r="249" spans="1:4">
      <c r="C249" s="156"/>
      <c r="D249" s="156"/>
    </row>
    <row r="250" spans="1:4">
      <c r="C250" s="156"/>
      <c r="D250" s="156"/>
    </row>
    <row r="251" spans="1:4">
      <c r="C251" s="156"/>
      <c r="D251" s="156"/>
    </row>
    <row r="252" spans="1:4">
      <c r="C252" s="156"/>
      <c r="D252" s="156"/>
    </row>
    <row r="253" spans="1:4">
      <c r="C253" s="156"/>
      <c r="D253" s="156"/>
    </row>
    <row r="254" spans="1:4">
      <c r="C254" s="156"/>
      <c r="D254" s="156"/>
    </row>
    <row r="255" spans="1:4">
      <c r="C255" s="156"/>
      <c r="D255" s="156"/>
    </row>
    <row r="256" spans="1:4">
      <c r="C256" s="156"/>
      <c r="D256" s="156"/>
    </row>
    <row r="257" spans="3:4">
      <c r="C257" s="156"/>
      <c r="D257" s="156"/>
    </row>
    <row r="258" spans="3:4">
      <c r="C258" s="156"/>
      <c r="D258" s="156"/>
    </row>
    <row r="259" spans="3:4">
      <c r="C259" s="156"/>
      <c r="D259" s="156"/>
    </row>
    <row r="260" spans="3:4">
      <c r="C260" s="156"/>
      <c r="D260" s="156"/>
    </row>
    <row r="261" spans="3:4">
      <c r="C261" s="156"/>
      <c r="D261" s="156"/>
    </row>
    <row r="262" spans="3:4">
      <c r="C262" s="156"/>
      <c r="D262" s="156"/>
    </row>
    <row r="263" spans="3:4">
      <c r="C263" s="156"/>
      <c r="D263" s="156"/>
    </row>
    <row r="264" spans="3:4">
      <c r="C264" s="156"/>
      <c r="D264" s="156"/>
    </row>
    <row r="265" spans="3:4">
      <c r="C265" s="156"/>
      <c r="D265" s="156"/>
    </row>
    <row r="266" spans="3:4">
      <c r="C266" s="156"/>
      <c r="D266" s="156"/>
    </row>
    <row r="267" spans="3:4">
      <c r="C267" s="156"/>
      <c r="D267" s="156"/>
    </row>
    <row r="268" spans="3:4">
      <c r="C268" s="156"/>
      <c r="D268" s="156"/>
    </row>
    <row r="269" spans="3:4">
      <c r="C269" s="156"/>
      <c r="D269" s="156"/>
    </row>
    <row r="270" spans="3:4">
      <c r="C270" s="156"/>
      <c r="D270" s="156"/>
    </row>
    <row r="271" spans="3:4">
      <c r="C271" s="156"/>
      <c r="D271" s="156"/>
    </row>
    <row r="272" spans="3:4">
      <c r="C272" s="156"/>
      <c r="D272" s="156"/>
    </row>
    <row r="273" spans="3:4">
      <c r="C273" s="156"/>
      <c r="D273" s="156"/>
    </row>
    <row r="274" spans="3:4">
      <c r="C274" s="156"/>
      <c r="D274" s="156"/>
    </row>
    <row r="275" spans="3:4">
      <c r="C275" s="156"/>
      <c r="D275" s="156"/>
    </row>
    <row r="276" spans="3:4">
      <c r="C276" s="156"/>
      <c r="D276" s="156"/>
    </row>
    <row r="277" spans="3:4">
      <c r="C277" s="156"/>
      <c r="D277" s="156"/>
    </row>
    <row r="278" spans="3:4">
      <c r="C278" s="156"/>
      <c r="D278" s="156"/>
    </row>
    <row r="279" spans="3:4">
      <c r="C279" s="156"/>
      <c r="D279" s="156"/>
    </row>
    <row r="280" spans="3:4">
      <c r="C280" s="156"/>
      <c r="D280" s="156"/>
    </row>
    <row r="281" spans="3:4">
      <c r="C281" s="156"/>
      <c r="D281" s="156"/>
    </row>
    <row r="282" spans="3:4">
      <c r="C282" s="156"/>
      <c r="D282" s="156"/>
    </row>
    <row r="283" spans="3:4">
      <c r="C283" s="156"/>
      <c r="D283" s="156"/>
    </row>
    <row r="284" spans="3:4">
      <c r="C284" s="156"/>
      <c r="D284" s="156"/>
    </row>
    <row r="285" spans="3:4">
      <c r="C285" s="156"/>
      <c r="D285" s="156"/>
    </row>
    <row r="286" spans="3:4">
      <c r="C286" s="156"/>
      <c r="D286" s="156"/>
    </row>
    <row r="287" spans="3:4">
      <c r="C287" s="156"/>
      <c r="D287" s="156"/>
    </row>
    <row r="288" spans="3:4">
      <c r="C288" s="156"/>
      <c r="D288" s="156"/>
    </row>
    <row r="289" spans="3:4">
      <c r="C289" s="156"/>
      <c r="D289" s="156"/>
    </row>
    <row r="290" spans="3:4">
      <c r="C290" s="156"/>
      <c r="D290" s="156"/>
    </row>
    <row r="291" spans="3:4">
      <c r="C291" s="156"/>
      <c r="D291" s="156"/>
    </row>
    <row r="292" spans="3:4">
      <c r="C292" s="156"/>
      <c r="D292" s="156"/>
    </row>
    <row r="293" spans="3:4">
      <c r="C293" s="156"/>
      <c r="D293" s="156"/>
    </row>
    <row r="294" spans="3:4">
      <c r="C294" s="156"/>
      <c r="D294" s="156"/>
    </row>
    <row r="295" spans="3:4">
      <c r="C295" s="156"/>
      <c r="D295" s="156"/>
    </row>
    <row r="296" spans="3:4">
      <c r="C296" s="156"/>
      <c r="D296" s="156"/>
    </row>
    <row r="297" spans="3:4">
      <c r="C297" s="156"/>
      <c r="D297" s="156"/>
    </row>
    <row r="298" spans="3:4">
      <c r="C298" s="156"/>
      <c r="D298" s="156"/>
    </row>
    <row r="299" spans="3:4">
      <c r="C299" s="156"/>
      <c r="D299" s="156"/>
    </row>
    <row r="300" spans="3:4">
      <c r="C300" s="156"/>
      <c r="D300" s="156"/>
    </row>
    <row r="301" spans="3:4">
      <c r="C301" s="156"/>
      <c r="D301" s="156"/>
    </row>
    <row r="302" spans="3:4">
      <c r="C302" s="156"/>
      <c r="D302" s="156"/>
    </row>
    <row r="303" spans="3:4">
      <c r="C303" s="156"/>
      <c r="D303" s="156"/>
    </row>
    <row r="304" spans="3:4">
      <c r="C304" s="156"/>
      <c r="D304" s="156"/>
    </row>
    <row r="305" spans="3:4">
      <c r="C305" s="156"/>
      <c r="D305" s="156"/>
    </row>
    <row r="306" spans="3:4">
      <c r="C306" s="156"/>
      <c r="D306" s="156"/>
    </row>
    <row r="307" spans="3:4">
      <c r="C307" s="156"/>
      <c r="D307" s="156"/>
    </row>
    <row r="308" spans="3:4">
      <c r="C308" s="156"/>
      <c r="D308" s="156"/>
    </row>
    <row r="309" spans="3:4">
      <c r="C309" s="156"/>
      <c r="D309" s="156"/>
    </row>
    <row r="310" spans="3:4">
      <c r="C310" s="156"/>
      <c r="D310" s="156"/>
    </row>
    <row r="311" spans="3:4">
      <c r="C311" s="156"/>
      <c r="D311" s="156"/>
    </row>
    <row r="312" spans="3:4">
      <c r="C312" s="156"/>
      <c r="D312" s="156"/>
    </row>
    <row r="313" spans="3:4">
      <c r="C313" s="156"/>
      <c r="D313" s="156"/>
    </row>
    <row r="314" spans="3:4">
      <c r="C314" s="156"/>
      <c r="D314" s="156"/>
    </row>
    <row r="315" spans="3:4">
      <c r="C315" s="156"/>
      <c r="D315" s="156"/>
    </row>
    <row r="316" spans="3:4">
      <c r="C316" s="156"/>
      <c r="D316" s="156"/>
    </row>
    <row r="317" spans="3:4">
      <c r="C317" s="156"/>
      <c r="D317" s="156"/>
    </row>
    <row r="318" spans="3:4">
      <c r="C318" s="156"/>
      <c r="D318" s="156"/>
    </row>
    <row r="319" spans="3:4">
      <c r="C319" s="156"/>
      <c r="D319" s="156"/>
    </row>
    <row r="320" spans="3:4">
      <c r="C320" s="156"/>
      <c r="D320" s="156"/>
    </row>
    <row r="321" spans="3:4">
      <c r="C321" s="156"/>
      <c r="D321" s="156"/>
    </row>
    <row r="322" spans="3:4">
      <c r="C322" s="156"/>
      <c r="D322" s="156"/>
    </row>
    <row r="323" spans="3:4">
      <c r="C323" s="156"/>
      <c r="D323" s="156"/>
    </row>
    <row r="324" spans="3:4">
      <c r="C324" s="156"/>
      <c r="D324" s="156"/>
    </row>
    <row r="325" spans="3:4">
      <c r="C325" s="156"/>
      <c r="D325" s="156"/>
    </row>
    <row r="326" spans="3:4">
      <c r="C326" s="156"/>
      <c r="D326" s="156"/>
    </row>
    <row r="327" spans="3:4">
      <c r="C327" s="156"/>
      <c r="D327" s="156"/>
    </row>
    <row r="328" spans="3:4">
      <c r="C328" s="156"/>
      <c r="D328" s="156"/>
    </row>
    <row r="329" spans="3:4">
      <c r="C329" s="156"/>
      <c r="D329" s="156"/>
    </row>
    <row r="330" spans="3:4">
      <c r="C330" s="156"/>
      <c r="D330" s="156"/>
    </row>
    <row r="331" spans="3:4">
      <c r="C331" s="156"/>
      <c r="D331" s="156"/>
    </row>
    <row r="332" spans="3:4">
      <c r="C332" s="156"/>
      <c r="D332" s="156"/>
    </row>
    <row r="333" spans="3:4">
      <c r="C333" s="156"/>
      <c r="D333" s="156"/>
    </row>
    <row r="334" spans="3:4">
      <c r="C334" s="156"/>
      <c r="D334" s="156"/>
    </row>
    <row r="335" spans="3:4">
      <c r="C335" s="156"/>
      <c r="D335" s="156"/>
    </row>
    <row r="336" spans="3:4">
      <c r="C336" s="156"/>
      <c r="D336" s="156"/>
    </row>
    <row r="337" spans="3:4">
      <c r="C337" s="156"/>
      <c r="D337" s="156"/>
    </row>
    <row r="338" spans="3:4">
      <c r="C338" s="156"/>
      <c r="D338" s="156"/>
    </row>
    <row r="339" spans="3:4">
      <c r="C339" s="156"/>
      <c r="D339" s="156"/>
    </row>
    <row r="340" spans="3:4">
      <c r="C340" s="156"/>
      <c r="D340" s="156"/>
    </row>
    <row r="341" spans="3:4">
      <c r="C341" s="156"/>
      <c r="D341" s="156"/>
    </row>
    <row r="342" spans="3:4">
      <c r="C342" s="156"/>
      <c r="D342" s="156"/>
    </row>
    <row r="343" spans="3:4">
      <c r="C343" s="156"/>
      <c r="D343" s="156"/>
    </row>
    <row r="344" spans="3:4">
      <c r="C344" s="156"/>
      <c r="D344" s="156"/>
    </row>
    <row r="345" spans="3:4">
      <c r="C345" s="156"/>
      <c r="D345" s="156"/>
    </row>
    <row r="346" spans="3:4">
      <c r="C346" s="156"/>
      <c r="D346" s="156"/>
    </row>
    <row r="347" spans="3:4">
      <c r="C347" s="156"/>
      <c r="D347" s="156"/>
    </row>
    <row r="348" spans="3:4">
      <c r="C348" s="156"/>
      <c r="D348" s="156"/>
    </row>
    <row r="349" spans="3:4">
      <c r="C349" s="156"/>
      <c r="D349" s="156"/>
    </row>
    <row r="350" spans="3:4">
      <c r="C350" s="156"/>
      <c r="D350" s="156"/>
    </row>
    <row r="351" spans="3:4">
      <c r="C351" s="156"/>
      <c r="D351" s="156"/>
    </row>
    <row r="352" spans="3:4">
      <c r="C352" s="156"/>
      <c r="D352" s="156"/>
    </row>
    <row r="353" spans="3:4">
      <c r="C353" s="156"/>
      <c r="D353" s="156"/>
    </row>
    <row r="354" spans="3:4">
      <c r="C354" s="156"/>
      <c r="D354" s="156"/>
    </row>
    <row r="355" spans="3:4">
      <c r="C355" s="156"/>
      <c r="D355" s="156"/>
    </row>
    <row r="356" spans="3:4">
      <c r="C356" s="156"/>
      <c r="D356" s="156"/>
    </row>
    <row r="357" spans="3:4">
      <c r="C357" s="156"/>
      <c r="D357" s="156"/>
    </row>
    <row r="358" spans="3:4">
      <c r="C358" s="156"/>
      <c r="D358" s="156"/>
    </row>
    <row r="359" spans="3:4">
      <c r="C359" s="156"/>
      <c r="D359" s="156"/>
    </row>
    <row r="360" spans="3:4">
      <c r="C360" s="156"/>
      <c r="D360" s="156"/>
    </row>
    <row r="361" spans="3:4">
      <c r="C361" s="156"/>
      <c r="D361" s="156"/>
    </row>
    <row r="362" spans="3:4">
      <c r="C362" s="156"/>
      <c r="D362" s="156"/>
    </row>
    <row r="363" spans="3:4">
      <c r="C363" s="156"/>
    </row>
    <row r="364" spans="3:4">
      <c r="C364" s="156"/>
    </row>
    <row r="365" spans="3:4">
      <c r="C365" s="156"/>
    </row>
    <row r="366" spans="3:4">
      <c r="C366" s="156"/>
    </row>
    <row r="367" spans="3:4">
      <c r="C367" s="156"/>
    </row>
    <row r="368" spans="3:4">
      <c r="C368" s="174"/>
    </row>
  </sheetData>
  <pageMargins left="0.25" right="0.25" top="1" bottom="1" header="0.5" footer="0.5"/>
  <pageSetup paperSize="5" scale="60" orientation="landscape" horizont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Z77"/>
  <sheetViews>
    <sheetView tabSelected="1" workbookViewId="0">
      <selection activeCell="B6" sqref="B6"/>
    </sheetView>
  </sheetViews>
  <sheetFormatPr defaultColWidth="9.109375" defaultRowHeight="13.8"/>
  <cols>
    <col min="1" max="1" width="1.88671875" style="651" customWidth="1"/>
    <col min="2" max="2" width="26" style="651" bestFit="1" customWidth="1"/>
    <col min="3" max="4" width="12.88671875" style="651" bestFit="1" customWidth="1"/>
    <col min="5" max="5" width="10.44140625" style="651" bestFit="1" customWidth="1"/>
    <col min="6" max="6" width="12.88671875" style="651" bestFit="1" customWidth="1"/>
    <col min="7" max="7" width="10.6640625" style="651" bestFit="1" customWidth="1"/>
    <col min="8" max="8" width="10.44140625" style="651" bestFit="1" customWidth="1"/>
    <col min="9" max="10" width="10.6640625" style="651" bestFit="1" customWidth="1"/>
    <col min="11" max="22" width="10.44140625" style="651" bestFit="1" customWidth="1"/>
    <col min="23" max="23" width="10.6640625" style="651" bestFit="1" customWidth="1"/>
    <col min="24" max="24" width="11.33203125" style="651" bestFit="1" customWidth="1"/>
    <col min="25" max="25" width="2.88671875" style="651" customWidth="1"/>
    <col min="26" max="16384" width="9.109375" style="651"/>
  </cols>
  <sheetData>
    <row r="1" spans="2:26">
      <c r="B1" s="728"/>
      <c r="C1" s="729"/>
      <c r="D1" s="729"/>
      <c r="F1" s="652"/>
      <c r="G1" s="652"/>
      <c r="I1" s="657"/>
      <c r="J1" s="657"/>
    </row>
    <row r="3" spans="2:26" s="647" customFormat="1" ht="4.8" thickBot="1">
      <c r="C3" s="647">
        <v>1</v>
      </c>
      <c r="D3" s="647">
        <f>C3+12</f>
        <v>13</v>
      </c>
      <c r="E3" s="647">
        <f t="shared" ref="E3:W3" si="0">D3+12</f>
        <v>25</v>
      </c>
      <c r="F3" s="647">
        <f t="shared" si="0"/>
        <v>37</v>
      </c>
      <c r="G3" s="647">
        <f t="shared" si="0"/>
        <v>49</v>
      </c>
      <c r="H3" s="647">
        <f t="shared" si="0"/>
        <v>61</v>
      </c>
      <c r="I3" s="647">
        <f t="shared" si="0"/>
        <v>73</v>
      </c>
      <c r="J3" s="647">
        <f t="shared" si="0"/>
        <v>85</v>
      </c>
      <c r="K3" s="647">
        <f t="shared" si="0"/>
        <v>97</v>
      </c>
      <c r="L3" s="647">
        <f t="shared" si="0"/>
        <v>109</v>
      </c>
      <c r="M3" s="647">
        <f t="shared" si="0"/>
        <v>121</v>
      </c>
      <c r="N3" s="647">
        <f t="shared" si="0"/>
        <v>133</v>
      </c>
      <c r="O3" s="647">
        <f t="shared" si="0"/>
        <v>145</v>
      </c>
      <c r="P3" s="647">
        <f t="shared" si="0"/>
        <v>157</v>
      </c>
      <c r="Q3" s="647">
        <f t="shared" si="0"/>
        <v>169</v>
      </c>
      <c r="R3" s="647">
        <f t="shared" si="0"/>
        <v>181</v>
      </c>
      <c r="S3" s="647">
        <f t="shared" si="0"/>
        <v>193</v>
      </c>
      <c r="T3" s="647">
        <f t="shared" si="0"/>
        <v>205</v>
      </c>
      <c r="U3" s="647">
        <f t="shared" si="0"/>
        <v>217</v>
      </c>
      <c r="V3" s="647">
        <f t="shared" si="0"/>
        <v>229</v>
      </c>
      <c r="W3" s="647">
        <f t="shared" si="0"/>
        <v>241</v>
      </c>
    </row>
    <row r="4" spans="2:26" ht="14.4" thickBot="1">
      <c r="B4" s="648" t="s">
        <v>296</v>
      </c>
      <c r="C4" s="649">
        <v>36891</v>
      </c>
      <c r="D4" s="649">
        <f>C4+365.25</f>
        <v>37256.25</v>
      </c>
      <c r="E4" s="649">
        <f t="shared" ref="E4:W4" si="1">D4+365.25</f>
        <v>37621.5</v>
      </c>
      <c r="F4" s="649">
        <f t="shared" si="1"/>
        <v>37986.75</v>
      </c>
      <c r="G4" s="649">
        <f t="shared" si="1"/>
        <v>38352</v>
      </c>
      <c r="H4" s="649">
        <f t="shared" si="1"/>
        <v>38717.25</v>
      </c>
      <c r="I4" s="649">
        <f t="shared" si="1"/>
        <v>39082.5</v>
      </c>
      <c r="J4" s="649">
        <f t="shared" si="1"/>
        <v>39447.75</v>
      </c>
      <c r="K4" s="649">
        <f t="shared" si="1"/>
        <v>39813</v>
      </c>
      <c r="L4" s="649">
        <f t="shared" si="1"/>
        <v>40178.25</v>
      </c>
      <c r="M4" s="649">
        <f t="shared" si="1"/>
        <v>40543.5</v>
      </c>
      <c r="N4" s="649">
        <f t="shared" si="1"/>
        <v>40908.75</v>
      </c>
      <c r="O4" s="649">
        <f t="shared" si="1"/>
        <v>41274</v>
      </c>
      <c r="P4" s="649">
        <f t="shared" si="1"/>
        <v>41639.25</v>
      </c>
      <c r="Q4" s="649">
        <f t="shared" si="1"/>
        <v>42004.5</v>
      </c>
      <c r="R4" s="649">
        <f t="shared" si="1"/>
        <v>42369.75</v>
      </c>
      <c r="S4" s="649">
        <f t="shared" si="1"/>
        <v>42735</v>
      </c>
      <c r="T4" s="649">
        <f t="shared" si="1"/>
        <v>43100.25</v>
      </c>
      <c r="U4" s="649">
        <f t="shared" si="1"/>
        <v>43465.5</v>
      </c>
      <c r="V4" s="649">
        <f t="shared" si="1"/>
        <v>43830.75</v>
      </c>
      <c r="W4" s="650">
        <f t="shared" si="1"/>
        <v>44196</v>
      </c>
      <c r="X4" s="711" t="s">
        <v>196</v>
      </c>
      <c r="Z4" s="645" t="s">
        <v>197</v>
      </c>
    </row>
    <row r="5" spans="2:26">
      <c r="B5" s="651" t="s">
        <v>307</v>
      </c>
      <c r="C5" s="652">
        <f>VLOOKUP(C3,'Curve Analysis - Base Case'!$H$10:$N$250,7)</f>
        <v>332640</v>
      </c>
      <c r="D5" s="652">
        <f>VLOOKUP(D3,'Curve Analysis - Base Case'!$H$10:$N$250,7)</f>
        <v>332640</v>
      </c>
      <c r="E5" s="652">
        <f>VLOOKUP(E3,'Curve Analysis - Base Case'!$H$10:$N$250,7)</f>
        <v>327600</v>
      </c>
      <c r="F5" s="652">
        <f>VLOOKUP(F3,'Curve Analysis - Base Case'!$H$10:$N$250,7)</f>
        <v>327600</v>
      </c>
      <c r="G5" s="652">
        <f>VLOOKUP(G3,'Curve Analysis - Base Case'!$H$10:$N$250,7)</f>
        <v>332640</v>
      </c>
      <c r="H5" s="652">
        <f>VLOOKUP(H3,'Curve Analysis - Base Case'!$H$10:$N$250,7)</f>
        <v>332640</v>
      </c>
      <c r="I5" s="652">
        <f>VLOOKUP(I3,'Curve Analysis - Base Case'!$H$10:$N$250,7)</f>
        <v>327600</v>
      </c>
      <c r="J5" s="652">
        <f>VLOOKUP(J3,'Curve Analysis - Base Case'!$H$10:$N$250,7)</f>
        <v>327600</v>
      </c>
      <c r="K5" s="652">
        <f>VLOOKUP(K3,'Curve Analysis - Base Case'!$H$10:$N$250,7)</f>
        <v>332640</v>
      </c>
      <c r="L5" s="652">
        <f>VLOOKUP(L3,'Curve Analysis - Base Case'!$H$10:$N$250,7)</f>
        <v>332640</v>
      </c>
      <c r="M5" s="652">
        <f>VLOOKUP(M3,'Curve Analysis - Base Case'!$H$10:$N$250,7)</f>
        <v>327600</v>
      </c>
      <c r="N5" s="652">
        <f>VLOOKUP(N3,'Curve Analysis - Base Case'!$H$10:$N$250,7)</f>
        <v>327600</v>
      </c>
      <c r="O5" s="652">
        <f>VLOOKUP(O3,'Curve Analysis - Base Case'!$H$10:$N$250,7)</f>
        <v>332640</v>
      </c>
      <c r="P5" s="652">
        <f>VLOOKUP(P3,'Curve Analysis - Base Case'!$H$10:$N$250,7)</f>
        <v>332640</v>
      </c>
      <c r="Q5" s="652">
        <f>VLOOKUP(Q3,'Curve Analysis - Base Case'!$H$10:$N$250,7)</f>
        <v>327600</v>
      </c>
      <c r="R5" s="652">
        <f>VLOOKUP(R3,'Curve Analysis - Base Case'!$H$10:$N$250,7)</f>
        <v>327600</v>
      </c>
      <c r="S5" s="652">
        <f>VLOOKUP(S3,'Curve Analysis - Base Case'!$H$10:$N$250,7)</f>
        <v>332640</v>
      </c>
      <c r="T5" s="652">
        <f>VLOOKUP(T3,'Curve Analysis - Base Case'!$H$10:$N$250,7)</f>
        <v>332640</v>
      </c>
      <c r="U5" s="652">
        <f>VLOOKUP(U3,'Curve Analysis - Base Case'!$H$10:$N$250,7)</f>
        <v>327600</v>
      </c>
      <c r="V5" s="652">
        <f>VLOOKUP(V3,'Curve Analysis - Base Case'!$H$10:$N$250,7)</f>
        <v>327600</v>
      </c>
      <c r="W5" s="652">
        <f>VLOOKUP(W3,'Curve Analysis - Base Case'!$H$10:$N$250,7)</f>
        <v>332640</v>
      </c>
      <c r="X5" s="692">
        <f>SUM(C5:W5)</f>
        <v>6935040</v>
      </c>
      <c r="Z5" s="643">
        <f>SUM('Curve Analysis - Base Case'!K4:K250)</f>
        <v>6935040</v>
      </c>
    </row>
    <row r="6" spans="2:26">
      <c r="B6" s="651" t="s">
        <v>301</v>
      </c>
      <c r="C6" s="652">
        <f>VLOOKUP(C3,'Curve Analysis - Base Case'!$H$10:$N$250,6)</f>
        <v>323495.81806503196</v>
      </c>
      <c r="D6" s="652">
        <f>VLOOKUP(D3,'Curve Analysis - Base Case'!$H$10:$N$250,6)</f>
        <v>301575.64729594823</v>
      </c>
      <c r="E6" s="652">
        <f>VLOOKUP(E3,'Curve Analysis - Base Case'!$H$10:$N$250,6)</f>
        <v>276027.53834571555</v>
      </c>
      <c r="F6" s="652">
        <f>VLOOKUP(F3,'Curve Analysis - Base Case'!$H$10:$N$250,6)</f>
        <v>256586.11930595047</v>
      </c>
      <c r="G6" s="652">
        <f>VLOOKUP(G3,'Curve Analysis - Base Case'!$H$10:$N$250,6)</f>
        <v>241983.4153000685</v>
      </c>
      <c r="H6" s="652">
        <f>VLOOKUP(H3,'Curve Analysis - Base Case'!$H$10:$N$250,6)</f>
        <v>224578.23545155488</v>
      </c>
      <c r="I6" s="652">
        <f>VLOOKUP(I3,'Curve Analysis - Base Case'!$H$10:$N$250,6)</f>
        <v>205435.99897612439</v>
      </c>
      <c r="J6" s="652">
        <f>VLOOKUP(J3,'Curve Analysis - Base Case'!$H$10:$N$250,6)</f>
        <v>190796.49049120702</v>
      </c>
      <c r="K6" s="652">
        <f>VLOOKUP(K3,'Curve Analysis - Base Case'!$H$10:$N$250,6)</f>
        <v>179876.78305030492</v>
      </c>
      <c r="L6" s="652">
        <f>VLOOKUP(L3,'Curve Analysis - Base Case'!$H$10:$N$250,6)</f>
        <v>166958.4145393963</v>
      </c>
      <c r="M6" s="652">
        <f>VLOOKUP(M3,'Curve Analysis - Base Case'!$H$10:$N$250,6)</f>
        <v>152712.71760695541</v>
      </c>
      <c r="N6" s="652">
        <f>VLOOKUP(N3,'Curve Analysis - Base Case'!$H$10:$N$250,6)</f>
        <v>142083.81151252938</v>
      </c>
      <c r="O6" s="652">
        <f>VLOOKUP(O3,'Curve Analysis - Base Case'!$H$10:$N$250,6)</f>
        <v>134192.47427177613</v>
      </c>
      <c r="P6" s="652">
        <f>VLOOKUP(P3,'Curve Analysis - Base Case'!$H$10:$N$250,6)</f>
        <v>124835.93437396653</v>
      </c>
      <c r="Q6" s="652">
        <f>VLOOKUP(Q3,'Curve Analysis - Base Case'!$H$10:$N$250,6)</f>
        <v>114406.4024072965</v>
      </c>
      <c r="R6" s="652">
        <f>VLOOKUP(R3,'Curve Analysis - Base Case'!$H$10:$N$250,6)</f>
        <v>106493.54763688165</v>
      </c>
      <c r="S6" s="652">
        <f>VLOOKUP(S3,'Curve Analysis - Base Case'!$H$10:$N$250,6)</f>
        <v>100626.30508689827</v>
      </c>
      <c r="T6" s="652">
        <f>VLOOKUP(T3,'Curve Analysis - Base Case'!$H$10:$N$250,6)</f>
        <v>93654.276705426106</v>
      </c>
      <c r="U6" s="652">
        <f>VLOOKUP(U3,'Curve Analysis - Base Case'!$H$10:$N$250,6)</f>
        <v>85870.196334659733</v>
      </c>
      <c r="V6" s="652">
        <f>VLOOKUP(V3,'Curve Analysis - Base Case'!$H$10:$N$250,6)</f>
        <v>79968.514824180776</v>
      </c>
      <c r="W6" s="652">
        <f>VLOOKUP(W3,'Curve Analysis - Base Case'!$H$10:$N$250,6)</f>
        <v>75637.360051671872</v>
      </c>
      <c r="X6" s="692">
        <f>SUM(C6:W6)</f>
        <v>3577796.001633544</v>
      </c>
      <c r="Z6" s="680">
        <f>SUM('Curve Analysis - Base Case'!L4:L250)</f>
        <v>3577796.0016335445</v>
      </c>
    </row>
    <row r="7" spans="2:26">
      <c r="C7" s="652"/>
      <c r="D7" s="652"/>
      <c r="E7" s="652"/>
      <c r="F7" s="652"/>
      <c r="G7" s="652"/>
      <c r="H7" s="652"/>
      <c r="I7" s="652"/>
      <c r="J7" s="652"/>
      <c r="K7" s="652"/>
      <c r="L7" s="652"/>
      <c r="M7" s="652"/>
      <c r="N7" s="652"/>
      <c r="O7" s="652"/>
      <c r="P7" s="652"/>
      <c r="Q7" s="652"/>
      <c r="R7" s="652"/>
      <c r="S7" s="652"/>
      <c r="T7" s="652"/>
      <c r="U7" s="652"/>
      <c r="V7" s="652"/>
      <c r="W7" s="652"/>
      <c r="X7" s="692"/>
      <c r="Z7" s="712"/>
    </row>
    <row r="8" spans="2:26">
      <c r="B8" s="733" t="s">
        <v>315</v>
      </c>
      <c r="C8" s="695">
        <f>VLOOKUP(C3,'Company Volumes'!$E$25:$G$259,3)</f>
        <v>56714.648073042052</v>
      </c>
      <c r="D8" s="695">
        <f>VLOOKUP(D3,'Company Volumes'!$E$25:$G$259,3)</f>
        <v>176684.80041225834</v>
      </c>
      <c r="E8" s="695">
        <f>VLOOKUP(E3,'Company Volumes'!$E$25:$G$259,3)</f>
        <v>178861.10580267131</v>
      </c>
      <c r="F8" s="695">
        <f>VLOOKUP(F3,'Company Volumes'!$E$25:$G$259,3)</f>
        <v>171454.02963461442</v>
      </c>
      <c r="G8" s="695">
        <f>VLOOKUP(G3,'Company Volumes'!$E$25:$G$259,3)</f>
        <v>151406.62749623138</v>
      </c>
      <c r="H8" s="695">
        <f>VLOOKUP(H3,'Company Volumes'!$E$25:$G$259,3)</f>
        <v>133518.01643768855</v>
      </c>
      <c r="I8" s="695">
        <f>VLOOKUP(I3,'Company Volumes'!$E$25:$G$259,3)</f>
        <v>127949.14404426669</v>
      </c>
      <c r="J8" s="695">
        <f>VLOOKUP(J3,'Company Volumes'!$E$25:$G$259,3)</f>
        <v>121857.7709981099</v>
      </c>
      <c r="K8" s="695">
        <f>VLOOKUP(K3,'Company Volumes'!$E$25:$G$259,3)</f>
        <v>112277.10244509281</v>
      </c>
      <c r="L8" s="695">
        <f>VLOOKUP(L3,'Company Volumes'!$E$25:$G$259,3)</f>
        <v>102525.7470951539</v>
      </c>
      <c r="M8" s="695">
        <f>VLOOKUP(M3,'Company Volumes'!$E$25:$G$259,3)</f>
        <v>94449.176639030309</v>
      </c>
      <c r="N8" s="695">
        <f>VLOOKUP(N3,'Company Volumes'!$E$25:$G$259,3)</f>
        <v>86616.549121503369</v>
      </c>
      <c r="O8" s="695">
        <f>VLOOKUP(O3,'Company Volumes'!$E$25:$G$259,3)</f>
        <v>82892.727192966384</v>
      </c>
      <c r="P8" s="695">
        <f>VLOOKUP(P3,'Company Volumes'!$E$25:$G$259,3)</f>
        <v>75762.085738362061</v>
      </c>
      <c r="Q8" s="695">
        <f>VLOOKUP(Q3,'Company Volumes'!$E$25:$G$259,3)</f>
        <v>71358.136405154684</v>
      </c>
      <c r="R8" s="695">
        <f>VLOOKUP(R3,'Company Volumes'!$E$25:$G$259,3)</f>
        <v>64528.199054685087</v>
      </c>
      <c r="S8" s="695">
        <f>VLOOKUP(S3,'Company Volumes'!$E$25:$G$259,3)</f>
        <v>60601.786407216001</v>
      </c>
      <c r="T8" s="695">
        <f>VLOOKUP(T3,'Company Volumes'!$E$25:$G$259,3)</f>
        <v>56079.258375975791</v>
      </c>
      <c r="U8" s="695">
        <f>VLOOKUP(U3,'Company Volumes'!$E$25:$G$259,3)</f>
        <v>52318.80605219362</v>
      </c>
      <c r="V8" s="695">
        <f>VLOOKUP(V3,'Company Volumes'!$E$25:$G$259,3)</f>
        <v>47092.490019873956</v>
      </c>
      <c r="W8" s="695">
        <f>VLOOKUP(W3,'Company Volumes'!$E$25:$G$259,3)</f>
        <v>47092.490019873956</v>
      </c>
      <c r="X8" s="702">
        <f>SUM(C8:W8)</f>
        <v>2072040.6974659641</v>
      </c>
      <c r="Z8" s="712"/>
    </row>
    <row r="9" spans="2:26">
      <c r="X9" s="692"/>
      <c r="Z9" s="712"/>
    </row>
    <row r="10" spans="2:26">
      <c r="B10" s="651" t="s">
        <v>297</v>
      </c>
      <c r="C10" s="745">
        <f>VLOOKUP(C3,'Curve Analysis - Base Case'!$AD$4:$AH$250,5)</f>
        <v>83.934289640034024</v>
      </c>
      <c r="D10" s="745">
        <f>VLOOKUP(D3,'Curve Analysis - Base Case'!$AD$4:$AH$250,5)</f>
        <v>78.957813270487662</v>
      </c>
      <c r="E10" s="745">
        <f>VLOOKUP(E3,'Curve Analysis - Base Case'!$AD$4:$AH$250,5)</f>
        <v>77.987702658793822</v>
      </c>
      <c r="F10" s="745">
        <f>VLOOKUP(F3,'Curve Analysis - Base Case'!$AD$4:$AH$250,5)</f>
        <v>77.316656309406497</v>
      </c>
      <c r="G10" s="745">
        <f>VLOOKUP(G3,'Curve Analysis - Base Case'!$AD$4:$AH$250,5)</f>
        <v>77.113545293962133</v>
      </c>
      <c r="H10" s="745">
        <f>VLOOKUP(H3,'Curve Analysis - Base Case'!$AD$4:$AH$250,5)</f>
        <v>78.597429408314781</v>
      </c>
      <c r="I10" s="745">
        <f>VLOOKUP(I3,'Curve Analysis - Base Case'!$AD$4:$AH$250,5)</f>
        <v>81.004863885128472</v>
      </c>
      <c r="J10" s="745">
        <f>VLOOKUP(J3,'Curve Analysis - Base Case'!$AD$4:$AH$250,5)</f>
        <v>82.503516298410645</v>
      </c>
      <c r="K10" s="745">
        <f>VLOOKUP(K3,'Curve Analysis - Base Case'!$AD$4:$AH$250,5)</f>
        <v>83.856032505068043</v>
      </c>
      <c r="L10" s="745">
        <f>VLOOKUP(L3,'Curve Analysis - Base Case'!$AD$4:$AH$250,5)</f>
        <v>86.235833865491202</v>
      </c>
      <c r="M10" s="745">
        <f>VLOOKUP(M3,'Curve Analysis - Base Case'!$AD$4:$AH$250,5)</f>
        <v>88.767662374414783</v>
      </c>
      <c r="N10" s="745">
        <f>VLOOKUP(N3,'Curve Analysis - Base Case'!$AD$4:$AH$250,5)</f>
        <v>90.042117824484208</v>
      </c>
      <c r="O10" s="745">
        <f>VLOOKUP(O3,'Curve Analysis - Base Case'!$AD$4:$AH$250,5)</f>
        <v>91.181005428557896</v>
      </c>
      <c r="P10" s="745">
        <f>VLOOKUP(P3,'Curve Analysis - Base Case'!$AD$4:$AH$250,5)</f>
        <v>93.477051590760126</v>
      </c>
      <c r="Q10" s="745">
        <f>VLOOKUP(Q3,'Curve Analysis - Base Case'!$AD$4:$AH$250,5)</f>
        <v>95.910508979250849</v>
      </c>
      <c r="R10" s="745">
        <f>VLOOKUP(R3,'Curve Analysis - Base Case'!$AD$4:$AH$250,5)</f>
        <v>97.092498722012238</v>
      </c>
      <c r="S10" s="745">
        <f>VLOOKUP(S3,'Curve Analysis - Base Case'!$AD$4:$AH$250,5)</f>
        <v>98.169529713797544</v>
      </c>
      <c r="T10" s="745">
        <f>VLOOKUP(T3,'Curve Analysis - Base Case'!$AD$4:$AH$250,5)</f>
        <v>100.55670451805952</v>
      </c>
      <c r="U10" s="745">
        <f>VLOOKUP(U3,'Curve Analysis - Base Case'!$AD$4:$AH$250,5)</f>
        <v>103.05350463067079</v>
      </c>
      <c r="V10" s="745">
        <f>VLOOKUP(V3,'Curve Analysis - Base Case'!$AD$4:$AH$250,5)</f>
        <v>102.38052148972758</v>
      </c>
      <c r="W10" s="745">
        <f>VLOOKUP(W3,'Curve Analysis - Base Case'!$AD$4:$AH$250,5)</f>
        <v>101.6661023121585</v>
      </c>
      <c r="X10" s="692"/>
      <c r="Z10" s="712"/>
    </row>
    <row r="11" spans="2:26">
      <c r="B11" s="651" t="s">
        <v>298</v>
      </c>
      <c r="C11" s="746">
        <f>VLOOKUP(C3,'Curve Analysis - Base Case'!$AD$10:$AL$250,9)</f>
        <v>53.867542929442841</v>
      </c>
      <c r="D11" s="746">
        <f>VLOOKUP(D3,'Curve Analysis - Base Case'!$AD$10:$AL$250,9)</f>
        <v>47.681519886299121</v>
      </c>
      <c r="E11" s="746">
        <f>VLOOKUP(E3,'Curve Analysis - Base Case'!$AD$10:$AL$250,9)</f>
        <v>46.062343171723292</v>
      </c>
      <c r="F11" s="746">
        <f>VLOOKUP(F3,'Curve Analysis - Base Case'!$AD$10:$AL$250,9)</f>
        <v>45.027775387823439</v>
      </c>
      <c r="G11" s="746">
        <f>VLOOKUP(G3,'Curve Analysis - Base Case'!$AD$10:$AL$250,9)</f>
        <v>44.622645967374261</v>
      </c>
      <c r="H11" s="746">
        <f>VLOOKUP(H3,'Curve Analysis - Base Case'!$AD$10:$AL$250,9)</f>
        <v>44.565299115862665</v>
      </c>
      <c r="I11" s="746">
        <f>VLOOKUP(I3,'Curve Analysis - Base Case'!$AD$10:$AL$250,9)</f>
        <v>44.713620024113688</v>
      </c>
      <c r="J11" s="746">
        <f>VLOOKUP(J3,'Curve Analysis - Base Case'!$AD$10:$AL$250,9)</f>
        <v>45.062190518007206</v>
      </c>
      <c r="K11" s="746">
        <f>VLOOKUP(K3,'Curve Analysis - Base Case'!$AD$10:$AL$250,9)</f>
        <v>45.50632165156668</v>
      </c>
      <c r="L11" s="746">
        <f>VLOOKUP(L3,'Curve Analysis - Base Case'!$AD$10:$AL$250,9)</f>
        <v>45.595793873066896</v>
      </c>
      <c r="M11" s="746">
        <f>VLOOKUP(M3,'Curve Analysis - Base Case'!$AD$10:$AL$250,9)</f>
        <v>45.662740974786971</v>
      </c>
      <c r="N11" s="746">
        <f>VLOOKUP(N3,'Curve Analysis - Base Case'!$AD$10:$AL$250,9)</f>
        <v>45.712385566984395</v>
      </c>
      <c r="O11" s="746">
        <f>VLOOKUP(O3,'Curve Analysis - Base Case'!$AD$10:$AL$250,9)</f>
        <v>45.789092873436289</v>
      </c>
      <c r="P11" s="746">
        <f>VLOOKUP(P3,'Curve Analysis - Base Case'!$AD$10:$AL$250,9)</f>
        <v>45.886235751309002</v>
      </c>
      <c r="Q11" s="746">
        <f>VLOOKUP(Q3,'Curve Analysis - Base Case'!$AD$10:$AL$250,9)</f>
        <v>45.960941911768423</v>
      </c>
      <c r="R11" s="746">
        <f>VLOOKUP(R3,'Curve Analysis - Base Case'!$AD$10:$AL$250,9)</f>
        <v>46.018616475184203</v>
      </c>
      <c r="S11" s="746">
        <f>VLOOKUP(S3,'Curve Analysis - Base Case'!$AD$10:$AL$250,9)</f>
        <v>46.103592041008227</v>
      </c>
      <c r="T11" s="746">
        <f>VLOOKUP(T3,'Curve Analysis - Base Case'!$AD$10:$AL$250,9)</f>
        <v>46.20924768026893</v>
      </c>
      <c r="U11" s="746">
        <f>VLOOKUP(U3,'Curve Analysis - Base Case'!$AD$10:$AL$250,9)</f>
        <v>46.292674512582501</v>
      </c>
      <c r="V11" s="746">
        <f>VLOOKUP(V3,'Curve Analysis - Base Case'!$AD$10:$AL$250,9)</f>
        <v>46.359282049948874</v>
      </c>
      <c r="W11" s="746">
        <f>VLOOKUP(W3,'Curve Analysis - Base Case'!$AD$10:$AL$250,9)</f>
        <v>46.453520755484895</v>
      </c>
      <c r="X11" s="692"/>
      <c r="Z11" s="712"/>
    </row>
    <row r="12" spans="2:26">
      <c r="B12" s="653" t="s">
        <v>306</v>
      </c>
      <c r="C12" s="654">
        <f>C10-C11</f>
        <v>30.066746710591183</v>
      </c>
      <c r="D12" s="654">
        <f t="shared" ref="D12:W12" si="2">D10-D11</f>
        <v>31.276293384188541</v>
      </c>
      <c r="E12" s="654">
        <f t="shared" si="2"/>
        <v>31.92535948707053</v>
      </c>
      <c r="F12" s="654">
        <f t="shared" si="2"/>
        <v>32.288880921583058</v>
      </c>
      <c r="G12" s="654">
        <f t="shared" si="2"/>
        <v>32.490899326587872</v>
      </c>
      <c r="H12" s="654">
        <f t="shared" si="2"/>
        <v>34.032130292452116</v>
      </c>
      <c r="I12" s="654">
        <f t="shared" si="2"/>
        <v>36.291243861014784</v>
      </c>
      <c r="J12" s="654">
        <f t="shared" si="2"/>
        <v>37.441325780403439</v>
      </c>
      <c r="K12" s="654">
        <f t="shared" si="2"/>
        <v>38.349710853501364</v>
      </c>
      <c r="L12" s="654">
        <f t="shared" si="2"/>
        <v>40.640039992424306</v>
      </c>
      <c r="M12" s="654">
        <f t="shared" si="2"/>
        <v>43.104921399627813</v>
      </c>
      <c r="N12" s="654">
        <f t="shared" si="2"/>
        <v>44.329732257499813</v>
      </c>
      <c r="O12" s="654">
        <f t="shared" si="2"/>
        <v>45.391912555121607</v>
      </c>
      <c r="P12" s="654">
        <f t="shared" si="2"/>
        <v>47.590815839451125</v>
      </c>
      <c r="Q12" s="654">
        <f t="shared" si="2"/>
        <v>49.949567067482427</v>
      </c>
      <c r="R12" s="654">
        <f t="shared" si="2"/>
        <v>51.073882246828035</v>
      </c>
      <c r="S12" s="654">
        <f t="shared" si="2"/>
        <v>52.065937672789318</v>
      </c>
      <c r="T12" s="654">
        <f t="shared" si="2"/>
        <v>54.347456837790588</v>
      </c>
      <c r="U12" s="654">
        <f t="shared" si="2"/>
        <v>56.760830118088286</v>
      </c>
      <c r="V12" s="654">
        <f t="shared" si="2"/>
        <v>56.021239439778711</v>
      </c>
      <c r="W12" s="654">
        <f t="shared" si="2"/>
        <v>55.212581556673605</v>
      </c>
      <c r="X12" s="710"/>
      <c r="Z12" s="710"/>
    </row>
    <row r="13" spans="2:26">
      <c r="B13" s="653"/>
      <c r="C13" s="682"/>
      <c r="D13" s="682"/>
      <c r="E13" s="682"/>
      <c r="F13" s="682"/>
      <c r="G13" s="682"/>
      <c r="H13" s="682"/>
      <c r="I13" s="682"/>
      <c r="J13" s="682"/>
      <c r="K13" s="682"/>
      <c r="L13" s="682"/>
      <c r="M13" s="682"/>
      <c r="N13" s="682"/>
      <c r="O13" s="682"/>
      <c r="P13" s="682"/>
      <c r="Q13" s="682"/>
      <c r="R13" s="682"/>
      <c r="S13" s="682"/>
      <c r="T13" s="682"/>
      <c r="U13" s="682"/>
      <c r="V13" s="682"/>
      <c r="W13" s="682"/>
      <c r="X13" s="710"/>
      <c r="Z13" s="710"/>
    </row>
    <row r="14" spans="2:26">
      <c r="B14" s="645" t="s">
        <v>316</v>
      </c>
      <c r="C14" s="713"/>
      <c r="D14" s="713"/>
      <c r="E14" s="713"/>
      <c r="F14" s="713"/>
      <c r="G14" s="713"/>
      <c r="H14" s="713"/>
      <c r="I14" s="713"/>
      <c r="J14" s="713"/>
      <c r="K14" s="713"/>
      <c r="L14" s="713"/>
      <c r="M14" s="713"/>
      <c r="N14" s="713"/>
      <c r="O14" s="713"/>
      <c r="P14" s="713"/>
      <c r="Q14" s="713"/>
      <c r="R14" s="713"/>
      <c r="S14" s="713"/>
      <c r="T14" s="713"/>
      <c r="U14" s="713"/>
      <c r="V14" s="713"/>
      <c r="W14" s="714"/>
      <c r="X14" s="667"/>
      <c r="Z14" s="667"/>
    </row>
    <row r="15" spans="2:26">
      <c r="B15" s="644" t="s">
        <v>297</v>
      </c>
      <c r="C15" s="715">
        <f>VLOOKUP(C3,'Company Volumes'!$E$31:$J$259,6)</f>
        <v>151.56877064421275</v>
      </c>
      <c r="D15" s="715">
        <f>VLOOKUP(D3,'Company Volumes'!$E$31:$J$259,6)</f>
        <v>121.3606589976051</v>
      </c>
      <c r="E15" s="715">
        <f>VLOOKUP(E3,'Company Volumes'!$E$31:$J$259,6)</f>
        <v>108.5481724629323</v>
      </c>
      <c r="F15" s="715">
        <f>VLOOKUP(F3,'Company Volumes'!$E$31:$J$259,6)</f>
        <v>106.43373360025389</v>
      </c>
      <c r="G15" s="715">
        <f>VLOOKUP(G3,'Company Volumes'!$E$31:$J$259,6)</f>
        <v>109.34961464150611</v>
      </c>
      <c r="H15" s="715">
        <f>VLOOKUP(H3,'Company Volumes'!$E$31:$J$259,6)</f>
        <v>94.95662044346129</v>
      </c>
      <c r="I15" s="715">
        <f>VLOOKUP(I3,'Company Volumes'!$E$31:$J$259,6)</f>
        <v>105.08030945498625</v>
      </c>
      <c r="J15" s="715">
        <f>VLOOKUP(J3,'Company Volumes'!$E$31:$J$259,6)</f>
        <v>115.21469897020275</v>
      </c>
      <c r="K15" s="715">
        <f>VLOOKUP(K3,'Company Volumes'!$E$31:$J$259,6)</f>
        <v>114.47151164996444</v>
      </c>
      <c r="L15" s="715">
        <f>VLOOKUP(L3,'Company Volumes'!$E$31:$J$259,6)</f>
        <v>110.84423940455868</v>
      </c>
      <c r="M15" s="715">
        <f>VLOOKUP(M3,'Company Volumes'!$E$31:$J$259,6)</f>
        <v>110.98680337471373</v>
      </c>
      <c r="N15" s="715">
        <f>VLOOKUP(N3,'Company Volumes'!$E$31:$J$259,6)</f>
        <v>107.66854768474001</v>
      </c>
      <c r="O15" s="715">
        <f>VLOOKUP(O3,'Company Volumes'!$E$31:$J$259,6)</f>
        <v>104.34052338581611</v>
      </c>
      <c r="P15" s="715">
        <f>VLOOKUP(P3,'Company Volumes'!$E$31:$J$259,6)</f>
        <v>99.06549392682399</v>
      </c>
      <c r="Q15" s="715">
        <f>VLOOKUP(Q3,'Company Volumes'!$E$31:$J$259,6)</f>
        <v>104.80057750174171</v>
      </c>
      <c r="R15" s="715">
        <f>VLOOKUP(R3,'Company Volumes'!$E$31:$J$259,6)</f>
        <v>113.84013957981252</v>
      </c>
      <c r="S15" s="715">
        <f>VLOOKUP(S3,'Company Volumes'!$E$31:$J$259,6)</f>
        <v>118.93629499566842</v>
      </c>
      <c r="T15" s="715">
        <f>VLOOKUP(T3,'Company Volumes'!$E$31:$J$259,6)</f>
        <v>118.54595276315607</v>
      </c>
      <c r="U15" s="715">
        <f>VLOOKUP(U3,'Company Volumes'!$E$31:$J$259,6)</f>
        <v>119.54965320234889</v>
      </c>
      <c r="V15" s="715">
        <f>VLOOKUP(V3,'Company Volumes'!$E$31:$J$259,6)</f>
        <v>109.73518945863431</v>
      </c>
      <c r="W15" s="716" t="s">
        <v>252</v>
      </c>
      <c r="X15" s="692"/>
      <c r="Z15" s="692"/>
    </row>
    <row r="16" spans="2:26">
      <c r="B16" s="644" t="s">
        <v>298</v>
      </c>
      <c r="C16" s="717">
        <f>VLOOKUP(C3,'Company Volumes'!$E$31:$L$259,8)</f>
        <v>59.778717279846234</v>
      </c>
      <c r="D16" s="717">
        <f>VLOOKUP(D3,'Company Volumes'!$E$31:$L$259,8)</f>
        <v>56.350013232194307</v>
      </c>
      <c r="E16" s="717">
        <f>VLOOKUP(E3,'Company Volumes'!$E$31:$L$259,8)</f>
        <v>56.955792766653921</v>
      </c>
      <c r="F16" s="717">
        <f>VLOOKUP(F3,'Company Volumes'!$E$31:$L$259,8)</f>
        <v>57.503142310855424</v>
      </c>
      <c r="G16" s="717">
        <f>VLOOKUP(G3,'Company Volumes'!$E$31:$L$259,8)</f>
        <v>58.062034174328502</v>
      </c>
      <c r="H16" s="717">
        <f>VLOOKUP(H3,'Company Volumes'!$E$31:$L$259,8)</f>
        <v>58.642676229712606</v>
      </c>
      <c r="I16" s="717">
        <f>VLOOKUP(I3,'Company Volumes'!$E$31:$L$259,8)</f>
        <v>59.238303026830252</v>
      </c>
      <c r="J16" s="717">
        <f>VLOOKUP(J3,'Company Volumes'!$E$31:$L$259,8)</f>
        <v>59.85308151634456</v>
      </c>
      <c r="K16" s="717">
        <f>VLOOKUP(K3,'Company Volumes'!$E$31:$L$259,8)</f>
        <v>60.491867854036514</v>
      </c>
      <c r="L16" s="717">
        <f>VLOOKUP(L3,'Company Volumes'!$E$31:$L$259,8)</f>
        <v>61.140713037723195</v>
      </c>
      <c r="M16" s="717">
        <f>VLOOKUP(M3,'Company Volumes'!$E$31:$L$259,8)</f>
        <v>61.807406524120793</v>
      </c>
      <c r="N16" s="717">
        <f>VLOOKUP(N3,'Company Volumes'!$E$31:$L$259,8)</f>
        <v>62.489523629170172</v>
      </c>
      <c r="O16" s="717">
        <f>VLOOKUP(O3,'Company Volumes'!$E$31:$L$259,8)</f>
        <v>63.187507127667537</v>
      </c>
      <c r="P16" s="717">
        <f>VLOOKUP(P3,'Company Volumes'!$E$31:$L$259,8)</f>
        <v>63.913436461358252</v>
      </c>
      <c r="Q16" s="717">
        <f>VLOOKUP(Q3,'Company Volumes'!$E$31:$L$259,8)</f>
        <v>64.657675293642498</v>
      </c>
      <c r="R16" s="717">
        <f>VLOOKUP(R3,'Company Volumes'!$E$31:$L$259,8)</f>
        <v>66.390785037767884</v>
      </c>
      <c r="S16" s="717">
        <f>VLOOKUP(S3,'Company Volumes'!$E$31:$L$259,8)</f>
        <v>67.171966355848539</v>
      </c>
      <c r="T16" s="717">
        <f>VLOOKUP(T3,'Company Volumes'!$E$31:$L$259,8)</f>
        <v>67.972754253055768</v>
      </c>
      <c r="U16" s="717">
        <f>VLOOKUP(U3,'Company Volumes'!$E$31:$L$259,8)</f>
        <v>68.796990824732518</v>
      </c>
      <c r="V16" s="717">
        <f>VLOOKUP(V3,'Company Volumes'!$E$31:$L$259,8)</f>
        <v>69.647912784404781</v>
      </c>
      <c r="W16" s="718" t="s">
        <v>252</v>
      </c>
      <c r="X16" s="692"/>
      <c r="Z16" s="692"/>
    </row>
    <row r="17" spans="2:26">
      <c r="B17" s="719" t="s">
        <v>306</v>
      </c>
      <c r="C17" s="720">
        <f>C15-C16</f>
        <v>91.790053364366514</v>
      </c>
      <c r="D17" s="720">
        <f t="shared" ref="D17:V17" si="3">D15-D16</f>
        <v>65.0106457654108</v>
      </c>
      <c r="E17" s="720">
        <f t="shared" si="3"/>
        <v>51.592379696278378</v>
      </c>
      <c r="F17" s="720">
        <f t="shared" si="3"/>
        <v>48.930591289398464</v>
      </c>
      <c r="G17" s="720">
        <f t="shared" si="3"/>
        <v>51.287580467177605</v>
      </c>
      <c r="H17" s="720">
        <f t="shared" si="3"/>
        <v>36.313944213748684</v>
      </c>
      <c r="I17" s="720">
        <f t="shared" si="3"/>
        <v>45.842006428155997</v>
      </c>
      <c r="J17" s="720">
        <f t="shared" si="3"/>
        <v>55.361617453858187</v>
      </c>
      <c r="K17" s="720">
        <f t="shared" si="3"/>
        <v>53.979643795927927</v>
      </c>
      <c r="L17" s="720">
        <f t="shared" si="3"/>
        <v>49.703526366835483</v>
      </c>
      <c r="M17" s="720">
        <f t="shared" si="3"/>
        <v>49.179396850592937</v>
      </c>
      <c r="N17" s="720">
        <f t="shared" si="3"/>
        <v>45.179024055569833</v>
      </c>
      <c r="O17" s="720">
        <f t="shared" si="3"/>
        <v>41.153016258148575</v>
      </c>
      <c r="P17" s="720">
        <f t="shared" si="3"/>
        <v>35.152057465465738</v>
      </c>
      <c r="Q17" s="720">
        <f t="shared" si="3"/>
        <v>40.142902208099215</v>
      </c>
      <c r="R17" s="720">
        <f t="shared" si="3"/>
        <v>47.449354542044631</v>
      </c>
      <c r="S17" s="720">
        <f t="shared" si="3"/>
        <v>51.76432863981988</v>
      </c>
      <c r="T17" s="720">
        <f t="shared" si="3"/>
        <v>50.573198510100298</v>
      </c>
      <c r="U17" s="720">
        <f t="shared" si="3"/>
        <v>50.752662377616375</v>
      </c>
      <c r="V17" s="720">
        <f t="shared" si="3"/>
        <v>40.087276674229528</v>
      </c>
      <c r="W17" s="718" t="s">
        <v>252</v>
      </c>
      <c r="X17" s="692"/>
      <c r="Z17" s="692"/>
    </row>
    <row r="18" spans="2:26" ht="14.4" thickBot="1">
      <c r="B18" s="693"/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707"/>
    </row>
    <row r="19" spans="2:26" ht="14.4" thickBot="1"/>
    <row r="20" spans="2:26" ht="14.4" thickBot="1">
      <c r="B20" s="648" t="s">
        <v>148</v>
      </c>
      <c r="C20" s="649">
        <v>36891</v>
      </c>
      <c r="D20" s="649">
        <f>C20+365.25</f>
        <v>37256.25</v>
      </c>
      <c r="E20" s="649">
        <f t="shared" ref="E20:W20" si="4">D20+365.25</f>
        <v>37621.5</v>
      </c>
      <c r="F20" s="649">
        <f t="shared" si="4"/>
        <v>37986.75</v>
      </c>
      <c r="G20" s="649">
        <f t="shared" si="4"/>
        <v>38352</v>
      </c>
      <c r="H20" s="649">
        <f t="shared" si="4"/>
        <v>38717.25</v>
      </c>
      <c r="I20" s="649">
        <f t="shared" si="4"/>
        <v>39082.5</v>
      </c>
      <c r="J20" s="649">
        <f t="shared" si="4"/>
        <v>39447.75</v>
      </c>
      <c r="K20" s="649">
        <f t="shared" si="4"/>
        <v>39813</v>
      </c>
      <c r="L20" s="649">
        <f t="shared" si="4"/>
        <v>40178.25</v>
      </c>
      <c r="M20" s="649">
        <f t="shared" si="4"/>
        <v>40543.5</v>
      </c>
      <c r="N20" s="649">
        <f t="shared" si="4"/>
        <v>40908.75</v>
      </c>
      <c r="O20" s="649">
        <f t="shared" si="4"/>
        <v>41274</v>
      </c>
      <c r="P20" s="649">
        <f t="shared" si="4"/>
        <v>41639.25</v>
      </c>
      <c r="Q20" s="649">
        <f t="shared" si="4"/>
        <v>42004.5</v>
      </c>
      <c r="R20" s="649">
        <f t="shared" si="4"/>
        <v>42369.75</v>
      </c>
      <c r="S20" s="649">
        <f t="shared" si="4"/>
        <v>42735</v>
      </c>
      <c r="T20" s="649">
        <f t="shared" si="4"/>
        <v>43100.25</v>
      </c>
      <c r="U20" s="649">
        <f t="shared" si="4"/>
        <v>43465.5</v>
      </c>
      <c r="V20" s="649">
        <f t="shared" si="4"/>
        <v>43830.75</v>
      </c>
      <c r="W20" s="650">
        <f t="shared" si="4"/>
        <v>44196</v>
      </c>
      <c r="X20" s="672" t="s">
        <v>196</v>
      </c>
    </row>
    <row r="21" spans="2:26">
      <c r="B21" s="652" t="s">
        <v>120</v>
      </c>
      <c r="C21" s="652">
        <v>0</v>
      </c>
      <c r="D21" s="652">
        <v>0</v>
      </c>
      <c r="E21" s="652">
        <v>0</v>
      </c>
      <c r="F21" s="652">
        <v>0</v>
      </c>
      <c r="G21" s="652">
        <v>0</v>
      </c>
      <c r="H21" s="652">
        <v>0</v>
      </c>
      <c r="I21" s="652">
        <v>0</v>
      </c>
      <c r="J21" s="652">
        <v>0</v>
      </c>
      <c r="K21" s="652">
        <v>0</v>
      </c>
      <c r="L21" s="652">
        <v>0</v>
      </c>
      <c r="M21" s="652">
        <v>0</v>
      </c>
      <c r="N21" s="652">
        <v>0</v>
      </c>
      <c r="O21" s="652">
        <v>0</v>
      </c>
      <c r="P21" s="652">
        <v>0</v>
      </c>
      <c r="Q21" s="652">
        <v>0</v>
      </c>
      <c r="R21" s="652">
        <v>0</v>
      </c>
      <c r="S21" s="652">
        <v>0</v>
      </c>
      <c r="T21" s="652">
        <v>0</v>
      </c>
      <c r="U21" s="652">
        <v>0</v>
      </c>
      <c r="V21" s="652">
        <v>0</v>
      </c>
      <c r="W21" s="658">
        <v>0</v>
      </c>
      <c r="X21" s="657">
        <f>SUM(C21:W21)</f>
        <v>0</v>
      </c>
    </row>
    <row r="22" spans="2:26">
      <c r="B22" s="652" t="s">
        <v>121</v>
      </c>
      <c r="C22" s="659">
        <v>0</v>
      </c>
      <c r="D22" s="652">
        <v>0</v>
      </c>
      <c r="E22" s="652">
        <v>0</v>
      </c>
      <c r="F22" s="652">
        <v>0</v>
      </c>
      <c r="G22" s="652">
        <v>0</v>
      </c>
      <c r="H22" s="652">
        <v>0</v>
      </c>
      <c r="I22" s="652">
        <v>0</v>
      </c>
      <c r="J22" s="652">
        <v>0</v>
      </c>
      <c r="K22" s="652">
        <v>0</v>
      </c>
      <c r="L22" s="652">
        <v>0</v>
      </c>
      <c r="M22" s="652">
        <v>0</v>
      </c>
      <c r="N22" s="652">
        <v>0</v>
      </c>
      <c r="O22" s="652">
        <v>0</v>
      </c>
      <c r="P22" s="652">
        <v>0</v>
      </c>
      <c r="Q22" s="652">
        <v>0</v>
      </c>
      <c r="R22" s="652">
        <v>0</v>
      </c>
      <c r="S22" s="652">
        <v>0</v>
      </c>
      <c r="T22" s="652">
        <v>0</v>
      </c>
      <c r="U22" s="652">
        <v>0</v>
      </c>
      <c r="V22" s="652">
        <v>0</v>
      </c>
      <c r="W22" s="658">
        <v>0</v>
      </c>
      <c r="X22" s="657">
        <f>SUM(C22:W22)</f>
        <v>0</v>
      </c>
    </row>
    <row r="23" spans="2:26">
      <c r="B23" s="652" t="s">
        <v>113</v>
      </c>
      <c r="C23" s="660">
        <f>'Financial Statements'!C11</f>
        <v>27939996.084594727</v>
      </c>
      <c r="D23" s="660">
        <f>'Financial Statements'!D11</f>
        <v>26282843.146362305</v>
      </c>
      <c r="E23" s="660">
        <f>'Financial Statements'!E11</f>
        <v>25565399.154052734</v>
      </c>
      <c r="F23" s="660">
        <f>'Financial Statements'!F11</f>
        <v>25345655.161743164</v>
      </c>
      <c r="G23" s="660">
        <f>'Financial Statements'!G11</f>
        <v>25668719.154052734</v>
      </c>
      <c r="H23" s="660">
        <f>'Financial Statements'!H11</f>
        <v>26161883.146362305</v>
      </c>
      <c r="I23" s="660">
        <f>'Financial Statements'!I11</f>
        <v>26554499.154052734</v>
      </c>
      <c r="J23" s="660">
        <f>'Financial Statements'!J11</f>
        <v>27046655.161743164</v>
      </c>
      <c r="K23" s="660">
        <f>'Financial Statements'!K11</f>
        <v>27914039.154052734</v>
      </c>
      <c r="L23" s="660">
        <f>'Financial Statements'!L11</f>
        <v>28705823.146362305</v>
      </c>
      <c r="M23" s="660">
        <f>'Financial Statements'!M11</f>
        <v>29099699.154052734</v>
      </c>
      <c r="N23" s="660">
        <f>'Financial Statements'!N11</f>
        <v>29518775.161743164</v>
      </c>
      <c r="O23" s="660">
        <f>'Financial Statements'!O11</f>
        <v>30353399.154052734</v>
      </c>
      <c r="P23" s="660">
        <f>'Financial Statements'!P11</f>
        <v>31117463.146362305</v>
      </c>
      <c r="Q23" s="660">
        <f>'Financial Statements'!Q11</f>
        <v>31443299.154052734</v>
      </c>
      <c r="R23" s="660">
        <f>'Financial Statements'!R11</f>
        <v>31832135.161743164</v>
      </c>
      <c r="S23" s="660">
        <f>'Financial Statements'!S11</f>
        <v>32681879.154052734</v>
      </c>
      <c r="T23" s="660">
        <f>'Financial Statements'!T11</f>
        <v>33476183.146362305</v>
      </c>
      <c r="U23" s="660">
        <f>'Financial Statements'!U11</f>
        <v>33786899.154052734</v>
      </c>
      <c r="V23" s="660">
        <f>'Financial Statements'!V11</f>
        <v>33567155.161743164</v>
      </c>
      <c r="W23" s="660">
        <f>'Financial Statements'!W11</f>
        <v>33846119.154052734</v>
      </c>
      <c r="X23" s="669">
        <f>SUM(C23:W23)</f>
        <v>617908519.16564941</v>
      </c>
    </row>
    <row r="24" spans="2:26">
      <c r="B24" s="661" t="s">
        <v>122</v>
      </c>
      <c r="C24" s="652">
        <f>SUM(C21:C23)</f>
        <v>27939996.084594727</v>
      </c>
      <c r="D24" s="652">
        <f t="shared" ref="D24:W24" si="5">SUM(D21:D23)</f>
        <v>26282843.146362305</v>
      </c>
      <c r="E24" s="652">
        <f t="shared" si="5"/>
        <v>25565399.154052734</v>
      </c>
      <c r="F24" s="652">
        <f t="shared" si="5"/>
        <v>25345655.161743164</v>
      </c>
      <c r="G24" s="652">
        <f t="shared" si="5"/>
        <v>25668719.154052734</v>
      </c>
      <c r="H24" s="652">
        <f t="shared" si="5"/>
        <v>26161883.146362305</v>
      </c>
      <c r="I24" s="652">
        <f t="shared" si="5"/>
        <v>26554499.154052734</v>
      </c>
      <c r="J24" s="652">
        <f t="shared" si="5"/>
        <v>27046655.161743164</v>
      </c>
      <c r="K24" s="652">
        <f t="shared" si="5"/>
        <v>27914039.154052734</v>
      </c>
      <c r="L24" s="652">
        <f t="shared" si="5"/>
        <v>28705823.146362305</v>
      </c>
      <c r="M24" s="652">
        <f t="shared" si="5"/>
        <v>29099699.154052734</v>
      </c>
      <c r="N24" s="652">
        <f t="shared" si="5"/>
        <v>29518775.161743164</v>
      </c>
      <c r="O24" s="652">
        <f t="shared" si="5"/>
        <v>30353399.154052734</v>
      </c>
      <c r="P24" s="652">
        <f t="shared" si="5"/>
        <v>31117463.146362305</v>
      </c>
      <c r="Q24" s="652">
        <f t="shared" si="5"/>
        <v>31443299.154052734</v>
      </c>
      <c r="R24" s="652">
        <f t="shared" si="5"/>
        <v>31832135.161743164</v>
      </c>
      <c r="S24" s="652">
        <f t="shared" si="5"/>
        <v>32681879.154052734</v>
      </c>
      <c r="T24" s="652">
        <f t="shared" si="5"/>
        <v>33476183.146362305</v>
      </c>
      <c r="U24" s="652">
        <f t="shared" si="5"/>
        <v>33786899.154052734</v>
      </c>
      <c r="V24" s="652">
        <f t="shared" si="5"/>
        <v>33567155.161743164</v>
      </c>
      <c r="W24" s="658">
        <f t="shared" si="5"/>
        <v>33846119.154052734</v>
      </c>
      <c r="X24" s="657">
        <f>SUM(C24:W24)</f>
        <v>617908519.16564941</v>
      </c>
    </row>
    <row r="25" spans="2:26">
      <c r="B25" s="661"/>
      <c r="C25" s="652"/>
      <c r="D25" s="652"/>
      <c r="E25" s="652"/>
      <c r="F25" s="652"/>
      <c r="G25" s="652"/>
      <c r="H25" s="652"/>
      <c r="I25" s="652"/>
      <c r="J25" s="652"/>
      <c r="K25" s="652"/>
      <c r="L25" s="652"/>
      <c r="M25" s="652"/>
      <c r="N25" s="652"/>
      <c r="O25" s="652"/>
      <c r="P25" s="652"/>
      <c r="Q25" s="652"/>
      <c r="R25" s="652"/>
      <c r="S25" s="652"/>
      <c r="T25" s="652"/>
      <c r="U25" s="652"/>
      <c r="V25" s="652"/>
      <c r="W25" s="658"/>
      <c r="X25" s="657"/>
    </row>
    <row r="26" spans="2:26">
      <c r="B26" s="645" t="s">
        <v>316</v>
      </c>
      <c r="C26" s="698"/>
      <c r="D26" s="698"/>
      <c r="E26" s="698"/>
      <c r="F26" s="698"/>
      <c r="G26" s="698"/>
      <c r="H26" s="698"/>
      <c r="I26" s="698"/>
      <c r="J26" s="698"/>
      <c r="K26" s="698"/>
      <c r="L26" s="698"/>
      <c r="M26" s="698"/>
      <c r="N26" s="698"/>
      <c r="O26" s="698"/>
      <c r="P26" s="698"/>
      <c r="Q26" s="698"/>
      <c r="R26" s="698"/>
      <c r="S26" s="698"/>
      <c r="T26" s="698"/>
      <c r="U26" s="698"/>
      <c r="V26" s="698"/>
      <c r="W26" s="698"/>
      <c r="X26" s="697"/>
    </row>
    <row r="27" spans="2:26">
      <c r="B27" s="679" t="s">
        <v>120</v>
      </c>
      <c r="C27" s="721">
        <v>2670601.9857724998</v>
      </c>
      <c r="D27" s="721">
        <v>8535146.0549557973</v>
      </c>
      <c r="E27" s="721">
        <v>8634523.0131309405</v>
      </c>
      <c r="F27" s="721">
        <v>8843451.1175181381</v>
      </c>
      <c r="G27" s="721">
        <v>9040633.3562818374</v>
      </c>
      <c r="H27" s="721">
        <v>6618257.7418592675</v>
      </c>
      <c r="I27" s="721">
        <v>8589734.4052949212</v>
      </c>
      <c r="J27" s="721">
        <v>10759145.310641589</v>
      </c>
      <c r="K27" s="721">
        <v>11016859.465760257</v>
      </c>
      <c r="L27" s="721">
        <v>10402806.145686297</v>
      </c>
      <c r="M27" s="721">
        <v>10613950.496424511</v>
      </c>
      <c r="N27" s="721">
        <v>10065807.689282617</v>
      </c>
      <c r="O27" s="721">
        <v>9828184.2643041965</v>
      </c>
      <c r="P27" s="721">
        <v>9002023.9312495086</v>
      </c>
      <c r="Q27" s="721">
        <v>10633654.779665956</v>
      </c>
      <c r="R27" s="721">
        <v>12213685.674306912</v>
      </c>
      <c r="S27" s="721">
        <v>13797396.491410732</v>
      </c>
      <c r="T27" s="721">
        <v>13904796.814559998</v>
      </c>
      <c r="U27" s="721">
        <v>14388474.60655525</v>
      </c>
      <c r="V27" s="721">
        <v>12153671.265220352</v>
      </c>
      <c r="W27" s="701">
        <v>0</v>
      </c>
      <c r="X27" s="689">
        <f>SUM(C27:V27)</f>
        <v>201712804.60988155</v>
      </c>
    </row>
    <row r="28" spans="2:26">
      <c r="B28" s="679" t="s">
        <v>121</v>
      </c>
      <c r="C28" s="721">
        <v>3028465.4863221939</v>
      </c>
      <c r="D28" s="721">
        <v>7912749.9637431866</v>
      </c>
      <c r="E28" s="721">
        <v>7655439.4924636753</v>
      </c>
      <c r="F28" s="721">
        <v>8061419.8831599467</v>
      </c>
      <c r="G28" s="721">
        <v>8083526.7174767153</v>
      </c>
      <c r="H28" s="721">
        <v>5828136.6763630332</v>
      </c>
      <c r="I28" s="721">
        <v>7637917.4252096368</v>
      </c>
      <c r="J28" s="721">
        <v>9845357.0906857774</v>
      </c>
      <c r="K28" s="721">
        <v>9955023.1008411087</v>
      </c>
      <c r="L28" s="721">
        <v>9220619.8012628779</v>
      </c>
      <c r="M28" s="721">
        <v>9354987.5191446133</v>
      </c>
      <c r="N28" s="721">
        <v>8831379.7809957508</v>
      </c>
      <c r="O28" s="721">
        <v>8892446.6391200684</v>
      </c>
      <c r="P28" s="721">
        <v>8043923.0909434361</v>
      </c>
      <c r="Q28" s="721">
        <v>9481760.1106008124</v>
      </c>
      <c r="R28" s="721">
        <v>11224822.459980583</v>
      </c>
      <c r="S28" s="721">
        <v>12855472.668114625</v>
      </c>
      <c r="T28" s="721">
        <v>13011623.076007696</v>
      </c>
      <c r="U28" s="721">
        <v>13549976.479515202</v>
      </c>
      <c r="V28" s="721">
        <v>11043297.311110463</v>
      </c>
      <c r="W28" s="701">
        <v>0</v>
      </c>
      <c r="X28" s="689">
        <f>SUM(C28:V28)</f>
        <v>183518344.77306139</v>
      </c>
    </row>
    <row r="29" spans="2:26">
      <c r="B29" s="679" t="s">
        <v>113</v>
      </c>
      <c r="C29" s="699">
        <v>9096988.5575593561</v>
      </c>
      <c r="D29" s="699">
        <v>24969329.618222043</v>
      </c>
      <c r="E29" s="699">
        <v>24953239.630039927</v>
      </c>
      <c r="F29" s="699">
        <v>25916861.991501626</v>
      </c>
      <c r="G29" s="699">
        <v>26004163.136320435</v>
      </c>
      <c r="H29" s="699">
        <v>22029730.420557812</v>
      </c>
      <c r="I29" s="699">
        <v>25832444.698313031</v>
      </c>
      <c r="J29" s="699">
        <v>29838485.490151189</v>
      </c>
      <c r="K29" s="699">
        <v>30212118.52612678</v>
      </c>
      <c r="L29" s="699">
        <v>29552425.024262607</v>
      </c>
      <c r="M29" s="699">
        <v>30145191.414116237</v>
      </c>
      <c r="N29" s="699">
        <v>29608482.059286162</v>
      </c>
      <c r="O29" s="699">
        <v>30318421.751258112</v>
      </c>
      <c r="P29" s="699">
        <v>29037647.071435194</v>
      </c>
      <c r="Q29" s="699">
        <v>31932069.32012919</v>
      </c>
      <c r="R29" s="699">
        <v>34619491.899677724</v>
      </c>
      <c r="S29" s="699">
        <v>37491533.048382491</v>
      </c>
      <c r="T29" s="699">
        <v>38148972.588033848</v>
      </c>
      <c r="U29" s="699">
        <v>39594909.535552166</v>
      </c>
      <c r="V29" s="699">
        <v>36082035.749385938</v>
      </c>
      <c r="W29" s="699">
        <v>0</v>
      </c>
      <c r="X29" s="689">
        <f>SUM(C29:V29)</f>
        <v>585384541.53031206</v>
      </c>
    </row>
    <row r="30" spans="2:26">
      <c r="B30" s="703" t="s">
        <v>122</v>
      </c>
      <c r="C30" s="699">
        <f>SUM(C27:C29)</f>
        <v>14796056.02965405</v>
      </c>
      <c r="D30" s="699">
        <f t="shared" ref="D30:U30" si="6">SUM(D27:D29)</f>
        <v>41417225.636921026</v>
      </c>
      <c r="E30" s="699">
        <f t="shared" si="6"/>
        <v>41243202.135634542</v>
      </c>
      <c r="F30" s="699">
        <f t="shared" si="6"/>
        <v>42821732.992179707</v>
      </c>
      <c r="G30" s="699">
        <f t="shared" si="6"/>
        <v>43128323.210078984</v>
      </c>
      <c r="H30" s="699">
        <f t="shared" si="6"/>
        <v>34476124.838780113</v>
      </c>
      <c r="I30" s="699">
        <f t="shared" si="6"/>
        <v>42060096.528817594</v>
      </c>
      <c r="J30" s="699">
        <f t="shared" si="6"/>
        <v>50442987.891478553</v>
      </c>
      <c r="K30" s="699">
        <f t="shared" si="6"/>
        <v>51184001.092728145</v>
      </c>
      <c r="L30" s="699">
        <f t="shared" si="6"/>
        <v>49175850.971211784</v>
      </c>
      <c r="M30" s="699">
        <f t="shared" si="6"/>
        <v>50114129.429685362</v>
      </c>
      <c r="N30" s="699">
        <f t="shared" si="6"/>
        <v>48505669.52956453</v>
      </c>
      <c r="O30" s="699">
        <f t="shared" si="6"/>
        <v>49039052.654682375</v>
      </c>
      <c r="P30" s="699">
        <f t="shared" si="6"/>
        <v>46083594.093628138</v>
      </c>
      <c r="Q30" s="699">
        <f t="shared" si="6"/>
        <v>52047484.210395962</v>
      </c>
      <c r="R30" s="699">
        <f t="shared" si="6"/>
        <v>58058000.033965215</v>
      </c>
      <c r="S30" s="699">
        <f t="shared" si="6"/>
        <v>64144402.207907848</v>
      </c>
      <c r="T30" s="699">
        <f t="shared" si="6"/>
        <v>65065392.478601545</v>
      </c>
      <c r="U30" s="699">
        <f t="shared" si="6"/>
        <v>67533360.621622622</v>
      </c>
      <c r="V30" s="699">
        <f>SUM(V27:V29)</f>
        <v>59279004.325716749</v>
      </c>
      <c r="W30" s="699">
        <v>0</v>
      </c>
      <c r="X30" s="702">
        <f>SUM(C30:V30)</f>
        <v>970615690.91325474</v>
      </c>
    </row>
    <row r="31" spans="2:26">
      <c r="B31" s="722" t="s">
        <v>312</v>
      </c>
      <c r="C31" s="681">
        <f>C24-C30</f>
        <v>13143940.054940676</v>
      </c>
      <c r="D31" s="681">
        <f t="shared" ref="D31:V31" si="7">D24-D30</f>
        <v>-15134382.490558721</v>
      </c>
      <c r="E31" s="681">
        <f t="shared" si="7"/>
        <v>-15677802.981581807</v>
      </c>
      <c r="F31" s="681">
        <f t="shared" si="7"/>
        <v>-17476077.830436543</v>
      </c>
      <c r="G31" s="681">
        <f t="shared" si="7"/>
        <v>-17459604.05602625</v>
      </c>
      <c r="H31" s="681">
        <f t="shared" si="7"/>
        <v>-8314241.6924178079</v>
      </c>
      <c r="I31" s="681">
        <f t="shared" si="7"/>
        <v>-15505597.37476486</v>
      </c>
      <c r="J31" s="681">
        <f t="shared" si="7"/>
        <v>-23396332.729735389</v>
      </c>
      <c r="K31" s="681">
        <f t="shared" si="7"/>
        <v>-23269961.938675411</v>
      </c>
      <c r="L31" s="681">
        <f t="shared" si="7"/>
        <v>-20470027.824849479</v>
      </c>
      <c r="M31" s="681">
        <f t="shared" si="7"/>
        <v>-21014430.275632627</v>
      </c>
      <c r="N31" s="681">
        <f t="shared" si="7"/>
        <v>-18986894.367821366</v>
      </c>
      <c r="O31" s="681">
        <f t="shared" si="7"/>
        <v>-18685653.500629641</v>
      </c>
      <c r="P31" s="681">
        <f t="shared" si="7"/>
        <v>-14966130.947265834</v>
      </c>
      <c r="Q31" s="681">
        <f t="shared" si="7"/>
        <v>-20604185.056343228</v>
      </c>
      <c r="R31" s="681">
        <f t="shared" si="7"/>
        <v>-26225864.872222051</v>
      </c>
      <c r="S31" s="681">
        <f t="shared" si="7"/>
        <v>-31462523.053855114</v>
      </c>
      <c r="T31" s="681">
        <f t="shared" si="7"/>
        <v>-31589209.33223924</v>
      </c>
      <c r="U31" s="681">
        <f t="shared" si="7"/>
        <v>-33746461.467569888</v>
      </c>
      <c r="V31" s="681">
        <f t="shared" si="7"/>
        <v>-25711849.163973585</v>
      </c>
      <c r="W31" s="681">
        <v>0</v>
      </c>
      <c r="X31" s="705">
        <f>SUM(C31:V31)</f>
        <v>-386553290.90165812</v>
      </c>
    </row>
    <row r="32" spans="2:26">
      <c r="B32" s="661"/>
      <c r="C32" s="652"/>
      <c r="D32" s="652"/>
      <c r="E32" s="652"/>
      <c r="F32" s="652"/>
      <c r="G32" s="652"/>
      <c r="H32" s="652"/>
      <c r="I32" s="652"/>
      <c r="J32" s="652"/>
      <c r="K32" s="652"/>
      <c r="L32" s="652"/>
      <c r="M32" s="652"/>
      <c r="N32" s="652"/>
      <c r="O32" s="652"/>
      <c r="P32" s="652"/>
      <c r="Q32" s="652"/>
      <c r="R32" s="652"/>
      <c r="S32" s="652"/>
      <c r="T32" s="652"/>
      <c r="U32" s="652"/>
      <c r="V32" s="652"/>
      <c r="W32" s="658"/>
      <c r="X32" s="657"/>
    </row>
    <row r="33" spans="2:24">
      <c r="B33" s="651" t="s">
        <v>123</v>
      </c>
      <c r="C33" s="659">
        <f>'Financial Statements'!C14</f>
        <v>17242395.015227586</v>
      </c>
      <c r="D33" s="659">
        <f>'Financial Statements'!D14</f>
        <v>15167349.755503451</v>
      </c>
      <c r="E33" s="659">
        <f>'Financial Statements'!E14</f>
        <v>14388814.482579311</v>
      </c>
      <c r="F33" s="659">
        <f>'Financial Statements'!F14</f>
        <v>14031040.021696553</v>
      </c>
      <c r="G33" s="659">
        <f>'Financial Statements'!G14</f>
        <v>14092494.789848277</v>
      </c>
      <c r="H33" s="659">
        <f>'Financial Statements'!H14</f>
        <v>14053089.822703447</v>
      </c>
      <c r="I33" s="659">
        <f>'Financial Statements'!I14</f>
        <v>13868226.089006897</v>
      </c>
      <c r="J33" s="659">
        <f>'Financial Statements'!J14</f>
        <v>13961402.937806901</v>
      </c>
      <c r="K33" s="659">
        <f>'Financial Statements'!K14</f>
        <v>14301988.708965519</v>
      </c>
      <c r="L33" s="659">
        <f>'Financial Statements'!L14</f>
        <v>14309122.223296553</v>
      </c>
      <c r="M33" s="659">
        <f>'Financial Statements'!M14</f>
        <v>14091354.426413797</v>
      </c>
      <c r="N33" s="659">
        <f>'Financial Statements'!N14</f>
        <v>14084220.912082762</v>
      </c>
      <c r="O33" s="659">
        <f>'Financial Statements'!O14</f>
        <v>14301988.708965519</v>
      </c>
      <c r="P33" s="659">
        <f>'Financial Statements'!P14</f>
        <v>14309122.223296553</v>
      </c>
      <c r="Q33" s="659">
        <f>'Financial Statements'!Q14</f>
        <v>14091354.426413797</v>
      </c>
      <c r="R33" s="659">
        <f>'Financial Statements'!R14</f>
        <v>14084220.912082762</v>
      </c>
      <c r="S33" s="659">
        <f>'Financial Statements'!S14</f>
        <v>14301988.708965519</v>
      </c>
      <c r="T33" s="659">
        <f>'Financial Statements'!T14</f>
        <v>14309122.223296553</v>
      </c>
      <c r="U33" s="659">
        <f>'Financial Statements'!U14</f>
        <v>14091354.426413797</v>
      </c>
      <c r="V33" s="659">
        <f>'Financial Statements'!V14</f>
        <v>14084220.912082762</v>
      </c>
      <c r="W33" s="659">
        <f>'Financial Statements'!W14</f>
        <v>14301988.708965519</v>
      </c>
      <c r="X33" s="657">
        <f>SUM(C33:W33)</f>
        <v>301466860.43561387</v>
      </c>
    </row>
    <row r="34" spans="2:24">
      <c r="B34" s="651" t="s">
        <v>124</v>
      </c>
      <c r="C34" s="660">
        <f>'Financial Statements'!C15</f>
        <v>3523432.5433313623</v>
      </c>
      <c r="D34" s="660">
        <f>'Financial Statements'!D15</f>
        <v>6147102.8827927578</v>
      </c>
      <c r="E34" s="660">
        <f>'Financial Statements'!E15</f>
        <v>6266050.4373133499</v>
      </c>
      <c r="F34" s="660">
        <f>'Financial Statements'!F15</f>
        <v>6154027.3097476438</v>
      </c>
      <c r="G34" s="660">
        <f>'Financial Statements'!G15</f>
        <v>6308855.1618932504</v>
      </c>
      <c r="H34" s="660">
        <f>'Financial Statements'!H15</f>
        <v>6457779.6275409907</v>
      </c>
      <c r="I34" s="660">
        <f>'Financial Statements'!I15</f>
        <v>6598022.8885136731</v>
      </c>
      <c r="J34" s="660">
        <f>'Financial Statements'!J15</f>
        <v>6754807.0207064413</v>
      </c>
      <c r="K34" s="660">
        <f>'Financial Statements'!K15</f>
        <v>6931490.7335596886</v>
      </c>
      <c r="L34" s="660">
        <f>'Financial Statements'!L15</f>
        <v>7099934.6610594876</v>
      </c>
      <c r="M34" s="660">
        <f>'Financial Statements'!M15</f>
        <v>7256490.1767218374</v>
      </c>
      <c r="N34" s="660">
        <f>'Financial Statements'!N15</f>
        <v>7430854.7380989902</v>
      </c>
      <c r="O34" s="660">
        <f>'Financial Statements'!O15</f>
        <v>7627679.2206946667</v>
      </c>
      <c r="P34" s="660">
        <f>'Financial Statements'!P15</f>
        <v>7815381.4887448587</v>
      </c>
      <c r="Q34" s="660">
        <f>'Financial Statements'!Q15</f>
        <v>7989501.9371761866</v>
      </c>
      <c r="R34" s="660">
        <f>'Financial Statements'!R15</f>
        <v>8183758.6276165284</v>
      </c>
      <c r="S34" s="660">
        <f>'Financial Statements'!S15</f>
        <v>8403426.3860505242</v>
      </c>
      <c r="T34" s="660">
        <f>'Financial Statements'!T15</f>
        <v>8613114.6667577848</v>
      </c>
      <c r="U34" s="660">
        <f>'Financial Statements'!U15</f>
        <v>8807276.8765971735</v>
      </c>
      <c r="V34" s="660">
        <f>'Financial Statements'!V15</f>
        <v>9017844.1710040644</v>
      </c>
      <c r="W34" s="660">
        <f>'Financial Statements'!W15</f>
        <v>8698751.926111063</v>
      </c>
      <c r="X34" s="669">
        <f>SUM(C34:W34)</f>
        <v>152085583.48203233</v>
      </c>
    </row>
    <row r="35" spans="2:24">
      <c r="B35" s="651" t="s">
        <v>125</v>
      </c>
      <c r="C35" s="657">
        <f>C33+C34</f>
        <v>20765827.558558948</v>
      </c>
      <c r="D35" s="657">
        <f t="shared" ref="D35:W35" si="8">D33+D34</f>
        <v>21314452.638296209</v>
      </c>
      <c r="E35" s="657">
        <f t="shared" si="8"/>
        <v>20654864.919892661</v>
      </c>
      <c r="F35" s="657">
        <f t="shared" si="8"/>
        <v>20185067.331444196</v>
      </c>
      <c r="G35" s="657">
        <f t="shared" si="8"/>
        <v>20401349.951741528</v>
      </c>
      <c r="H35" s="657">
        <f t="shared" si="8"/>
        <v>20510869.450244438</v>
      </c>
      <c r="I35" s="657">
        <f t="shared" si="8"/>
        <v>20466248.97752057</v>
      </c>
      <c r="J35" s="657">
        <f t="shared" si="8"/>
        <v>20716209.958513342</v>
      </c>
      <c r="K35" s="657">
        <f t="shared" si="8"/>
        <v>21233479.442525208</v>
      </c>
      <c r="L35" s="657">
        <f t="shared" si="8"/>
        <v>21409056.884356041</v>
      </c>
      <c r="M35" s="657">
        <f t="shared" si="8"/>
        <v>21347844.603135634</v>
      </c>
      <c r="N35" s="657">
        <f t="shared" si="8"/>
        <v>21515075.650181752</v>
      </c>
      <c r="O35" s="657">
        <f t="shared" si="8"/>
        <v>21929667.929660186</v>
      </c>
      <c r="P35" s="657">
        <f t="shared" si="8"/>
        <v>22124503.712041412</v>
      </c>
      <c r="Q35" s="657">
        <f t="shared" si="8"/>
        <v>22080856.363589983</v>
      </c>
      <c r="R35" s="657">
        <f t="shared" si="8"/>
        <v>22267979.53969929</v>
      </c>
      <c r="S35" s="657">
        <f t="shared" si="8"/>
        <v>22705415.095016044</v>
      </c>
      <c r="T35" s="657">
        <f t="shared" si="8"/>
        <v>22922236.890054338</v>
      </c>
      <c r="U35" s="657">
        <f t="shared" si="8"/>
        <v>22898631.30301097</v>
      </c>
      <c r="V35" s="657">
        <f t="shared" si="8"/>
        <v>23102065.083086826</v>
      </c>
      <c r="W35" s="663">
        <f t="shared" si="8"/>
        <v>23000740.635076582</v>
      </c>
      <c r="X35" s="657">
        <f>SUM(C35:W35)</f>
        <v>453552443.91764635</v>
      </c>
    </row>
    <row r="36" spans="2:24">
      <c r="C36" s="657"/>
      <c r="D36" s="657"/>
      <c r="E36" s="657"/>
      <c r="F36" s="657"/>
      <c r="G36" s="657"/>
      <c r="H36" s="657"/>
      <c r="I36" s="657"/>
      <c r="J36" s="657"/>
      <c r="K36" s="657"/>
      <c r="L36" s="657"/>
      <c r="M36" s="657"/>
      <c r="N36" s="657"/>
      <c r="O36" s="657"/>
      <c r="P36" s="657"/>
      <c r="Q36" s="657"/>
      <c r="R36" s="657"/>
      <c r="S36" s="657"/>
      <c r="T36" s="657"/>
      <c r="U36" s="657"/>
      <c r="V36" s="657"/>
      <c r="W36" s="663"/>
      <c r="X36" s="657"/>
    </row>
    <row r="37" spans="2:24">
      <c r="B37" s="655" t="s">
        <v>317</v>
      </c>
      <c r="C37" s="696">
        <v>2422536.7338246689</v>
      </c>
      <c r="D37" s="696">
        <v>7479513.516001462</v>
      </c>
      <c r="E37" s="696">
        <v>8363303.2782439608</v>
      </c>
      <c r="F37" s="696">
        <v>8858159.7919343878</v>
      </c>
      <c r="G37" s="696">
        <v>8649203.7442468666</v>
      </c>
      <c r="H37" s="696">
        <v>8438674.6983976066</v>
      </c>
      <c r="I37" s="696">
        <v>8939758.687174717</v>
      </c>
      <c r="J37" s="696">
        <v>9415920.9751249384</v>
      </c>
      <c r="K37" s="696">
        <v>9597147.597103212</v>
      </c>
      <c r="L37" s="696">
        <v>9695689.4349314161</v>
      </c>
      <c r="M37" s="696">
        <v>9878014.6321325079</v>
      </c>
      <c r="N37" s="696">
        <v>10000673.485074472</v>
      </c>
      <c r="O37" s="696">
        <v>10565153.439807754</v>
      </c>
      <c r="P37" s="696">
        <v>10658676.03260217</v>
      </c>
      <c r="Q37" s="696">
        <v>11079901.920796188</v>
      </c>
      <c r="R37" s="696">
        <v>11354189.170162097</v>
      </c>
      <c r="S37" s="696">
        <v>11768693.325210694</v>
      </c>
      <c r="T37" s="696">
        <v>12013159.254115956</v>
      </c>
      <c r="U37" s="696">
        <v>12362516.756547986</v>
      </c>
      <c r="V37" s="696">
        <v>12274783.414374866</v>
      </c>
      <c r="W37" s="696"/>
      <c r="X37" s="697">
        <f>SUM(C37:V37)</f>
        <v>193815669.88780794</v>
      </c>
    </row>
    <row r="38" spans="2:24">
      <c r="B38" s="722" t="s">
        <v>314</v>
      </c>
      <c r="C38" s="704">
        <f>C33-C37</f>
        <v>14819858.281402918</v>
      </c>
      <c r="D38" s="704">
        <f t="shared" ref="D38:V38" si="9">D33-D37</f>
        <v>7687836.2395019894</v>
      </c>
      <c r="E38" s="704">
        <f t="shared" si="9"/>
        <v>6025511.2043353505</v>
      </c>
      <c r="F38" s="704">
        <f t="shared" si="9"/>
        <v>5172880.2297621649</v>
      </c>
      <c r="G38" s="704">
        <f t="shared" si="9"/>
        <v>5443291.0456014108</v>
      </c>
      <c r="H38" s="704">
        <f t="shared" si="9"/>
        <v>5614415.1243058406</v>
      </c>
      <c r="I38" s="704">
        <f t="shared" si="9"/>
        <v>4928467.4018321801</v>
      </c>
      <c r="J38" s="704">
        <f t="shared" si="9"/>
        <v>4545481.9626819622</v>
      </c>
      <c r="K38" s="704">
        <f t="shared" si="9"/>
        <v>4704841.1118623074</v>
      </c>
      <c r="L38" s="704">
        <f t="shared" si="9"/>
        <v>4613432.7883651368</v>
      </c>
      <c r="M38" s="704">
        <f t="shared" si="9"/>
        <v>4213339.794281289</v>
      </c>
      <c r="N38" s="704">
        <f t="shared" si="9"/>
        <v>4083547.4270082898</v>
      </c>
      <c r="O38" s="704">
        <f t="shared" si="9"/>
        <v>3736835.2691577654</v>
      </c>
      <c r="P38" s="704">
        <f t="shared" si="9"/>
        <v>3650446.1906943824</v>
      </c>
      <c r="Q38" s="704">
        <f t="shared" si="9"/>
        <v>3011452.5056176092</v>
      </c>
      <c r="R38" s="704">
        <f t="shared" si="9"/>
        <v>2730031.7419206649</v>
      </c>
      <c r="S38" s="704">
        <f t="shared" si="9"/>
        <v>2533295.3837548252</v>
      </c>
      <c r="T38" s="704">
        <f t="shared" si="9"/>
        <v>2295962.969180597</v>
      </c>
      <c r="U38" s="704">
        <f t="shared" si="9"/>
        <v>1728837.6698658112</v>
      </c>
      <c r="V38" s="704">
        <f t="shared" si="9"/>
        <v>1809437.4977078959</v>
      </c>
      <c r="W38" s="704"/>
      <c r="X38" s="705">
        <f>SUM(C38:V38)</f>
        <v>93349201.838840365</v>
      </c>
    </row>
    <row r="39" spans="2:24"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657"/>
      <c r="T39" s="657"/>
      <c r="U39" s="657"/>
      <c r="V39" s="657"/>
      <c r="W39" s="663"/>
      <c r="X39" s="657"/>
    </row>
    <row r="40" spans="2:24">
      <c r="B40" s="651" t="s">
        <v>119</v>
      </c>
      <c r="C40" s="657">
        <f t="shared" ref="C40:W40" si="10">C24-C35</f>
        <v>7174168.5260357782</v>
      </c>
      <c r="D40" s="657">
        <f t="shared" si="10"/>
        <v>4968390.5080660954</v>
      </c>
      <c r="E40" s="657">
        <f t="shared" si="10"/>
        <v>4910534.2341600731</v>
      </c>
      <c r="F40" s="657">
        <f t="shared" si="10"/>
        <v>5160587.8302989677</v>
      </c>
      <c r="G40" s="657">
        <f t="shared" si="10"/>
        <v>5267369.2023112066</v>
      </c>
      <c r="H40" s="657">
        <f t="shared" si="10"/>
        <v>5651013.6961178668</v>
      </c>
      <c r="I40" s="657">
        <f t="shared" si="10"/>
        <v>6088250.1765321642</v>
      </c>
      <c r="J40" s="657">
        <f t="shared" si="10"/>
        <v>6330445.2032298222</v>
      </c>
      <c r="K40" s="657">
        <f t="shared" si="10"/>
        <v>6680559.7115275264</v>
      </c>
      <c r="L40" s="657">
        <f t="shared" si="10"/>
        <v>7296766.2620062642</v>
      </c>
      <c r="M40" s="657">
        <f t="shared" si="10"/>
        <v>7751854.5509171002</v>
      </c>
      <c r="N40" s="657">
        <f t="shared" si="10"/>
        <v>8003699.5115614124</v>
      </c>
      <c r="O40" s="657">
        <f t="shared" si="10"/>
        <v>8423731.2243925482</v>
      </c>
      <c r="P40" s="657">
        <f t="shared" si="10"/>
        <v>8992959.4343208931</v>
      </c>
      <c r="Q40" s="657">
        <f t="shared" si="10"/>
        <v>9362442.7904627509</v>
      </c>
      <c r="R40" s="657">
        <f t="shared" si="10"/>
        <v>9564155.6220438741</v>
      </c>
      <c r="S40" s="657">
        <f t="shared" si="10"/>
        <v>9976464.0590366907</v>
      </c>
      <c r="T40" s="657">
        <f t="shared" si="10"/>
        <v>10553946.256307967</v>
      </c>
      <c r="U40" s="657">
        <f t="shared" si="10"/>
        <v>10888267.851041764</v>
      </c>
      <c r="V40" s="657">
        <f t="shared" si="10"/>
        <v>10465090.078656338</v>
      </c>
      <c r="W40" s="663">
        <f t="shared" si="10"/>
        <v>10845378.518976152</v>
      </c>
      <c r="X40" s="657">
        <f>SUM(C40:W40)</f>
        <v>164356075.24800327</v>
      </c>
    </row>
    <row r="41" spans="2:24">
      <c r="C41" s="657"/>
      <c r="D41" s="657"/>
      <c r="E41" s="657"/>
      <c r="F41" s="657"/>
      <c r="G41" s="657"/>
      <c r="H41" s="657"/>
      <c r="I41" s="657"/>
      <c r="J41" s="657"/>
      <c r="K41" s="657"/>
      <c r="L41" s="657"/>
      <c r="M41" s="657"/>
      <c r="N41" s="657"/>
      <c r="O41" s="657"/>
      <c r="P41" s="657"/>
      <c r="Q41" s="657"/>
      <c r="R41" s="657"/>
      <c r="S41" s="657"/>
      <c r="T41" s="657"/>
      <c r="U41" s="657"/>
      <c r="V41" s="657"/>
      <c r="W41" s="663"/>
      <c r="X41" s="657"/>
    </row>
    <row r="42" spans="2:24">
      <c r="B42" s="706" t="s">
        <v>318</v>
      </c>
      <c r="C42" s="695">
        <v>10131902.411789116</v>
      </c>
      <c r="D42" s="695">
        <v>27938527.26175946</v>
      </c>
      <c r="E42" s="695">
        <v>26721677.358376749</v>
      </c>
      <c r="F42" s="695">
        <v>27900385.359501816</v>
      </c>
      <c r="G42" s="695">
        <v>28306699.472484842</v>
      </c>
      <c r="H42" s="695">
        <v>19806537.892628688</v>
      </c>
      <c r="I42" s="695">
        <v>26691160.154553276</v>
      </c>
      <c r="J42" s="695">
        <v>34392848.096215747</v>
      </c>
      <c r="K42" s="695">
        <v>34806277.887599885</v>
      </c>
      <c r="L42" s="695">
        <v>32570574.481116604</v>
      </c>
      <c r="M42" s="695">
        <v>33171571.698223315</v>
      </c>
      <c r="N42" s="695">
        <v>31300279.780347355</v>
      </c>
      <c r="O42" s="695">
        <v>31087987.724893577</v>
      </c>
      <c r="P42" s="695">
        <v>27900796.897383321</v>
      </c>
      <c r="Q42" s="695">
        <v>33229637.340489119</v>
      </c>
      <c r="R42" s="695">
        <v>38771746.005015068</v>
      </c>
      <c r="S42" s="695">
        <v>44221464.655642718</v>
      </c>
      <c r="T42" s="695">
        <v>44711507.151986629</v>
      </c>
      <c r="U42" s="695">
        <v>46624224.176231816</v>
      </c>
      <c r="V42" s="695">
        <v>38334840.322614178</v>
      </c>
      <c r="W42" s="695"/>
      <c r="X42" s="702">
        <f>SUM(C42:V42)</f>
        <v>638620646.12885332</v>
      </c>
    </row>
    <row r="43" spans="2:24">
      <c r="B43" s="690" t="s">
        <v>313</v>
      </c>
      <c r="C43" s="681">
        <f>C40-C42</f>
        <v>-2957733.8857533373</v>
      </c>
      <c r="D43" s="681">
        <f t="shared" ref="D43:V43" si="11">D40-D42</f>
        <v>-22970136.753693365</v>
      </c>
      <c r="E43" s="681">
        <f t="shared" si="11"/>
        <v>-21811143.124216676</v>
      </c>
      <c r="F43" s="681">
        <f t="shared" si="11"/>
        <v>-22739797.529202849</v>
      </c>
      <c r="G43" s="681">
        <f t="shared" si="11"/>
        <v>-23039330.270173635</v>
      </c>
      <c r="H43" s="681">
        <f t="shared" si="11"/>
        <v>-14155524.196510822</v>
      </c>
      <c r="I43" s="681">
        <f t="shared" si="11"/>
        <v>-20602909.978021111</v>
      </c>
      <c r="J43" s="681">
        <f t="shared" si="11"/>
        <v>-28062402.892985925</v>
      </c>
      <c r="K43" s="681">
        <f t="shared" si="11"/>
        <v>-28125718.176072359</v>
      </c>
      <c r="L43" s="681">
        <f t="shared" si="11"/>
        <v>-25273808.21911034</v>
      </c>
      <c r="M43" s="681">
        <f t="shared" si="11"/>
        <v>-25419717.147306215</v>
      </c>
      <c r="N43" s="681">
        <f t="shared" si="11"/>
        <v>-23296580.268785942</v>
      </c>
      <c r="O43" s="681">
        <f t="shared" si="11"/>
        <v>-22664256.500501029</v>
      </c>
      <c r="P43" s="681">
        <f t="shared" si="11"/>
        <v>-18907837.463062428</v>
      </c>
      <c r="Q43" s="681">
        <f t="shared" si="11"/>
        <v>-23867194.550026368</v>
      </c>
      <c r="R43" s="681">
        <f t="shared" si="11"/>
        <v>-29207590.382971194</v>
      </c>
      <c r="S43" s="681">
        <f t="shared" si="11"/>
        <v>-34245000.596606031</v>
      </c>
      <c r="T43" s="681">
        <f t="shared" si="11"/>
        <v>-34157560.895678662</v>
      </c>
      <c r="U43" s="681">
        <f t="shared" si="11"/>
        <v>-35735956.325190052</v>
      </c>
      <c r="V43" s="681">
        <f t="shared" si="11"/>
        <v>-27869750.24395784</v>
      </c>
      <c r="W43" s="681"/>
      <c r="X43" s="691">
        <f>SUM(C43:V43)</f>
        <v>-485109949.39982605</v>
      </c>
    </row>
    <row r="44" spans="2:24">
      <c r="C44" s="657"/>
      <c r="D44" s="657"/>
      <c r="E44" s="657"/>
      <c r="F44" s="657"/>
      <c r="G44" s="657"/>
      <c r="H44" s="657"/>
      <c r="I44" s="657"/>
      <c r="J44" s="657"/>
      <c r="K44" s="657"/>
      <c r="L44" s="657"/>
      <c r="M44" s="657"/>
      <c r="N44" s="657"/>
      <c r="O44" s="657"/>
      <c r="P44" s="657"/>
      <c r="Q44" s="657"/>
      <c r="R44" s="657"/>
      <c r="S44" s="657"/>
      <c r="T44" s="657"/>
      <c r="U44" s="657"/>
      <c r="V44" s="657"/>
      <c r="W44" s="663"/>
      <c r="X44" s="657"/>
    </row>
    <row r="45" spans="2:24">
      <c r="B45" s="651" t="s">
        <v>136</v>
      </c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657"/>
      <c r="T45" s="657"/>
      <c r="U45" s="657"/>
      <c r="V45" s="657"/>
      <c r="W45" s="662"/>
      <c r="X45" s="657"/>
    </row>
    <row r="46" spans="2:24">
      <c r="B46" s="664" t="s">
        <v>137</v>
      </c>
      <c r="C46" s="652">
        <f>'Financial Statements'!C21</f>
        <v>0</v>
      </c>
      <c r="D46" s="652">
        <f ca="1">'Financial Statements'!D21</f>
        <v>10334933.155700158</v>
      </c>
      <c r="E46" s="652">
        <f ca="1">'Financial Statements'!E21</f>
        <v>10127163.060530461</v>
      </c>
      <c r="F46" s="652">
        <f ca="1">'Financial Statements'!F21</f>
        <v>9901214.8485748805</v>
      </c>
      <c r="G46" s="652">
        <f ca="1">'Financial Statements'!G21</f>
        <v>9655498.0891720131</v>
      </c>
      <c r="H46" s="652">
        <f ca="1">'Financial Statements'!H21</f>
        <v>9388283.202500036</v>
      </c>
      <c r="I46" s="652">
        <f ca="1">'Financial Statements'!I21</f>
        <v>9097689.2852082644</v>
      </c>
      <c r="J46" s="652">
        <f ca="1">'Financial Statements'!J21</f>
        <v>8781670.870895002</v>
      </c>
      <c r="K46" s="652">
        <f ca="1">'Financial Statements'!K21</f>
        <v>8438003.5322397444</v>
      </c>
      <c r="L46" s="652">
        <f ca="1">'Financial Statements'!L21</f>
        <v>8064268.2234443938</v>
      </c>
      <c r="M46" s="652">
        <f ca="1">'Financial Statements'!M21</f>
        <v>7657834.252771154</v>
      </c>
      <c r="N46" s="652">
        <f ca="1">'Financial Statements'!N21</f>
        <v>7215840.7653223518</v>
      </c>
      <c r="O46" s="652">
        <f ca="1">'Financial Statements'!O21</f>
        <v>6735176.6057208469</v>
      </c>
      <c r="P46" s="652">
        <f ca="1">'Financial Statements'!P21</f>
        <v>6212458.4189462382</v>
      </c>
      <c r="Q46" s="652">
        <f ca="1">'Financial Statements'!Q21</f>
        <v>5644006.8351804418</v>
      </c>
      <c r="R46" s="652">
        <f ca="1">'Financial Statements'!R21</f>
        <v>5025820.5710297013</v>
      </c>
      <c r="S46" s="652">
        <f ca="1">'Financial Statements'!S21</f>
        <v>4353548.2648237646</v>
      </c>
      <c r="T46" s="652">
        <f ca="1">'Financial Statements'!T21</f>
        <v>3622457.8477431866</v>
      </c>
      <c r="U46" s="652">
        <f ca="1">'Financial Statements'!U21</f>
        <v>2827403.2351806965</v>
      </c>
      <c r="V46" s="652">
        <f ca="1">'Financial Statements'!V21</f>
        <v>1962788.1038798874</v>
      </c>
      <c r="W46" s="652">
        <f ca="1">'Financial Statements'!W21</f>
        <v>1022526.4998815074</v>
      </c>
      <c r="X46" s="657">
        <f ca="1">SUM(C46:W46)</f>
        <v>136068585.66874474</v>
      </c>
    </row>
    <row r="47" spans="2:24">
      <c r="B47" s="664" t="s">
        <v>139</v>
      </c>
      <c r="C47" s="652">
        <f>'Financial Statements'!C22</f>
        <v>0</v>
      </c>
      <c r="D47" s="652">
        <f ca="1">'Financial Statements'!D22</f>
        <v>101677.43426749793</v>
      </c>
      <c r="E47" s="652">
        <f ca="1">'Financial Statements'!E22</f>
        <v>101677.43426749793</v>
      </c>
      <c r="F47" s="652">
        <f ca="1">'Financial Statements'!F22</f>
        <v>101677.43426749793</v>
      </c>
      <c r="G47" s="652">
        <f ca="1">'Financial Statements'!G22</f>
        <v>101677.43426749793</v>
      </c>
      <c r="H47" s="652">
        <f ca="1">'Financial Statements'!H22</f>
        <v>101677.43426749793</v>
      </c>
      <c r="I47" s="652">
        <f ca="1">'Financial Statements'!I22</f>
        <v>101677.43426749793</v>
      </c>
      <c r="J47" s="652">
        <f ca="1">'Financial Statements'!J22</f>
        <v>101677.43426749793</v>
      </c>
      <c r="K47" s="652">
        <f ca="1">'Financial Statements'!K22</f>
        <v>101677.43426749793</v>
      </c>
      <c r="L47" s="652">
        <f ca="1">'Financial Statements'!L22</f>
        <v>101677.4342674979</v>
      </c>
      <c r="M47" s="652">
        <f ca="1">'Financial Statements'!M22</f>
        <v>101677.43426749793</v>
      </c>
      <c r="N47" s="652">
        <f ca="1">'Financial Statements'!N22</f>
        <v>101677.43426749793</v>
      </c>
      <c r="O47" s="652">
        <f ca="1">'Financial Statements'!O22</f>
        <v>101677.43426749794</v>
      </c>
      <c r="P47" s="652">
        <f ca="1">'Financial Statements'!P22</f>
        <v>101677.43426749794</v>
      </c>
      <c r="Q47" s="652">
        <f ca="1">'Financial Statements'!Q22</f>
        <v>101677.43426749793</v>
      </c>
      <c r="R47" s="652">
        <f ca="1">'Financial Statements'!R22</f>
        <v>101677.43426749793</v>
      </c>
      <c r="S47" s="652">
        <f ca="1">'Financial Statements'!S22</f>
        <v>101677.43426749794</v>
      </c>
      <c r="T47" s="652">
        <f ca="1">'Financial Statements'!T22</f>
        <v>76340.563700623461</v>
      </c>
      <c r="U47" s="652">
        <f ca="1">'Financial Statements'!U22</f>
        <v>67894.940178331963</v>
      </c>
      <c r="V47" s="652">
        <f ca="1">'Financial Statements'!V22</f>
        <v>34002.463132961078</v>
      </c>
      <c r="W47" s="652">
        <f>'Financial Statements'!W22</f>
        <v>0</v>
      </c>
      <c r="X47" s="657">
        <f ca="1">SUM(C47:W47)</f>
        <v>1805076.9152918831</v>
      </c>
    </row>
    <row r="48" spans="2:24">
      <c r="B48" s="651" t="s">
        <v>138</v>
      </c>
      <c r="C48" s="660">
        <f>'Financial Statements'!C23</f>
        <v>0</v>
      </c>
      <c r="D48" s="660">
        <f>'Financial Statements'!D23</f>
        <v>0</v>
      </c>
      <c r="E48" s="660">
        <f>'Financial Statements'!E23</f>
        <v>0</v>
      </c>
      <c r="F48" s="660">
        <f>'Financial Statements'!F23</f>
        <v>0</v>
      </c>
      <c r="G48" s="660">
        <f>'Financial Statements'!G23</f>
        <v>0</v>
      </c>
      <c r="H48" s="660">
        <f>'Financial Statements'!H23</f>
        <v>0</v>
      </c>
      <c r="I48" s="660">
        <f>'Financial Statements'!I23</f>
        <v>0</v>
      </c>
      <c r="J48" s="660">
        <f>'Financial Statements'!J23</f>
        <v>0</v>
      </c>
      <c r="K48" s="660">
        <f>'Financial Statements'!K23</f>
        <v>0</v>
      </c>
      <c r="L48" s="660">
        <f>'Financial Statements'!L23</f>
        <v>0</v>
      </c>
      <c r="M48" s="660">
        <f>'Financial Statements'!M23</f>
        <v>0</v>
      </c>
      <c r="N48" s="660">
        <f>'Financial Statements'!N23</f>
        <v>0</v>
      </c>
      <c r="O48" s="660">
        <f>'Financial Statements'!O23</f>
        <v>0</v>
      </c>
      <c r="P48" s="660">
        <f>'Financial Statements'!P23</f>
        <v>0</v>
      </c>
      <c r="Q48" s="660">
        <f>'Financial Statements'!Q23</f>
        <v>0</v>
      </c>
      <c r="R48" s="660">
        <f>'Financial Statements'!R23</f>
        <v>0</v>
      </c>
      <c r="S48" s="660">
        <f>'Financial Statements'!S23</f>
        <v>0</v>
      </c>
      <c r="T48" s="660">
        <f>'Financial Statements'!T23</f>
        <v>0</v>
      </c>
      <c r="U48" s="660">
        <f>'Financial Statements'!U23</f>
        <v>0</v>
      </c>
      <c r="V48" s="660">
        <f>'Financial Statements'!V23</f>
        <v>0</v>
      </c>
      <c r="W48" s="660">
        <f>'Financial Statements'!W23</f>
        <v>0</v>
      </c>
      <c r="X48" s="669">
        <f>SUM(C48:W48)</f>
        <v>0</v>
      </c>
    </row>
    <row r="49" spans="2:24">
      <c r="C49" s="657">
        <f>SUM(C46:C48)</f>
        <v>0</v>
      </c>
      <c r="D49" s="657">
        <f t="shared" ref="D49:W49" ca="1" si="12">SUM(D46:D48)</f>
        <v>10436610.589967657</v>
      </c>
      <c r="E49" s="657">
        <f t="shared" ca="1" si="12"/>
        <v>10228840.49479796</v>
      </c>
      <c r="F49" s="657">
        <f t="shared" ca="1" si="12"/>
        <v>10002892.282842379</v>
      </c>
      <c r="G49" s="657">
        <f t="shared" ca="1" si="12"/>
        <v>9757175.5234395117</v>
      </c>
      <c r="H49" s="657">
        <f t="shared" ca="1" si="12"/>
        <v>9489960.6367675345</v>
      </c>
      <c r="I49" s="657">
        <f t="shared" ca="1" si="12"/>
        <v>9199366.7194757629</v>
      </c>
      <c r="J49" s="657">
        <f t="shared" ca="1" si="12"/>
        <v>8883348.3051625006</v>
      </c>
      <c r="K49" s="657">
        <f t="shared" ca="1" si="12"/>
        <v>8539680.966507243</v>
      </c>
      <c r="L49" s="657">
        <f t="shared" ca="1" si="12"/>
        <v>8165945.6577118915</v>
      </c>
      <c r="M49" s="657">
        <f t="shared" ca="1" si="12"/>
        <v>7759511.6870386517</v>
      </c>
      <c r="N49" s="657">
        <f t="shared" ca="1" si="12"/>
        <v>7317518.1995898494</v>
      </c>
      <c r="O49" s="657">
        <f t="shared" ca="1" si="12"/>
        <v>6836854.0399883445</v>
      </c>
      <c r="P49" s="657">
        <f t="shared" ca="1" si="12"/>
        <v>6314135.8532137359</v>
      </c>
      <c r="Q49" s="657">
        <f t="shared" ca="1" si="12"/>
        <v>5745684.2694479395</v>
      </c>
      <c r="R49" s="657">
        <f t="shared" ca="1" si="12"/>
        <v>5127498.0052971989</v>
      </c>
      <c r="S49" s="657">
        <f t="shared" ca="1" si="12"/>
        <v>4455225.6990912622</v>
      </c>
      <c r="T49" s="657">
        <f t="shared" ca="1" si="12"/>
        <v>3698798.41144381</v>
      </c>
      <c r="U49" s="657">
        <f t="shared" ca="1" si="12"/>
        <v>2895298.1753590284</v>
      </c>
      <c r="V49" s="657">
        <f t="shared" ca="1" si="12"/>
        <v>1996790.5670128486</v>
      </c>
      <c r="W49" s="663">
        <f t="shared" ca="1" si="12"/>
        <v>1022526.4998815074</v>
      </c>
      <c r="X49" s="657">
        <f ca="1">SUM(C49:W49)</f>
        <v>137873662.58403662</v>
      </c>
    </row>
    <row r="50" spans="2:24">
      <c r="W50" s="662"/>
      <c r="X50" s="657"/>
    </row>
    <row r="51" spans="2:24">
      <c r="B51" s="651" t="s">
        <v>145</v>
      </c>
      <c r="C51" s="652">
        <v>3333003.502667421</v>
      </c>
      <c r="D51" s="652">
        <v>5713720.2902870057</v>
      </c>
      <c r="E51" s="652">
        <v>5713720.2902870057</v>
      </c>
      <c r="F51" s="652">
        <v>5713720.2902870057</v>
      </c>
      <c r="G51" s="652">
        <v>5713720.2902870057</v>
      </c>
      <c r="H51" s="652">
        <v>5713720.2902870057</v>
      </c>
      <c r="I51" s="652">
        <v>5713720.2902870057</v>
      </c>
      <c r="J51" s="652">
        <v>5713720.2902870057</v>
      </c>
      <c r="K51" s="652">
        <v>5713720.2902870057</v>
      </c>
      <c r="L51" s="652">
        <v>5713720.2902870057</v>
      </c>
      <c r="M51" s="652">
        <v>5713720.2902870057</v>
      </c>
      <c r="N51" s="652">
        <v>5713720.2902870057</v>
      </c>
      <c r="O51" s="652">
        <v>5713720.2902870057</v>
      </c>
      <c r="P51" s="652">
        <v>5713720.2902870057</v>
      </c>
      <c r="Q51" s="652">
        <v>5713720.2902870057</v>
      </c>
      <c r="R51" s="652">
        <v>5713720.2902870057</v>
      </c>
      <c r="S51" s="652">
        <v>5713720.2902870057</v>
      </c>
      <c r="T51" s="652">
        <v>5713720.2902870057</v>
      </c>
      <c r="U51" s="652">
        <v>5713720.2902870057</v>
      </c>
      <c r="V51" s="652">
        <v>5713720.2902870057</v>
      </c>
      <c r="W51" s="658">
        <v>5713720.2902870057</v>
      </c>
      <c r="X51" s="657">
        <f>SUM(C51:W51)</f>
        <v>117607409.3084075</v>
      </c>
    </row>
    <row r="52" spans="2:24"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652"/>
      <c r="T52" s="652"/>
      <c r="U52" s="652"/>
      <c r="V52" s="652"/>
      <c r="W52" s="658"/>
      <c r="X52" s="657"/>
    </row>
    <row r="53" spans="2:24" ht="14.4" thickBot="1">
      <c r="B53" s="651" t="s">
        <v>150</v>
      </c>
      <c r="C53" s="665">
        <f t="shared" ref="C53:W53" si="13">C40-C49-C51</f>
        <v>3841165.0233683572</v>
      </c>
      <c r="D53" s="665">
        <f t="shared" ca="1" si="13"/>
        <v>-11181940.372188568</v>
      </c>
      <c r="E53" s="665">
        <f t="shared" ca="1" si="13"/>
        <v>-11032026.550924893</v>
      </c>
      <c r="F53" s="665">
        <f t="shared" ca="1" si="13"/>
        <v>-10556024.742830418</v>
      </c>
      <c r="G53" s="665">
        <f t="shared" ca="1" si="13"/>
        <v>-10203526.611415312</v>
      </c>
      <c r="H53" s="665">
        <f t="shared" ca="1" si="13"/>
        <v>-9552667.2309366725</v>
      </c>
      <c r="I53" s="665">
        <f t="shared" ca="1" si="13"/>
        <v>-8824836.8332306035</v>
      </c>
      <c r="J53" s="665">
        <f t="shared" ca="1" si="13"/>
        <v>-8266623.3922196841</v>
      </c>
      <c r="K53" s="665">
        <f t="shared" ca="1" si="13"/>
        <v>-7572841.5452667223</v>
      </c>
      <c r="L53" s="665">
        <f t="shared" ca="1" si="13"/>
        <v>-6582899.685992633</v>
      </c>
      <c r="M53" s="665">
        <f t="shared" ca="1" si="13"/>
        <v>-5721377.4264085572</v>
      </c>
      <c r="N53" s="665">
        <f t="shared" ca="1" si="13"/>
        <v>-5027538.9783154428</v>
      </c>
      <c r="O53" s="665">
        <f t="shared" ca="1" si="13"/>
        <v>-4126843.105882802</v>
      </c>
      <c r="P53" s="665">
        <f t="shared" ca="1" si="13"/>
        <v>-3034896.7091798484</v>
      </c>
      <c r="Q53" s="665">
        <f t="shared" ca="1" si="13"/>
        <v>-2096961.7692721942</v>
      </c>
      <c r="R53" s="665">
        <f t="shared" ca="1" si="13"/>
        <v>-1277062.6735403305</v>
      </c>
      <c r="S53" s="665">
        <f t="shared" ca="1" si="13"/>
        <v>-192481.93034157716</v>
      </c>
      <c r="T53" s="665">
        <f t="shared" ca="1" si="13"/>
        <v>1141427.5545771513</v>
      </c>
      <c r="U53" s="665">
        <f t="shared" ca="1" si="13"/>
        <v>2279249.3853957299</v>
      </c>
      <c r="V53" s="665">
        <f t="shared" ca="1" si="13"/>
        <v>2754579.2213564841</v>
      </c>
      <c r="W53" s="666">
        <f t="shared" ca="1" si="13"/>
        <v>4109131.7288076384</v>
      </c>
      <c r="X53" s="665">
        <f ca="1">SUM(C53:W53)</f>
        <v>-91124996.644440874</v>
      </c>
    </row>
    <row r="54" spans="2:24" ht="15" thickTop="1" thickBot="1">
      <c r="B54" s="707"/>
      <c r="C54" s="707"/>
      <c r="D54" s="707"/>
      <c r="E54" s="707"/>
      <c r="F54" s="707"/>
      <c r="G54" s="707"/>
      <c r="H54" s="707"/>
      <c r="I54" s="707"/>
      <c r="J54" s="707"/>
      <c r="K54" s="707"/>
      <c r="L54" s="707"/>
      <c r="M54" s="707"/>
      <c r="N54" s="707"/>
      <c r="O54" s="707"/>
      <c r="P54" s="707"/>
      <c r="Q54" s="707"/>
      <c r="R54" s="707"/>
      <c r="S54" s="707"/>
      <c r="T54" s="707"/>
      <c r="U54" s="707"/>
      <c r="V54" s="707"/>
      <c r="W54" s="708"/>
      <c r="X54" s="709"/>
    </row>
    <row r="55" spans="2:24" ht="14.4" thickBot="1">
      <c r="C55" s="667"/>
      <c r="D55" s="667"/>
      <c r="W55" s="662"/>
      <c r="X55" s="657"/>
    </row>
    <row r="56" spans="2:24" ht="14.4" thickBot="1">
      <c r="B56" s="648" t="s">
        <v>149</v>
      </c>
      <c r="C56" s="649">
        <v>36891</v>
      </c>
      <c r="D56" s="649">
        <f>C56+365.25</f>
        <v>37256.25</v>
      </c>
      <c r="E56" s="649">
        <f t="shared" ref="E56:W56" si="14">D56+365.25</f>
        <v>37621.5</v>
      </c>
      <c r="F56" s="649">
        <f t="shared" si="14"/>
        <v>37986.75</v>
      </c>
      <c r="G56" s="649">
        <f t="shared" si="14"/>
        <v>38352</v>
      </c>
      <c r="H56" s="649">
        <f t="shared" si="14"/>
        <v>38717.25</v>
      </c>
      <c r="I56" s="649">
        <f t="shared" si="14"/>
        <v>39082.5</v>
      </c>
      <c r="J56" s="649">
        <f t="shared" si="14"/>
        <v>39447.75</v>
      </c>
      <c r="K56" s="649">
        <f t="shared" si="14"/>
        <v>39813</v>
      </c>
      <c r="L56" s="649">
        <f t="shared" si="14"/>
        <v>40178.25</v>
      </c>
      <c r="M56" s="649">
        <f t="shared" si="14"/>
        <v>40543.5</v>
      </c>
      <c r="N56" s="649">
        <f t="shared" si="14"/>
        <v>40908.75</v>
      </c>
      <c r="O56" s="649">
        <f t="shared" si="14"/>
        <v>41274</v>
      </c>
      <c r="P56" s="649">
        <f t="shared" si="14"/>
        <v>41639.25</v>
      </c>
      <c r="Q56" s="649">
        <f t="shared" si="14"/>
        <v>42004.5</v>
      </c>
      <c r="R56" s="649">
        <f t="shared" si="14"/>
        <v>42369.75</v>
      </c>
      <c r="S56" s="649">
        <f t="shared" si="14"/>
        <v>42735</v>
      </c>
      <c r="T56" s="649">
        <f t="shared" si="14"/>
        <v>43100.25</v>
      </c>
      <c r="U56" s="649">
        <f t="shared" si="14"/>
        <v>43465.5</v>
      </c>
      <c r="V56" s="649">
        <f t="shared" si="14"/>
        <v>43830.75</v>
      </c>
      <c r="W56" s="650">
        <f t="shared" si="14"/>
        <v>44196</v>
      </c>
      <c r="X56" s="672" t="s">
        <v>196</v>
      </c>
    </row>
    <row r="57" spans="2:24">
      <c r="B57" s="652" t="s">
        <v>119</v>
      </c>
      <c r="C57" s="652">
        <f>C40</f>
        <v>7174168.5260357782</v>
      </c>
      <c r="D57" s="652">
        <f t="shared" ref="D57:W57" si="15">D40</f>
        <v>4968390.5080660954</v>
      </c>
      <c r="E57" s="652">
        <f t="shared" si="15"/>
        <v>4910534.2341600731</v>
      </c>
      <c r="F57" s="652">
        <f t="shared" si="15"/>
        <v>5160587.8302989677</v>
      </c>
      <c r="G57" s="652">
        <f t="shared" si="15"/>
        <v>5267369.2023112066</v>
      </c>
      <c r="H57" s="652">
        <f t="shared" si="15"/>
        <v>5651013.6961178668</v>
      </c>
      <c r="I57" s="652">
        <f t="shared" si="15"/>
        <v>6088250.1765321642</v>
      </c>
      <c r="J57" s="652">
        <f t="shared" si="15"/>
        <v>6330445.2032298222</v>
      </c>
      <c r="K57" s="652">
        <f t="shared" si="15"/>
        <v>6680559.7115275264</v>
      </c>
      <c r="L57" s="652">
        <f t="shared" si="15"/>
        <v>7296766.2620062642</v>
      </c>
      <c r="M57" s="652">
        <f t="shared" si="15"/>
        <v>7751854.5509171002</v>
      </c>
      <c r="N57" s="652">
        <f t="shared" si="15"/>
        <v>8003699.5115614124</v>
      </c>
      <c r="O57" s="652">
        <f t="shared" si="15"/>
        <v>8423731.2243925482</v>
      </c>
      <c r="P57" s="652">
        <f t="shared" si="15"/>
        <v>8992959.4343208931</v>
      </c>
      <c r="Q57" s="652">
        <f t="shared" si="15"/>
        <v>9362442.7904627509</v>
      </c>
      <c r="R57" s="652">
        <f t="shared" si="15"/>
        <v>9564155.6220438741</v>
      </c>
      <c r="S57" s="652">
        <f t="shared" si="15"/>
        <v>9976464.0590366907</v>
      </c>
      <c r="T57" s="652">
        <f t="shared" si="15"/>
        <v>10553946.256307967</v>
      </c>
      <c r="U57" s="652">
        <f t="shared" si="15"/>
        <v>10888267.851041764</v>
      </c>
      <c r="V57" s="652">
        <f t="shared" si="15"/>
        <v>10465090.078656338</v>
      </c>
      <c r="W57" s="658">
        <f t="shared" si="15"/>
        <v>10845378.518976152</v>
      </c>
      <c r="X57" s="657">
        <f>SUM(C57:W57)</f>
        <v>164356075.24800327</v>
      </c>
    </row>
    <row r="58" spans="2:24">
      <c r="B58" s="651" t="s">
        <v>221</v>
      </c>
      <c r="C58" s="668">
        <f>C49</f>
        <v>0</v>
      </c>
      <c r="D58" s="668">
        <f t="shared" ref="D58:W58" ca="1" si="16">D49</f>
        <v>10436610.589967657</v>
      </c>
      <c r="E58" s="668">
        <f t="shared" ca="1" si="16"/>
        <v>10228840.49479796</v>
      </c>
      <c r="F58" s="668">
        <f t="shared" ca="1" si="16"/>
        <v>10002892.282842379</v>
      </c>
      <c r="G58" s="668">
        <f t="shared" ca="1" si="16"/>
        <v>9757175.5234395117</v>
      </c>
      <c r="H58" s="668">
        <f t="shared" ca="1" si="16"/>
        <v>9489960.6367675345</v>
      </c>
      <c r="I58" s="668">
        <f t="shared" ca="1" si="16"/>
        <v>9199366.7194757629</v>
      </c>
      <c r="J58" s="668">
        <f t="shared" ca="1" si="16"/>
        <v>8883348.3051625006</v>
      </c>
      <c r="K58" s="668">
        <f t="shared" ca="1" si="16"/>
        <v>8539680.966507243</v>
      </c>
      <c r="L58" s="668">
        <f t="shared" ca="1" si="16"/>
        <v>8165945.6577118915</v>
      </c>
      <c r="M58" s="668">
        <f t="shared" ca="1" si="16"/>
        <v>7759511.6870386517</v>
      </c>
      <c r="N58" s="668">
        <f t="shared" ca="1" si="16"/>
        <v>7317518.1995898494</v>
      </c>
      <c r="O58" s="668">
        <f t="shared" ca="1" si="16"/>
        <v>6836854.0399883445</v>
      </c>
      <c r="P58" s="668">
        <f t="shared" ca="1" si="16"/>
        <v>6314135.8532137359</v>
      </c>
      <c r="Q58" s="668">
        <f t="shared" ca="1" si="16"/>
        <v>5745684.2694479395</v>
      </c>
      <c r="R58" s="668">
        <f t="shared" ca="1" si="16"/>
        <v>5127498.0052971989</v>
      </c>
      <c r="S58" s="668">
        <f t="shared" ca="1" si="16"/>
        <v>4455225.6990912622</v>
      </c>
      <c r="T58" s="668">
        <f t="shared" ca="1" si="16"/>
        <v>3698798.41144381</v>
      </c>
      <c r="U58" s="668">
        <f t="shared" ca="1" si="16"/>
        <v>2895298.1753590284</v>
      </c>
      <c r="V58" s="668">
        <f t="shared" ca="1" si="16"/>
        <v>1996790.5670128486</v>
      </c>
      <c r="W58" s="668">
        <f t="shared" ca="1" si="16"/>
        <v>1022526.4998815074</v>
      </c>
      <c r="X58" s="657">
        <f ca="1">SUM(C58:W58)</f>
        <v>137873662.58403662</v>
      </c>
    </row>
    <row r="59" spans="2:24">
      <c r="B59" s="651" t="s">
        <v>222</v>
      </c>
      <c r="C59" s="669">
        <f>'Financial Statements'!C34</f>
        <v>0</v>
      </c>
      <c r="D59" s="669">
        <f ca="1">'Financial Statements'!D34</f>
        <v>2374746.1277370825</v>
      </c>
      <c r="E59" s="669">
        <f ca="1">'Financial Statements'!E34</f>
        <v>2582516.2229067814</v>
      </c>
      <c r="F59" s="669">
        <f ca="1">'Financial Statements'!F34</f>
        <v>2808464.4348623604</v>
      </c>
      <c r="G59" s="669">
        <f ca="1">'Financial Statements'!G34</f>
        <v>3054181.1942652259</v>
      </c>
      <c r="H59" s="669">
        <f ca="1">'Financial Statements'!H34</f>
        <v>3321396.0809372067</v>
      </c>
      <c r="I59" s="669">
        <f ca="1">'Financial Statements'!I34</f>
        <v>3611989.9982289765</v>
      </c>
      <c r="J59" s="669">
        <f ca="1">'Financial Statements'!J34</f>
        <v>3928008.4125422426</v>
      </c>
      <c r="K59" s="669">
        <f ca="1">'Financial Statements'!K34</f>
        <v>4271675.7511974927</v>
      </c>
      <c r="L59" s="669">
        <f ca="1">'Financial Statements'!L34</f>
        <v>4645411.0599928489</v>
      </c>
      <c r="M59" s="669">
        <f ca="1">'Financial Statements'!M34</f>
        <v>5051845.030666085</v>
      </c>
      <c r="N59" s="669">
        <f ca="1">'Financial Statements'!N34</f>
        <v>5493838.5181148862</v>
      </c>
      <c r="O59" s="669">
        <f ca="1">'Financial Statements'!O34</f>
        <v>5974502.6777163949</v>
      </c>
      <c r="P59" s="669">
        <f ca="1">'Financial Statements'!P34</f>
        <v>6497220.8644910008</v>
      </c>
      <c r="Q59" s="669">
        <f ca="1">'Financial Statements'!Q34</f>
        <v>7065672.448256799</v>
      </c>
      <c r="R59" s="669">
        <f ca="1">'Financial Statements'!R34</f>
        <v>7683858.7124075396</v>
      </c>
      <c r="S59" s="669">
        <f ca="1">'Financial Statements'!S34</f>
        <v>8356131.0186134782</v>
      </c>
      <c r="T59" s="669">
        <f ca="1">'Financial Statements'!T34</f>
        <v>9087221.4356940575</v>
      </c>
      <c r="U59" s="669">
        <f ca="1">'Financial Statements'!U34</f>
        <v>9882276.0482565444</v>
      </c>
      <c r="V59" s="669">
        <f ca="1">'Financial Statements'!V34</f>
        <v>10746891.179557351</v>
      </c>
      <c r="W59" s="669">
        <f ca="1">'Financial Statements'!W34</f>
        <v>11687152.783555735</v>
      </c>
      <c r="X59" s="669">
        <f ca="1">SUM(C59:W59)</f>
        <v>118125000.00000007</v>
      </c>
    </row>
    <row r="60" spans="2:24">
      <c r="B60" s="651" t="s">
        <v>151</v>
      </c>
      <c r="C60" s="657">
        <f>C57-C58-C59</f>
        <v>7174168.5260357782</v>
      </c>
      <c r="D60" s="657">
        <f t="shared" ref="D60:V60" ca="1" si="17">D57-D58-D59</f>
        <v>-7842966.209638644</v>
      </c>
      <c r="E60" s="657">
        <f t="shared" ca="1" si="17"/>
        <v>-7900822.4835446682</v>
      </c>
      <c r="F60" s="657">
        <f t="shared" ca="1" si="17"/>
        <v>-7650768.8874057718</v>
      </c>
      <c r="G60" s="657">
        <f t="shared" ca="1" si="17"/>
        <v>-7543987.5153935309</v>
      </c>
      <c r="H60" s="657">
        <f t="shared" ca="1" si="17"/>
        <v>-7160343.0215868745</v>
      </c>
      <c r="I60" s="657">
        <f t="shared" ca="1" si="17"/>
        <v>-6723106.5411725752</v>
      </c>
      <c r="J60" s="657">
        <f t="shared" ca="1" si="17"/>
        <v>-6480911.5144749209</v>
      </c>
      <c r="K60" s="657">
        <f t="shared" ca="1" si="17"/>
        <v>-6130797.0061772093</v>
      </c>
      <c r="L60" s="657">
        <f t="shared" ca="1" si="17"/>
        <v>-5514590.4556984762</v>
      </c>
      <c r="M60" s="657">
        <f t="shared" ca="1" si="17"/>
        <v>-5059502.1667876365</v>
      </c>
      <c r="N60" s="657">
        <f t="shared" ca="1" si="17"/>
        <v>-4807657.2061433233</v>
      </c>
      <c r="O60" s="657">
        <f t="shared" ca="1" si="17"/>
        <v>-4387625.4933121912</v>
      </c>
      <c r="P60" s="657">
        <f t="shared" ca="1" si="17"/>
        <v>-3818397.2833838435</v>
      </c>
      <c r="Q60" s="657">
        <f t="shared" ca="1" si="17"/>
        <v>-3448913.9272419875</v>
      </c>
      <c r="R60" s="657">
        <f t="shared" ca="1" si="17"/>
        <v>-3247201.0956608644</v>
      </c>
      <c r="S60" s="657">
        <f t="shared" ca="1" si="17"/>
        <v>-2834892.6586680496</v>
      </c>
      <c r="T60" s="657">
        <f t="shared" ca="1" si="17"/>
        <v>-2232073.5908299005</v>
      </c>
      <c r="U60" s="657">
        <f t="shared" ca="1" si="17"/>
        <v>-1889306.3725738088</v>
      </c>
      <c r="V60" s="657">
        <f t="shared" ca="1" si="17"/>
        <v>-2278591.6679138616</v>
      </c>
      <c r="W60" s="663">
        <f ca="1">SUM(W57:W59)</f>
        <v>23555057.802413397</v>
      </c>
      <c r="X60" s="657">
        <f ca="1">SUM(C60:W60)</f>
        <v>-66223228.769158967</v>
      </c>
    </row>
    <row r="61" spans="2:24">
      <c r="C61" s="657"/>
      <c r="D61" s="657"/>
      <c r="E61" s="657"/>
      <c r="F61" s="657"/>
      <c r="G61" s="657"/>
      <c r="H61" s="657"/>
      <c r="I61" s="657"/>
      <c r="J61" s="657"/>
      <c r="K61" s="657"/>
      <c r="L61" s="657"/>
      <c r="M61" s="657"/>
      <c r="N61" s="657"/>
      <c r="O61" s="657"/>
      <c r="P61" s="657"/>
      <c r="Q61" s="657"/>
      <c r="R61" s="657"/>
      <c r="S61" s="657"/>
      <c r="T61" s="657"/>
      <c r="U61" s="657"/>
      <c r="V61" s="657"/>
      <c r="W61" s="663"/>
      <c r="X61" s="657"/>
    </row>
    <row r="62" spans="2:24">
      <c r="B62" s="651" t="s">
        <v>152</v>
      </c>
      <c r="C62" s="669">
        <f>'Financial Statements'!C37</f>
        <v>0</v>
      </c>
      <c r="D62" s="669">
        <f>'Financial Statements'!D37</f>
        <v>0</v>
      </c>
      <c r="E62" s="669">
        <f>'Financial Statements'!E37</f>
        <v>-86148.28376719635</v>
      </c>
      <c r="F62" s="669">
        <f>'Financial Statements'!F37</f>
        <v>-53280.067259946372</v>
      </c>
      <c r="G62" s="669">
        <f>'Financial Statements'!G37</f>
        <v>20288.296047079843</v>
      </c>
      <c r="H62" s="669">
        <f>'Financial Statements'!H37</f>
        <v>7377.1675507589243</v>
      </c>
      <c r="I62" s="669">
        <f>'Financial Statements'!I37</f>
        <v>-11256.865673276596</v>
      </c>
      <c r="J62" s="669">
        <f>'Financial Statements'!J37</f>
        <v>24357.24068934517</v>
      </c>
      <c r="K62" s="669">
        <f>'Financial Statements'!K37</f>
        <v>56473.295243627857</v>
      </c>
      <c r="L62" s="669">
        <f>'Financial Statements'!L37</f>
        <v>14714.102586969733</v>
      </c>
      <c r="M62" s="669">
        <f>'Financial Statements'!M37</f>
        <v>-13970.938781255856</v>
      </c>
      <c r="N62" s="669">
        <f>'Financial Statements'!N37</f>
        <v>13442.652146250941</v>
      </c>
      <c r="O62" s="669">
        <f>'Financial Statements'!O37</f>
        <v>42995.989972879644</v>
      </c>
      <c r="P62" s="669">
        <f>'Financial Statements'!P37</f>
        <v>16295.896472011693</v>
      </c>
      <c r="Q62" s="669">
        <f>'Financial Statements'!Q37</f>
        <v>-12528.233831031248</v>
      </c>
      <c r="R62" s="669">
        <f>'Financial Statements'!R37</f>
        <v>15076.502582652029</v>
      </c>
      <c r="S62" s="669">
        <f>'Financial Statements'!S37</f>
        <v>44872.234394918196</v>
      </c>
      <c r="T62" s="669">
        <f>'Financial Statements'!T37</f>
        <v>18101.72913378384</v>
      </c>
      <c r="U62" s="669">
        <f>'Financial Statements'!U37</f>
        <v>-10882.093263634481</v>
      </c>
      <c r="V62" s="669">
        <f>'Financial Statements'!V37</f>
        <v>16416.182579904795</v>
      </c>
      <c r="W62" s="669">
        <f>'Financial Statements'!W37</f>
        <v>620.8994193947874</v>
      </c>
      <c r="X62" s="657">
        <f>SUM(C62:W62)</f>
        <v>102965.70624323655</v>
      </c>
    </row>
    <row r="63" spans="2:24">
      <c r="B63" s="651" t="s">
        <v>167</v>
      </c>
      <c r="C63" s="656">
        <f>C60+C62</f>
        <v>7174168.5260357782</v>
      </c>
      <c r="D63" s="656">
        <f t="shared" ref="D63:W63" ca="1" si="18">D60+D62</f>
        <v>-7842966.209638644</v>
      </c>
      <c r="E63" s="656">
        <f t="shared" ca="1" si="18"/>
        <v>-7986970.7673118645</v>
      </c>
      <c r="F63" s="656">
        <f t="shared" ca="1" si="18"/>
        <v>-7704048.9546657186</v>
      </c>
      <c r="G63" s="656">
        <f t="shared" ca="1" si="18"/>
        <v>-7523699.2193464506</v>
      </c>
      <c r="H63" s="656">
        <f t="shared" ca="1" si="18"/>
        <v>-7152965.8540361151</v>
      </c>
      <c r="I63" s="656">
        <f t="shared" ca="1" si="18"/>
        <v>-6734363.4068458518</v>
      </c>
      <c r="J63" s="656">
        <f t="shared" ca="1" si="18"/>
        <v>-6456554.2737855762</v>
      </c>
      <c r="K63" s="656">
        <f t="shared" ca="1" si="18"/>
        <v>-6074323.710933581</v>
      </c>
      <c r="L63" s="656">
        <f t="shared" ca="1" si="18"/>
        <v>-5499876.3531115064</v>
      </c>
      <c r="M63" s="656">
        <f t="shared" ca="1" si="18"/>
        <v>-5073473.1055688923</v>
      </c>
      <c r="N63" s="656">
        <f t="shared" ca="1" si="18"/>
        <v>-4794214.5539970724</v>
      </c>
      <c r="O63" s="656">
        <f t="shared" ca="1" si="18"/>
        <v>-4344629.5033393111</v>
      </c>
      <c r="P63" s="656">
        <f t="shared" ca="1" si="18"/>
        <v>-3802101.3869118318</v>
      </c>
      <c r="Q63" s="656">
        <f t="shared" ca="1" si="18"/>
        <v>-3461442.1610730188</v>
      </c>
      <c r="R63" s="656">
        <f t="shared" ca="1" si="18"/>
        <v>-3232124.5930782123</v>
      </c>
      <c r="S63" s="656">
        <f t="shared" ca="1" si="18"/>
        <v>-2790020.4242731314</v>
      </c>
      <c r="T63" s="656">
        <f t="shared" ca="1" si="18"/>
        <v>-2213971.8616961166</v>
      </c>
      <c r="U63" s="656">
        <f t="shared" ca="1" si="18"/>
        <v>-1900188.4658374432</v>
      </c>
      <c r="V63" s="656">
        <f t="shared" ca="1" si="18"/>
        <v>-2262175.4853339568</v>
      </c>
      <c r="W63" s="670">
        <f t="shared" ca="1" si="18"/>
        <v>23555678.70183279</v>
      </c>
      <c r="X63" s="656">
        <f ca="1">SUM(C63:W63)</f>
        <v>-66120263.062915727</v>
      </c>
    </row>
    <row r="64" spans="2:24">
      <c r="W64" s="662"/>
    </row>
    <row r="65" spans="2:24">
      <c r="B65" s="651" t="s">
        <v>168</v>
      </c>
      <c r="C65" s="651">
        <v>0</v>
      </c>
      <c r="D65" s="657">
        <f>C66</f>
        <v>7174168.5260357782</v>
      </c>
      <c r="E65" s="657">
        <f t="shared" ref="E65:W65" ca="1" si="19">D66</f>
        <v>-668797.68360286206</v>
      </c>
      <c r="F65" s="657">
        <f t="shared" ca="1" si="19"/>
        <v>-8655768.4509147294</v>
      </c>
      <c r="G65" s="657">
        <f t="shared" ca="1" si="19"/>
        <v>-16359817.405580442</v>
      </c>
      <c r="H65" s="657">
        <f t="shared" ca="1" si="19"/>
        <v>-23883516.624926899</v>
      </c>
      <c r="I65" s="657">
        <f t="shared" ca="1" si="19"/>
        <v>-31036482.47896301</v>
      </c>
      <c r="J65" s="657">
        <f t="shared" ca="1" si="19"/>
        <v>-37770845.885808878</v>
      </c>
      <c r="K65" s="657">
        <f t="shared" ca="1" si="19"/>
        <v>-44227400.159594432</v>
      </c>
      <c r="L65" s="657">
        <f t="shared" ca="1" si="19"/>
        <v>-50301723.870528027</v>
      </c>
      <c r="M65" s="657">
        <f t="shared" ca="1" si="19"/>
        <v>-55801600.223639518</v>
      </c>
      <c r="N65" s="657">
        <f t="shared" ca="1" si="19"/>
        <v>-60875073.329208396</v>
      </c>
      <c r="O65" s="657">
        <f t="shared" ca="1" si="19"/>
        <v>-65669287.883205503</v>
      </c>
      <c r="P65" s="657">
        <f t="shared" ca="1" si="19"/>
        <v>-70013917.386544794</v>
      </c>
      <c r="Q65" s="657">
        <f t="shared" ca="1" si="19"/>
        <v>-73816018.773456663</v>
      </c>
      <c r="R65" s="657">
        <f t="shared" ca="1" si="19"/>
        <v>-77277460.934529662</v>
      </c>
      <c r="S65" s="657">
        <f t="shared" ca="1" si="19"/>
        <v>-80509585.527607918</v>
      </c>
      <c r="T65" s="657">
        <f t="shared" ca="1" si="19"/>
        <v>-83299605.951881051</v>
      </c>
      <c r="U65" s="657">
        <f t="shared" ca="1" si="19"/>
        <v>-85513577.81357713</v>
      </c>
      <c r="V65" s="657">
        <f t="shared" ca="1" si="19"/>
        <v>-87413766.279414564</v>
      </c>
      <c r="W65" s="663">
        <f t="shared" ca="1" si="19"/>
        <v>-89675941.764748558</v>
      </c>
    </row>
    <row r="66" spans="2:24">
      <c r="B66" s="651" t="s">
        <v>169</v>
      </c>
      <c r="C66" s="657">
        <f>C63</f>
        <v>7174168.5260357782</v>
      </c>
      <c r="D66" s="657">
        <f ca="1">D65+D63</f>
        <v>-668797.68360286579</v>
      </c>
      <c r="E66" s="657">
        <f t="shared" ref="E66:V66" ca="1" si="20">E65+E63</f>
        <v>-8655768.4509147257</v>
      </c>
      <c r="F66" s="657">
        <f t="shared" ca="1" si="20"/>
        <v>-16359817.405580448</v>
      </c>
      <c r="G66" s="657">
        <f t="shared" ca="1" si="20"/>
        <v>-23883516.624926895</v>
      </c>
      <c r="H66" s="657">
        <f t="shared" ca="1" si="20"/>
        <v>-31036482.478963014</v>
      </c>
      <c r="I66" s="657">
        <f t="shared" ca="1" si="20"/>
        <v>-37770845.885808863</v>
      </c>
      <c r="J66" s="657">
        <f t="shared" ca="1" si="20"/>
        <v>-44227400.159594454</v>
      </c>
      <c r="K66" s="657">
        <f t="shared" ca="1" si="20"/>
        <v>-50301723.870528013</v>
      </c>
      <c r="L66" s="657">
        <f t="shared" ca="1" si="20"/>
        <v>-55801600.223639533</v>
      </c>
      <c r="M66" s="657">
        <f t="shared" ca="1" si="20"/>
        <v>-60875073.329208411</v>
      </c>
      <c r="N66" s="657">
        <f t="shared" ca="1" si="20"/>
        <v>-65669287.883205466</v>
      </c>
      <c r="O66" s="657">
        <f t="shared" ca="1" si="20"/>
        <v>-70013917.386544809</v>
      </c>
      <c r="P66" s="657">
        <f t="shared" ca="1" si="20"/>
        <v>-73816018.773456633</v>
      </c>
      <c r="Q66" s="657">
        <f t="shared" ca="1" si="20"/>
        <v>-77277460.934529677</v>
      </c>
      <c r="R66" s="657">
        <f t="shared" ca="1" si="20"/>
        <v>-80509585.527607873</v>
      </c>
      <c r="S66" s="657">
        <f t="shared" ca="1" si="20"/>
        <v>-83299605.951881051</v>
      </c>
      <c r="T66" s="657">
        <f t="shared" ca="1" si="20"/>
        <v>-85513577.813577175</v>
      </c>
      <c r="U66" s="657">
        <f t="shared" ca="1" si="20"/>
        <v>-87413766.279414579</v>
      </c>
      <c r="V66" s="657">
        <f t="shared" ca="1" si="20"/>
        <v>-89675941.764748514</v>
      </c>
      <c r="W66" s="663">
        <f ca="1">W65+W63</f>
        <v>-66120263.062915772</v>
      </c>
    </row>
    <row r="67" spans="2:24">
      <c r="W67" s="658"/>
    </row>
    <row r="68" spans="2:24">
      <c r="B68" s="738" t="s">
        <v>215</v>
      </c>
      <c r="C68" s="744" t="str">
        <f>IF(C58+C59&gt;0,C57/(C58+C59),"n/a")</f>
        <v>n/a</v>
      </c>
      <c r="D68" s="739">
        <f t="shared" ref="D68:W68" ca="1" si="21">IF(D58+D59&gt;0,D57/(D58+D59),"n/a")</f>
        <v>0.38781142524897422</v>
      </c>
      <c r="E68" s="739">
        <f t="shared" ca="1" si="21"/>
        <v>0.3832954106549798</v>
      </c>
      <c r="F68" s="739">
        <f t="shared" ca="1" si="21"/>
        <v>0.40281353052696278</v>
      </c>
      <c r="G68" s="739">
        <f t="shared" ca="1" si="21"/>
        <v>0.4111484301293345</v>
      </c>
      <c r="H68" s="739">
        <f t="shared" ca="1" si="21"/>
        <v>0.44109408711634812</v>
      </c>
      <c r="I68" s="739">
        <f t="shared" ca="1" si="21"/>
        <v>0.4752229065730772</v>
      </c>
      <c r="J68" s="739">
        <f t="shared" ca="1" si="21"/>
        <v>0.49412761994843368</v>
      </c>
      <c r="K68" s="739">
        <f t="shared" ca="1" si="21"/>
        <v>0.52145606891854668</v>
      </c>
      <c r="L68" s="739">
        <f t="shared" ca="1" si="21"/>
        <v>0.56955453062379024</v>
      </c>
      <c r="M68" s="739">
        <f t="shared" ca="1" si="21"/>
        <v>0.60507678630198281</v>
      </c>
      <c r="N68" s="739">
        <f t="shared" ca="1" si="21"/>
        <v>0.62473473246597289</v>
      </c>
      <c r="O68" s="739">
        <f t="shared" ca="1" si="21"/>
        <v>0.65752062096212782</v>
      </c>
      <c r="P68" s="739">
        <f t="shared" ca="1" si="21"/>
        <v>0.70195215327140303</v>
      </c>
      <c r="Q68" s="739">
        <f t="shared" ca="1" si="21"/>
        <v>0.73079245210027299</v>
      </c>
      <c r="R68" s="739">
        <f t="shared" ca="1" si="21"/>
        <v>0.74653729755464737</v>
      </c>
      <c r="S68" s="739">
        <f t="shared" ca="1" si="21"/>
        <v>0.77872033999721901</v>
      </c>
      <c r="T68" s="739">
        <f t="shared" ca="1" si="21"/>
        <v>0.82542858391311291</v>
      </c>
      <c r="U68" s="739">
        <f t="shared" ca="1" si="21"/>
        <v>0.85213888493154022</v>
      </c>
      <c r="V68" s="739">
        <f t="shared" ca="1" si="21"/>
        <v>0.82119832296289763</v>
      </c>
      <c r="W68" s="740">
        <f t="shared" ca="1" si="21"/>
        <v>0.85331645882751939</v>
      </c>
      <c r="X68" s="671"/>
    </row>
    <row r="69" spans="2:24" hidden="1">
      <c r="B69" s="723" t="s">
        <v>214</v>
      </c>
      <c r="C69" s="724">
        <f>IF(C68&lt;1,1,0)</f>
        <v>0</v>
      </c>
      <c r="D69" s="724">
        <f t="shared" ref="D69:W69" ca="1" si="22">IF(D68&lt;1,1,0)</f>
        <v>1</v>
      </c>
      <c r="E69" s="724">
        <f t="shared" ca="1" si="22"/>
        <v>1</v>
      </c>
      <c r="F69" s="724">
        <f t="shared" ca="1" si="22"/>
        <v>1</v>
      </c>
      <c r="G69" s="724">
        <f t="shared" ca="1" si="22"/>
        <v>1</v>
      </c>
      <c r="H69" s="724">
        <f t="shared" ca="1" si="22"/>
        <v>1</v>
      </c>
      <c r="I69" s="724">
        <f t="shared" ca="1" si="22"/>
        <v>1</v>
      </c>
      <c r="J69" s="724">
        <f t="shared" ca="1" si="22"/>
        <v>1</v>
      </c>
      <c r="K69" s="724">
        <f t="shared" ca="1" si="22"/>
        <v>1</v>
      </c>
      <c r="L69" s="724">
        <f t="shared" ca="1" si="22"/>
        <v>1</v>
      </c>
      <c r="M69" s="724">
        <f t="shared" ca="1" si="22"/>
        <v>1</v>
      </c>
      <c r="N69" s="724">
        <f t="shared" ca="1" si="22"/>
        <v>1</v>
      </c>
      <c r="O69" s="724">
        <f t="shared" ca="1" si="22"/>
        <v>1</v>
      </c>
      <c r="P69" s="724">
        <f t="shared" ca="1" si="22"/>
        <v>1</v>
      </c>
      <c r="Q69" s="724">
        <f t="shared" ca="1" si="22"/>
        <v>1</v>
      </c>
      <c r="R69" s="724">
        <f t="shared" ca="1" si="22"/>
        <v>1</v>
      </c>
      <c r="S69" s="724">
        <f t="shared" ca="1" si="22"/>
        <v>1</v>
      </c>
      <c r="T69" s="724">
        <f t="shared" ca="1" si="22"/>
        <v>1</v>
      </c>
      <c r="U69" s="724">
        <f t="shared" ca="1" si="22"/>
        <v>1</v>
      </c>
      <c r="V69" s="724">
        <f t="shared" ca="1" si="22"/>
        <v>1</v>
      </c>
      <c r="W69" s="725">
        <f t="shared" ca="1" si="22"/>
        <v>1</v>
      </c>
      <c r="X69" s="671"/>
    </row>
    <row r="70" spans="2:24" s="686" customFormat="1">
      <c r="B70" s="734" t="s">
        <v>319</v>
      </c>
      <c r="C70" s="735" t="s">
        <v>252</v>
      </c>
      <c r="D70" s="736">
        <f t="shared" ref="D70:R70" si="23">D42/D73</f>
        <v>2.2477269939177402</v>
      </c>
      <c r="E70" s="736">
        <f t="shared" si="23"/>
        <v>2.2558581396059543</v>
      </c>
      <c r="F70" s="736">
        <f t="shared" si="23"/>
        <v>2.2527434531659343</v>
      </c>
      <c r="G70" s="736">
        <f t="shared" si="23"/>
        <v>2.250000951651121</v>
      </c>
      <c r="H70" s="736">
        <f t="shared" si="23"/>
        <v>2.2515949663484807</v>
      </c>
      <c r="I70" s="736">
        <f t="shared" si="23"/>
        <v>2.2576101291622739</v>
      </c>
      <c r="J70" s="736">
        <f t="shared" si="23"/>
        <v>2.2540463693600747</v>
      </c>
      <c r="K70" s="736">
        <f t="shared" si="23"/>
        <v>2.2493975472805219</v>
      </c>
      <c r="L70" s="736">
        <f t="shared" si="23"/>
        <v>2.3195325466705365</v>
      </c>
      <c r="M70" s="736">
        <f t="shared" si="23"/>
        <v>2.5236814406916031</v>
      </c>
      <c r="N70" s="736">
        <f t="shared" si="23"/>
        <v>2.6507285441403634</v>
      </c>
      <c r="O70" s="736">
        <f t="shared" si="23"/>
        <v>2.8370957834955552</v>
      </c>
      <c r="P70" s="736">
        <f t="shared" si="23"/>
        <v>2.8855957961879493</v>
      </c>
      <c r="Q70" s="736">
        <f t="shared" si="23"/>
        <v>3.9429725021820219</v>
      </c>
      <c r="R70" s="736">
        <f t="shared" si="23"/>
        <v>5.7131368239830387</v>
      </c>
      <c r="S70" s="736"/>
      <c r="T70" s="736"/>
      <c r="U70" s="736"/>
      <c r="V70" s="736"/>
      <c r="W70" s="737"/>
    </row>
    <row r="72" spans="2:24">
      <c r="B72" s="738" t="s">
        <v>321</v>
      </c>
      <c r="C72" s="741">
        <f>C58+C59</f>
        <v>0</v>
      </c>
      <c r="D72" s="741">
        <f t="shared" ref="D72:W72" ca="1" si="24">D58+D59</f>
        <v>12811356.717704739</v>
      </c>
      <c r="E72" s="741">
        <f t="shared" ca="1" si="24"/>
        <v>12811356.717704741</v>
      </c>
      <c r="F72" s="741">
        <f t="shared" ca="1" si="24"/>
        <v>12811356.717704739</v>
      </c>
      <c r="G72" s="741">
        <f t="shared" ca="1" si="24"/>
        <v>12811356.717704738</v>
      </c>
      <c r="H72" s="741">
        <f t="shared" ca="1" si="24"/>
        <v>12811356.717704741</v>
      </c>
      <c r="I72" s="741">
        <f t="shared" ca="1" si="24"/>
        <v>12811356.717704739</v>
      </c>
      <c r="J72" s="741">
        <f t="shared" ca="1" si="24"/>
        <v>12811356.717704743</v>
      </c>
      <c r="K72" s="741">
        <f t="shared" ca="1" si="24"/>
        <v>12811356.717704736</v>
      </c>
      <c r="L72" s="741">
        <f t="shared" ca="1" si="24"/>
        <v>12811356.717704739</v>
      </c>
      <c r="M72" s="741">
        <f t="shared" ca="1" si="24"/>
        <v>12811356.717704736</v>
      </c>
      <c r="N72" s="741">
        <f t="shared" ca="1" si="24"/>
        <v>12811356.717704736</v>
      </c>
      <c r="O72" s="741">
        <f t="shared" ca="1" si="24"/>
        <v>12811356.717704739</v>
      </c>
      <c r="P72" s="741">
        <f t="shared" ca="1" si="24"/>
        <v>12811356.717704736</v>
      </c>
      <c r="Q72" s="741">
        <f t="shared" ca="1" si="24"/>
        <v>12811356.717704739</v>
      </c>
      <c r="R72" s="741">
        <f t="shared" ca="1" si="24"/>
        <v>12811356.717704739</v>
      </c>
      <c r="S72" s="741">
        <f t="shared" ca="1" si="24"/>
        <v>12811356.717704739</v>
      </c>
      <c r="T72" s="741">
        <f t="shared" ca="1" si="24"/>
        <v>12786019.847137868</v>
      </c>
      <c r="U72" s="741">
        <f t="shared" ca="1" si="24"/>
        <v>12777574.223615572</v>
      </c>
      <c r="V72" s="741">
        <f t="shared" ca="1" si="24"/>
        <v>12743681.7465702</v>
      </c>
      <c r="W72" s="741">
        <f t="shared" ca="1" si="24"/>
        <v>12709679.283437243</v>
      </c>
      <c r="X72" s="742">
        <f ca="1">SUM(C72:W72)</f>
        <v>255998662.58403674</v>
      </c>
    </row>
    <row r="73" spans="2:24">
      <c r="B73" s="644" t="s">
        <v>320</v>
      </c>
      <c r="C73" s="700">
        <v>0</v>
      </c>
      <c r="D73" s="726">
        <v>12429680</v>
      </c>
      <c r="E73" s="726">
        <v>11845460</v>
      </c>
      <c r="F73" s="726">
        <v>12385070</v>
      </c>
      <c r="G73" s="726">
        <v>12580750</v>
      </c>
      <c r="H73" s="726">
        <v>8796670</v>
      </c>
      <c r="I73" s="726">
        <v>11822750</v>
      </c>
      <c r="J73" s="726">
        <v>15258270</v>
      </c>
      <c r="K73" s="726">
        <v>15473600</v>
      </c>
      <c r="L73" s="726">
        <v>14041870</v>
      </c>
      <c r="M73" s="726">
        <v>13144120</v>
      </c>
      <c r="N73" s="726">
        <v>11808180</v>
      </c>
      <c r="O73" s="726">
        <v>10957680</v>
      </c>
      <c r="P73" s="726">
        <v>9668990</v>
      </c>
      <c r="Q73" s="726">
        <v>8427560</v>
      </c>
      <c r="R73" s="726">
        <v>6786420.0000000168</v>
      </c>
      <c r="S73" s="726">
        <v>0</v>
      </c>
      <c r="T73" s="726">
        <v>0</v>
      </c>
      <c r="U73" s="726">
        <v>0</v>
      </c>
      <c r="V73" s="726">
        <v>0</v>
      </c>
      <c r="W73" s="726">
        <v>0</v>
      </c>
      <c r="X73" s="727">
        <f>SUM(C73:W73)</f>
        <v>175427070.00000003</v>
      </c>
    </row>
    <row r="74" spans="2:24">
      <c r="B74" s="690" t="s">
        <v>179</v>
      </c>
      <c r="C74" s="704">
        <f>C72-C73</f>
        <v>0</v>
      </c>
      <c r="D74" s="704">
        <f t="shared" ref="D74:X74" ca="1" si="25">D72-D73</f>
        <v>381676.71770473942</v>
      </c>
      <c r="E74" s="704">
        <f t="shared" ca="1" si="25"/>
        <v>965896.71770474128</v>
      </c>
      <c r="F74" s="704">
        <f t="shared" ca="1" si="25"/>
        <v>426286.71770473942</v>
      </c>
      <c r="G74" s="704">
        <f t="shared" ca="1" si="25"/>
        <v>230606.71770473756</v>
      </c>
      <c r="H74" s="704">
        <f t="shared" ca="1" si="25"/>
        <v>4014686.7177047413</v>
      </c>
      <c r="I74" s="704">
        <f t="shared" ca="1" si="25"/>
        <v>988606.71770473942</v>
      </c>
      <c r="J74" s="704">
        <f t="shared" ca="1" si="25"/>
        <v>-2446913.2822952569</v>
      </c>
      <c r="K74" s="704">
        <f t="shared" ca="1" si="25"/>
        <v>-2662243.2822952643</v>
      </c>
      <c r="L74" s="704">
        <f t="shared" ca="1" si="25"/>
        <v>-1230513.2822952606</v>
      </c>
      <c r="M74" s="704">
        <f t="shared" ca="1" si="25"/>
        <v>-332763.2822952643</v>
      </c>
      <c r="N74" s="704">
        <f t="shared" ca="1" si="25"/>
        <v>1003176.7177047357</v>
      </c>
      <c r="O74" s="704">
        <f t="shared" ca="1" si="25"/>
        <v>1853676.7177047394</v>
      </c>
      <c r="P74" s="704">
        <f t="shared" ca="1" si="25"/>
        <v>3142366.7177047357</v>
      </c>
      <c r="Q74" s="704">
        <f t="shared" ca="1" si="25"/>
        <v>4383796.7177047394</v>
      </c>
      <c r="R74" s="704">
        <f t="shared" ca="1" si="25"/>
        <v>6024936.7177047227</v>
      </c>
      <c r="S74" s="704">
        <f t="shared" ca="1" si="25"/>
        <v>12811356.717704739</v>
      </c>
      <c r="T74" s="704">
        <f t="shared" ca="1" si="25"/>
        <v>12786019.847137868</v>
      </c>
      <c r="U74" s="704">
        <f t="shared" ca="1" si="25"/>
        <v>12777574.223615572</v>
      </c>
      <c r="V74" s="704">
        <f t="shared" ca="1" si="25"/>
        <v>12743681.7465702</v>
      </c>
      <c r="W74" s="704">
        <f t="shared" ca="1" si="25"/>
        <v>12709679.283437243</v>
      </c>
      <c r="X74" s="705">
        <f t="shared" ca="1" si="25"/>
        <v>80571592.584036708</v>
      </c>
    </row>
    <row r="75" spans="2:24" s="652" customFormat="1"/>
    <row r="76" spans="2:24">
      <c r="D76" s="657"/>
      <c r="E76" s="657"/>
      <c r="F76" s="657"/>
      <c r="G76" s="657"/>
      <c r="H76" s="657"/>
      <c r="I76" s="657"/>
      <c r="J76" s="657"/>
      <c r="K76" s="657"/>
      <c r="L76" s="657"/>
      <c r="M76" s="657"/>
      <c r="N76" s="657"/>
      <c r="O76" s="657"/>
      <c r="P76" s="657"/>
      <c r="Q76" s="657"/>
      <c r="R76" s="657"/>
      <c r="S76" s="657"/>
      <c r="T76" s="657"/>
      <c r="U76" s="657"/>
      <c r="V76" s="657"/>
      <c r="W76" s="657"/>
    </row>
    <row r="77" spans="2:24">
      <c r="D77" s="657"/>
      <c r="E77" s="657"/>
      <c r="F77" s="657"/>
      <c r="G77" s="657"/>
      <c r="H77" s="657"/>
      <c r="I77" s="657"/>
      <c r="J77" s="657"/>
      <c r="K77" s="657"/>
      <c r="L77" s="657"/>
      <c r="M77" s="657"/>
      <c r="N77" s="657"/>
      <c r="O77" s="657"/>
      <c r="P77" s="657"/>
      <c r="Q77" s="657"/>
      <c r="R77" s="657"/>
      <c r="S77" s="657"/>
      <c r="T77" s="657"/>
      <c r="U77" s="657"/>
      <c r="V77" s="657"/>
      <c r="W77" s="657"/>
    </row>
  </sheetData>
  <printOptions horizontalCentered="1" verticalCentered="1"/>
  <pageMargins left="0.1" right="0.1" top="0.5" bottom="0.1" header="0.15" footer="0.5"/>
  <pageSetup paperSize="5" scale="64" orientation="landscape" horizontalDpi="0" r:id="rId1"/>
  <headerFooter alignWithMargins="0">
    <oddHeader>&amp;C&amp;"Arial,Bold"&amp;16Exhibit A (Comparative Income and Cash Flow Statement, and Coverage Analysis)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18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28" baseType="lpstr">
      <vt:lpstr>PJM_01212000</vt:lpstr>
      <vt:lpstr>Super Peak Curve</vt:lpstr>
      <vt:lpstr>Super Peak Curve Simulation</vt:lpstr>
      <vt:lpstr>Fuel Curve</vt:lpstr>
      <vt:lpstr>Curve Analysis - Base Case</vt:lpstr>
      <vt:lpstr>Deal Depiction</vt:lpstr>
      <vt:lpstr>Credit Reserve Simulation</vt:lpstr>
      <vt:lpstr>Curve Comparison</vt:lpstr>
      <vt:lpstr>Company Volumes</vt:lpstr>
      <vt:lpstr>Company Power Prices</vt:lpstr>
      <vt:lpstr>Company Gas Prices</vt:lpstr>
      <vt:lpstr>Inflation</vt:lpstr>
      <vt:lpstr>PJM Curve Simulation</vt:lpstr>
      <vt:lpstr>Fuel Curve Simulation</vt:lpstr>
      <vt:lpstr>Revenues &amp; Expenses</vt:lpstr>
      <vt:lpstr>Financial Statements</vt:lpstr>
      <vt:lpstr>Debt Amortization</vt:lpstr>
      <vt:lpstr>IS Comparison</vt:lpstr>
      <vt:lpstr>Fuel Curve Graph</vt:lpstr>
      <vt:lpstr>Power Curve Graph</vt:lpstr>
      <vt:lpstr>'Company Volumes'!Print_Area</vt:lpstr>
      <vt:lpstr>'Curve Analysis - Base Case'!Print_Area</vt:lpstr>
      <vt:lpstr>'Deal Depiction'!Print_Area</vt:lpstr>
      <vt:lpstr>'Debt Amortization'!Print_Area</vt:lpstr>
      <vt:lpstr>'Financial Statements'!Print_Area</vt:lpstr>
      <vt:lpstr>'IS Comparison'!Print_Area</vt:lpstr>
      <vt:lpstr>'Super Peak Curve'!Print_Area</vt:lpstr>
      <vt:lpstr>'Super Peak Curve Simulation'!Print_Area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appinst</dc:creator>
  <cp:lastModifiedBy>Havlíček Jan</cp:lastModifiedBy>
  <cp:lastPrinted>2000-03-06T16:39:59Z</cp:lastPrinted>
  <dcterms:created xsi:type="dcterms:W3CDTF">1999-03-19T16:34:15Z</dcterms:created>
  <dcterms:modified xsi:type="dcterms:W3CDTF">2023-09-10T11:58:10Z</dcterms:modified>
</cp:coreProperties>
</file>