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Terra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C16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F4" i="9"/>
  <c r="K5" i="9"/>
  <c r="F6" i="9"/>
  <c r="F7" i="9"/>
  <c r="K7" i="9"/>
  <c r="F9" i="9"/>
  <c r="I9" i="9"/>
  <c r="K9" i="9"/>
  <c r="F10" i="9"/>
  <c r="I10" i="9"/>
  <c r="K10" i="9"/>
  <c r="F11" i="9"/>
  <c r="I11" i="9"/>
  <c r="K11" i="9"/>
  <c r="D12" i="9"/>
  <c r="F12" i="9"/>
  <c r="I12" i="9"/>
  <c r="K12" i="9"/>
  <c r="F15" i="9"/>
  <c r="I15" i="9"/>
  <c r="K15" i="9"/>
  <c r="F16" i="9"/>
  <c r="I16" i="9"/>
  <c r="K16" i="9"/>
  <c r="F17" i="9"/>
  <c r="I17" i="9"/>
  <c r="K17" i="9"/>
  <c r="F18" i="9"/>
  <c r="I18" i="9"/>
  <c r="K18" i="9"/>
  <c r="F19" i="9"/>
  <c r="I19" i="9"/>
  <c r="K19" i="9"/>
  <c r="F20" i="9"/>
  <c r="I20" i="9"/>
  <c r="K20" i="9"/>
  <c r="D21" i="9"/>
  <c r="F21" i="9"/>
  <c r="I21" i="9"/>
  <c r="K21" i="9"/>
  <c r="F24" i="9"/>
  <c r="I24" i="9"/>
  <c r="K24" i="9"/>
  <c r="D25" i="9"/>
  <c r="F25" i="9"/>
  <c r="I25" i="9"/>
  <c r="K25" i="9"/>
  <c r="I29" i="9"/>
  <c r="K29" i="9"/>
  <c r="I33" i="9"/>
  <c r="K33" i="9"/>
  <c r="D34" i="9"/>
  <c r="F34" i="9"/>
  <c r="I34" i="9"/>
  <c r="K34" i="9"/>
  <c r="F37" i="9"/>
  <c r="I37" i="9"/>
  <c r="K37" i="9"/>
  <c r="F38" i="9"/>
  <c r="I38" i="9"/>
  <c r="K38" i="9"/>
  <c r="F39" i="9"/>
  <c r="I39" i="9"/>
  <c r="K39" i="9"/>
  <c r="F40" i="9"/>
  <c r="I40" i="9"/>
  <c r="K40" i="9"/>
  <c r="F41" i="9"/>
  <c r="I41" i="9"/>
  <c r="K41" i="9"/>
  <c r="F42" i="9"/>
  <c r="I42" i="9"/>
  <c r="K42" i="9"/>
  <c r="F43" i="9"/>
  <c r="I43" i="9"/>
  <c r="K43" i="9"/>
  <c r="F44" i="9"/>
  <c r="I44" i="9"/>
  <c r="K44" i="9"/>
  <c r="F45" i="9"/>
  <c r="I45" i="9"/>
  <c r="K45" i="9"/>
  <c r="F46" i="9"/>
  <c r="I46" i="9"/>
  <c r="K46" i="9"/>
  <c r="F47" i="9"/>
  <c r="I47" i="9"/>
  <c r="K47" i="9"/>
  <c r="F48" i="9"/>
  <c r="I48" i="9"/>
  <c r="K48" i="9"/>
  <c r="F49" i="9"/>
  <c r="I49" i="9"/>
  <c r="K49" i="9"/>
  <c r="F50" i="9"/>
  <c r="I50" i="9"/>
  <c r="K50" i="9"/>
  <c r="F51" i="9"/>
  <c r="I51" i="9"/>
  <c r="K51" i="9"/>
  <c r="F52" i="9"/>
  <c r="I52" i="9"/>
  <c r="K52" i="9"/>
  <c r="F53" i="9"/>
  <c r="I53" i="9"/>
  <c r="K53" i="9"/>
  <c r="F54" i="9"/>
  <c r="I54" i="9"/>
  <c r="K54" i="9"/>
  <c r="F55" i="9"/>
  <c r="I55" i="9"/>
  <c r="K55" i="9"/>
  <c r="F56" i="9"/>
  <c r="I56" i="9"/>
  <c r="K56" i="9"/>
  <c r="F57" i="9"/>
  <c r="I57" i="9"/>
  <c r="K57" i="9"/>
  <c r="F58" i="9"/>
  <c r="I58" i="9"/>
  <c r="K58" i="9"/>
  <c r="F59" i="9"/>
  <c r="I59" i="9"/>
  <c r="K59" i="9"/>
  <c r="F60" i="9"/>
  <c r="I60" i="9"/>
  <c r="K60" i="9"/>
  <c r="I61" i="9"/>
  <c r="F62" i="9"/>
  <c r="I62" i="9"/>
  <c r="K62" i="9"/>
  <c r="I63" i="9"/>
  <c r="K63" i="9"/>
  <c r="F64" i="9"/>
  <c r="I64" i="9"/>
  <c r="K64" i="9"/>
  <c r="F65" i="9"/>
  <c r="I65" i="9"/>
  <c r="F66" i="9"/>
  <c r="I66" i="9"/>
  <c r="K66" i="9"/>
  <c r="F67" i="9"/>
  <c r="I67" i="9"/>
  <c r="K67" i="9"/>
  <c r="F68" i="9"/>
  <c r="I68" i="9"/>
  <c r="K68" i="9"/>
  <c r="F69" i="9"/>
  <c r="I69" i="9"/>
  <c r="K69" i="9"/>
  <c r="F70" i="9"/>
  <c r="I70" i="9"/>
  <c r="K70" i="9"/>
  <c r="D71" i="9"/>
  <c r="F71" i="9"/>
  <c r="I71" i="9"/>
  <c r="K71" i="9"/>
  <c r="F74" i="9"/>
  <c r="I74" i="9"/>
  <c r="K74" i="9"/>
  <c r="D75" i="9"/>
  <c r="F75" i="9"/>
  <c r="I75" i="9"/>
  <c r="K75" i="9"/>
  <c r="D77" i="9"/>
  <c r="F77" i="9"/>
  <c r="I77" i="9"/>
  <c r="K77" i="9"/>
  <c r="F80" i="9"/>
  <c r="I80" i="9"/>
  <c r="K80" i="9"/>
  <c r="F81" i="9"/>
  <c r="I81" i="9"/>
  <c r="K81" i="9"/>
  <c r="F82" i="9"/>
  <c r="I82" i="9"/>
  <c r="K82" i="9"/>
  <c r="F83" i="9"/>
  <c r="I83" i="9"/>
  <c r="K83" i="9"/>
  <c r="F84" i="9"/>
  <c r="I84" i="9"/>
  <c r="K84" i="9"/>
  <c r="F85" i="9"/>
  <c r="I85" i="9"/>
  <c r="K85" i="9"/>
  <c r="F86" i="9"/>
  <c r="I86" i="9"/>
  <c r="K86" i="9"/>
  <c r="F87" i="9"/>
  <c r="I87" i="9"/>
  <c r="K87" i="9"/>
  <c r="F88" i="9"/>
  <c r="I88" i="9"/>
  <c r="K88" i="9"/>
  <c r="F89" i="9"/>
  <c r="I89" i="9"/>
  <c r="K89" i="9"/>
  <c r="F90" i="9"/>
  <c r="I90" i="9"/>
  <c r="K90" i="9"/>
  <c r="F91" i="9"/>
  <c r="I91" i="9"/>
  <c r="K91" i="9"/>
  <c r="F92" i="9"/>
  <c r="I92" i="9"/>
  <c r="K92" i="9"/>
  <c r="F93" i="9"/>
  <c r="I93" i="9"/>
  <c r="K93" i="9"/>
  <c r="D94" i="9"/>
  <c r="F94" i="9"/>
  <c r="I94" i="9"/>
  <c r="K94" i="9"/>
  <c r="F97" i="9"/>
  <c r="I97" i="9"/>
  <c r="K97" i="9"/>
  <c r="F98" i="9"/>
  <c r="I98" i="9"/>
  <c r="K98" i="9"/>
  <c r="F99" i="9"/>
  <c r="I99" i="9"/>
  <c r="K99" i="9"/>
  <c r="F100" i="9"/>
  <c r="I100" i="9"/>
  <c r="K100" i="9"/>
  <c r="F101" i="9"/>
  <c r="I101" i="9"/>
  <c r="K101" i="9"/>
  <c r="D102" i="9"/>
  <c r="F102" i="9"/>
  <c r="I102" i="9"/>
  <c r="K102" i="9"/>
  <c r="F105" i="9"/>
  <c r="I105" i="9"/>
  <c r="K105" i="9"/>
  <c r="D106" i="9"/>
  <c r="F106" i="9"/>
  <c r="I106" i="9"/>
  <c r="K106" i="9"/>
  <c r="F109" i="9"/>
  <c r="F110" i="9"/>
  <c r="F111" i="9"/>
  <c r="F112" i="9"/>
  <c r="D113" i="9"/>
  <c r="F113" i="9"/>
  <c r="I113" i="9"/>
  <c r="K113" i="9"/>
  <c r="D115" i="9"/>
  <c r="F115" i="9"/>
  <c r="I115" i="9"/>
  <c r="K115" i="9"/>
  <c r="D117" i="9"/>
  <c r="F117" i="9"/>
  <c r="I117" i="9"/>
  <c r="K117" i="9"/>
  <c r="D119" i="9"/>
  <c r="F119" i="9"/>
  <c r="I119" i="9"/>
  <c r="K119" i="9"/>
  <c r="D121" i="9"/>
  <c r="F121" i="9"/>
  <c r="I121" i="9"/>
  <c r="K121" i="9"/>
  <c r="D122" i="9"/>
  <c r="F122" i="9"/>
  <c r="I122" i="9"/>
  <c r="K122" i="9"/>
  <c r="D124" i="9"/>
  <c r="F124" i="9"/>
  <c r="I124" i="9"/>
  <c r="K124" i="9"/>
  <c r="D125" i="9"/>
  <c r="F125" i="9"/>
  <c r="I125" i="9"/>
  <c r="K125" i="9"/>
  <c r="D127" i="9"/>
  <c r="F127" i="9"/>
  <c r="I127" i="9"/>
  <c r="K127" i="9"/>
</calcChain>
</file>

<file path=xl/sharedStrings.xml><?xml version="1.0" encoding="utf-8"?>
<sst xmlns="http://schemas.openxmlformats.org/spreadsheetml/2006/main" count="227" uniqueCount="165">
  <si>
    <t>Indirect Costs</t>
  </si>
  <si>
    <t>Engineering</t>
  </si>
  <si>
    <t>startup</t>
  </si>
  <si>
    <t>Procurement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</si>
  <si>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</si>
  <si>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</si>
  <si>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</si>
  <si>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</si>
  <si>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</si>
  <si>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</si>
  <si>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</si>
  <si>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</si>
  <si>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</si>
  <si>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</si>
  <si>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</si>
  <si>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</si>
  <si>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</si>
  <si>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</si>
  <si>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</si>
  <si>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</si>
  <si>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</si>
  <si>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</si>
  <si>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</si>
  <si>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</si>
  <si>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</si>
  <si>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</si>
  <si>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</si>
  <si>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</si>
  <si>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</si>
  <si>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</si>
  <si>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TOTAL PROJECT $M/UNIT</t>
  </si>
  <si>
    <t>NEPCO</t>
  </si>
  <si>
    <t>yes</t>
  </si>
  <si>
    <t xml:space="preserve">City of Austin 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</si>
  <si>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</si>
  <si>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</si>
  <si>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</si>
  <si>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</si>
  <si>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</si>
  <si>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</si>
  <si>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</si>
  <si>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</si>
  <si>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</si>
  <si>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</si>
  <si>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</si>
  <si>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</si>
  <si>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</si>
  <si>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</si>
  <si>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</si>
  <si>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</si>
  <si>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</si>
  <si>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</si>
  <si>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</si>
  <si>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</si>
  <si>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</si>
  <si>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</si>
  <si>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</si>
  <si>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</si>
  <si>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</si>
  <si>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</si>
  <si>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</si>
  <si>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</si>
  <si>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</si>
  <si>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</si>
  <si>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</si>
  <si>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</si>
  <si>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</si>
  <si>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</si>
  <si>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</si>
  <si>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</si>
  <si>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</si>
  <si>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</si>
  <si>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</si>
  <si>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</si>
  <si>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per diems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</si>
  <si>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</si>
  <si>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</si>
  <si>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</si>
  <si>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</si>
  <si>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</si>
  <si>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</si>
  <si>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</si>
  <si>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</si>
  <si>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</si>
  <si>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</si>
  <si>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</si>
  <si>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</si>
  <si>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</si>
  <si>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</si>
  <si>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bus duct</t>
  </si>
  <si>
    <t>dry xfmrs</t>
  </si>
  <si>
    <t>step-up transformers</t>
  </si>
  <si>
    <t>pwr dist xfrms</t>
  </si>
  <si>
    <t>600V MCC</t>
  </si>
  <si>
    <t>600V swgr</t>
  </si>
  <si>
    <t>5kV MCC</t>
  </si>
  <si>
    <t>5kV swgr</t>
  </si>
  <si>
    <t>control panel</t>
  </si>
  <si>
    <t>DCS</t>
  </si>
  <si>
    <t>spec systems</t>
  </si>
  <si>
    <t>UPS</t>
  </si>
  <si>
    <t>DC system</t>
  </si>
  <si>
    <t>fld mntd instr</t>
  </si>
  <si>
    <t>control valves</t>
  </si>
  <si>
    <t>pumps</t>
  </si>
  <si>
    <t>APC equipment</t>
  </si>
  <si>
    <t>Gas Compression</t>
  </si>
  <si>
    <t>ht exchanger</t>
  </si>
  <si>
    <t>chem feed skids</t>
  </si>
  <si>
    <t>FLD/shop vessels</t>
  </si>
  <si>
    <t>15kV swgr</t>
  </si>
  <si>
    <t>Bulk Material</t>
  </si>
  <si>
    <t>Procurement Subtotal</t>
  </si>
  <si>
    <t>ABB Quote for 80/106/132 MVA 138 kV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</si>
  <si>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</si>
  <si>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</si>
  <si>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</si>
  <si>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</si>
  <si>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</si>
  <si>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</si>
  <si>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</si>
  <si>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MARGIN on NON-CTG SCOPE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</si>
  <si>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</si>
  <si>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</si>
  <si>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</si>
  <si>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</si>
  <si>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</si>
  <si>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</si>
  <si>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</si>
  <si>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</si>
  <si>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HV device</t>
  </si>
  <si>
    <t>fin fan coolers</t>
  </si>
  <si>
    <t>fuel gas filter</t>
  </si>
  <si>
    <t>wtr treatment</t>
  </si>
  <si>
    <t>oil/water separator</t>
  </si>
  <si>
    <t>vendor reps</t>
  </si>
  <si>
    <t>CTG freight</t>
  </si>
  <si>
    <t>see detail sheet attached</t>
  </si>
  <si>
    <t>check quantities</t>
  </si>
  <si>
    <t>this is gas metering</t>
  </si>
  <si>
    <t>included in CTG</t>
  </si>
  <si>
    <t>chillers</t>
  </si>
  <si>
    <t>HRT Power</t>
  </si>
  <si>
    <t>single 100% compressor</t>
  </si>
  <si>
    <t>need to add attemp system</t>
  </si>
  <si>
    <t>HRT Power quote</t>
  </si>
  <si>
    <t>Madison deal</t>
  </si>
  <si>
    <t>inlet heater freight</t>
  </si>
  <si>
    <t xml:space="preserve">inlet heater   </t>
  </si>
  <si>
    <t>Specials/offsites</t>
  </si>
  <si>
    <t>fuel oil unloading/tank</t>
  </si>
  <si>
    <t>gas pipeline</t>
  </si>
  <si>
    <t>spare parts</t>
  </si>
  <si>
    <t>HV switchyard extension</t>
  </si>
  <si>
    <t>mile</t>
  </si>
  <si>
    <t>gas pipeline diameter</t>
  </si>
  <si>
    <t>in</t>
  </si>
  <si>
    <t>unit cost</t>
  </si>
  <si>
    <t>US$/in-mile</t>
  </si>
  <si>
    <t>line cost</t>
  </si>
  <si>
    <t>UNITS</t>
  </si>
  <si>
    <t>adjusted by Bruce</t>
  </si>
  <si>
    <t>Bruce wild guess</t>
  </si>
  <si>
    <t>Terra</t>
  </si>
  <si>
    <t>Terra bare bones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</si>
</sst>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2" applyFont="1"/>
    <xf numFmtId="165" fontId="0" fillId="0" borderId="0" xfId="2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0" borderId="0" xfId="2" applyNumberFormat="1" applyFont="1" applyFill="1"/>
    <xf numFmtId="0" fontId="4" fillId="0" borderId="0" xfId="0" applyFont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0" fillId="2" borderId="0" xfId="2" applyNumberFormat="1" applyFont="1" applyFill="1"/>
    <xf numFmtId="165" fontId="3" fillId="2" borderId="0" xfId="2" applyNumberFormat="1" applyFont="1" applyFill="1"/>
    <xf numFmtId="165" fontId="3" fillId="0" borderId="0" xfId="0" applyNumberFormat="1" applyFont="1"/>
    <xf numFmtId="10" fontId="0" fillId="2" borderId="0" xfId="3" applyNumberFormat="1" applyFont="1" applyFill="1"/>
    <xf numFmtId="10" fontId="0" fillId="0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5" fontId="0" fillId="0" borderId="0" xfId="0" applyNumberFormat="1"/>
    <xf numFmtId="165" fontId="4" fillId="2" borderId="0" xfId="2" applyNumberFormat="1" applyFont="1" applyFill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topLeftCell="B94" zoomScale="75" workbookViewId="0">
      <selection activeCell="I133" sqref="I133"/>
    </sheetView>
  </sheetViews>
  <sheetFormatPr defaultRowHeight="13.2" x14ac:dyDescent="0.25"/>
  <cols>
    <col min="2" max="2" width="13.6640625" customWidth="1"/>
    <col min="3" max="3" width="11.5546875" customWidth="1"/>
    <col min="4" max="4" width="16" customWidth="1"/>
    <col min="5" max="5" width="3.5546875" customWidth="1"/>
    <col min="6" max="6" width="17.5546875" customWidth="1"/>
    <col min="7" max="7" width="36.6640625" customWidth="1"/>
    <col min="8" max="8" width="11.44140625" customWidth="1"/>
    <col min="9" max="9" width="21.33203125" customWidth="1"/>
    <col min="10" max="10" width="26.6640625" customWidth="1"/>
    <col min="11" max="11" width="19.88671875" customWidth="1"/>
  </cols>
  <sheetData>
    <row r="2" spans="1:11" x14ac:dyDescent="0.25">
      <c r="D2" t="s">
        <v>27</v>
      </c>
    </row>
    <row r="4" spans="1:11" x14ac:dyDescent="0.25">
      <c r="D4" t="s">
        <v>33</v>
      </c>
      <c r="F4" t="str">
        <f>D4</f>
        <v xml:space="preserve">City of Austin </v>
      </c>
      <c r="I4" t="s">
        <v>163</v>
      </c>
      <c r="K4" t="s">
        <v>164</v>
      </c>
    </row>
    <row r="5" spans="1:11" x14ac:dyDescent="0.25">
      <c r="A5" s="3" t="s">
        <v>160</v>
      </c>
      <c r="D5">
        <v>4</v>
      </c>
      <c r="F5">
        <v>4</v>
      </c>
      <c r="G5" s="21" t="s">
        <v>27</v>
      </c>
      <c r="H5" s="21"/>
      <c r="I5" s="9">
        <v>2</v>
      </c>
      <c r="K5">
        <f>I5</f>
        <v>2</v>
      </c>
    </row>
    <row r="6" spans="1:11" x14ac:dyDescent="0.25">
      <c r="D6" s="9" t="s">
        <v>31</v>
      </c>
      <c r="F6" t="str">
        <f>D6</f>
        <v>NEPCO</v>
      </c>
      <c r="I6" t="s">
        <v>161</v>
      </c>
      <c r="K6" t="s">
        <v>161</v>
      </c>
    </row>
    <row r="7" spans="1:11" x14ac:dyDescent="0.25">
      <c r="D7" s="6">
        <v>36623</v>
      </c>
      <c r="F7" s="19">
        <f>D7</f>
        <v>36623</v>
      </c>
      <c r="I7" s="6">
        <v>36627</v>
      </c>
      <c r="K7" s="6">
        <f>I7</f>
        <v>36627</v>
      </c>
    </row>
    <row r="8" spans="1:11" x14ac:dyDescent="0.25">
      <c r="A8" s="3" t="s">
        <v>65</v>
      </c>
    </row>
    <row r="9" spans="1:11" x14ac:dyDescent="0.25">
      <c r="B9" t="s">
        <v>66</v>
      </c>
      <c r="D9" s="12">
        <v>600670</v>
      </c>
      <c r="F9" s="2">
        <f>D9</f>
        <v>600670</v>
      </c>
      <c r="H9" s="5">
        <v>0.55000000000000004</v>
      </c>
      <c r="I9" s="2">
        <f>H9*F9</f>
        <v>330368.5</v>
      </c>
      <c r="K9" s="2">
        <f>I9</f>
        <v>330368.5</v>
      </c>
    </row>
    <row r="10" spans="1:11" x14ac:dyDescent="0.25">
      <c r="B10" t="s">
        <v>67</v>
      </c>
      <c r="D10" s="12">
        <v>789909</v>
      </c>
      <c r="F10" s="2">
        <f>D10</f>
        <v>789909</v>
      </c>
      <c r="H10" s="5">
        <v>0.55000000000000004</v>
      </c>
      <c r="I10" s="2">
        <f>H10*F10</f>
        <v>434449.95</v>
      </c>
      <c r="K10" s="2">
        <f>I10</f>
        <v>434449.95</v>
      </c>
    </row>
    <row r="11" spans="1:11" ht="15" x14ac:dyDescent="0.4">
      <c r="B11" t="s">
        <v>68</v>
      </c>
      <c r="D11" s="13">
        <v>182297</v>
      </c>
      <c r="F11" s="4">
        <f>D11</f>
        <v>182297</v>
      </c>
      <c r="H11" s="5">
        <v>0.55000000000000004</v>
      </c>
      <c r="I11" s="4">
        <f>H11*F11</f>
        <v>100263.35</v>
      </c>
      <c r="K11" s="4">
        <f>I11</f>
        <v>100263.35</v>
      </c>
    </row>
    <row r="12" spans="1:11" x14ac:dyDescent="0.25">
      <c r="B12" t="s">
        <v>27</v>
      </c>
      <c r="D12" s="2">
        <f>SUM(D9:D11)</f>
        <v>1572876</v>
      </c>
      <c r="F12" s="2">
        <f>SUM(F9:F11)</f>
        <v>1572876</v>
      </c>
      <c r="I12" s="2">
        <f>SUM(I9:I11)</f>
        <v>865081.79999999993</v>
      </c>
      <c r="K12" s="2">
        <f>SUM(K9:K11)</f>
        <v>865081.79999999993</v>
      </c>
    </row>
    <row r="14" spans="1:11" x14ac:dyDescent="0.25">
      <c r="A14" s="3" t="s">
        <v>0</v>
      </c>
      <c r="F14" s="2" t="s">
        <v>27</v>
      </c>
      <c r="I14" s="2" t="s">
        <v>27</v>
      </c>
      <c r="K14" s="2" t="s">
        <v>27</v>
      </c>
    </row>
    <row r="15" spans="1:11" x14ac:dyDescent="0.25">
      <c r="B15" t="s">
        <v>70</v>
      </c>
      <c r="D15" s="12">
        <v>529716</v>
      </c>
      <c r="F15" s="2">
        <f t="shared" ref="F15:F20" si="0">D15</f>
        <v>529716</v>
      </c>
      <c r="H15" s="5">
        <v>0.55000000000000004</v>
      </c>
      <c r="I15" s="2">
        <f t="shared" ref="I15:I20" si="1">H15*F15</f>
        <v>291343.80000000005</v>
      </c>
      <c r="K15" s="2">
        <f t="shared" ref="K15:K20" si="2">I15</f>
        <v>291343.80000000005</v>
      </c>
    </row>
    <row r="16" spans="1:11" x14ac:dyDescent="0.25">
      <c r="B16" t="s">
        <v>71</v>
      </c>
      <c r="D16" s="12">
        <v>212087</v>
      </c>
      <c r="F16" s="2">
        <f t="shared" si="0"/>
        <v>212087</v>
      </c>
      <c r="H16" s="5">
        <v>0.6</v>
      </c>
      <c r="I16" s="2">
        <f t="shared" si="1"/>
        <v>127252.2</v>
      </c>
      <c r="K16" s="2">
        <f t="shared" si="2"/>
        <v>127252.2</v>
      </c>
    </row>
    <row r="17" spans="1:11" x14ac:dyDescent="0.25">
      <c r="B17" t="s">
        <v>72</v>
      </c>
      <c r="D17" s="12">
        <v>209897</v>
      </c>
      <c r="F17" s="2">
        <f t="shared" si="0"/>
        <v>209897</v>
      </c>
      <c r="H17" s="5">
        <v>0.8</v>
      </c>
      <c r="I17" s="2">
        <f t="shared" si="1"/>
        <v>167917.6</v>
      </c>
      <c r="K17" s="2">
        <f t="shared" si="2"/>
        <v>167917.6</v>
      </c>
    </row>
    <row r="18" spans="1:11" x14ac:dyDescent="0.25">
      <c r="B18" t="s">
        <v>73</v>
      </c>
      <c r="D18" s="12">
        <v>662015</v>
      </c>
      <c r="F18" s="2">
        <f t="shared" si="0"/>
        <v>662015</v>
      </c>
      <c r="H18" s="5">
        <v>0.6</v>
      </c>
      <c r="I18" s="2">
        <f t="shared" si="1"/>
        <v>397209</v>
      </c>
      <c r="K18" s="2">
        <f t="shared" si="2"/>
        <v>397209</v>
      </c>
    </row>
    <row r="19" spans="1:11" x14ac:dyDescent="0.25">
      <c r="B19" t="s">
        <v>74</v>
      </c>
      <c r="D19" s="12">
        <v>450000</v>
      </c>
      <c r="F19" s="2">
        <f t="shared" si="0"/>
        <v>450000</v>
      </c>
      <c r="H19" s="5">
        <v>0.6</v>
      </c>
      <c r="I19" s="2">
        <f t="shared" si="1"/>
        <v>270000</v>
      </c>
      <c r="K19" s="2">
        <f t="shared" si="2"/>
        <v>270000</v>
      </c>
    </row>
    <row r="20" spans="1:11" ht="15" x14ac:dyDescent="0.4">
      <c r="B20" t="s">
        <v>75</v>
      </c>
      <c r="D20" s="13">
        <v>6750</v>
      </c>
      <c r="F20" s="4">
        <f t="shared" si="0"/>
        <v>6750</v>
      </c>
      <c r="H20" s="5">
        <v>1</v>
      </c>
      <c r="I20" s="4">
        <f t="shared" si="1"/>
        <v>6750</v>
      </c>
      <c r="K20" s="4">
        <f t="shared" si="2"/>
        <v>6750</v>
      </c>
    </row>
    <row r="21" spans="1:11" x14ac:dyDescent="0.25">
      <c r="D21" s="2">
        <f>SUM(D15:D20)</f>
        <v>2070465</v>
      </c>
      <c r="F21" s="2">
        <f>SUM(F15:F20)</f>
        <v>2070465</v>
      </c>
      <c r="I21" s="2">
        <f>SUM(I15:I20)</f>
        <v>1260472.6000000001</v>
      </c>
      <c r="K21" s="2">
        <f>SUM(K15:K20)</f>
        <v>1260472.6000000001</v>
      </c>
    </row>
    <row r="22" spans="1:11" x14ac:dyDescent="0.25">
      <c r="D22" s="2"/>
      <c r="F22" s="2"/>
      <c r="I22" s="2"/>
      <c r="K22" s="2"/>
    </row>
    <row r="23" spans="1:11" x14ac:dyDescent="0.25">
      <c r="A23" s="3" t="s">
        <v>1</v>
      </c>
      <c r="D23" s="2"/>
      <c r="F23" s="2"/>
      <c r="I23" s="2"/>
      <c r="K23" s="2"/>
    </row>
    <row r="24" spans="1:11" ht="15" x14ac:dyDescent="0.4">
      <c r="B24" t="s">
        <v>86</v>
      </c>
      <c r="D24" s="13">
        <v>528328</v>
      </c>
      <c r="F24" s="4">
        <f>D24</f>
        <v>528328</v>
      </c>
      <c r="H24" s="5">
        <v>0.9</v>
      </c>
      <c r="I24" s="4">
        <f>H24*F24</f>
        <v>475495.2</v>
      </c>
      <c r="K24" s="4">
        <f>I24</f>
        <v>475495.2</v>
      </c>
    </row>
    <row r="25" spans="1:11" x14ac:dyDescent="0.25">
      <c r="D25" s="7">
        <f>D24</f>
        <v>528328</v>
      </c>
      <c r="F25" s="7">
        <f>F24</f>
        <v>528328</v>
      </c>
      <c r="I25" s="7">
        <f>I24</f>
        <v>475495.2</v>
      </c>
      <c r="K25" s="7">
        <f>K24</f>
        <v>475495.2</v>
      </c>
    </row>
    <row r="26" spans="1:11" x14ac:dyDescent="0.25">
      <c r="D26" s="7"/>
      <c r="F26" s="7"/>
      <c r="I26" s="7"/>
      <c r="K26" s="7"/>
    </row>
    <row r="27" spans="1:11" x14ac:dyDescent="0.25">
      <c r="A27" s="3" t="s">
        <v>3</v>
      </c>
      <c r="D27" s="2"/>
      <c r="F27" s="2"/>
      <c r="I27" s="2"/>
      <c r="K27" s="2"/>
    </row>
    <row r="28" spans="1:11" x14ac:dyDescent="0.25">
      <c r="A28" s="3"/>
      <c r="B28" s="3" t="s">
        <v>69</v>
      </c>
      <c r="D28" s="2"/>
      <c r="F28" s="2"/>
      <c r="I28" s="2"/>
      <c r="K28" s="2"/>
    </row>
    <row r="29" spans="1:11" x14ac:dyDescent="0.25">
      <c r="B29" t="s">
        <v>4</v>
      </c>
      <c r="D29" s="20">
        <v>61246776</v>
      </c>
      <c r="E29" s="8"/>
      <c r="F29" s="20">
        <v>57360000</v>
      </c>
      <c r="G29" t="s">
        <v>137</v>
      </c>
      <c r="H29" s="5">
        <v>0.5</v>
      </c>
      <c r="I29" s="2">
        <f>CTGprice!$I$22*I5</f>
        <v>29276000</v>
      </c>
      <c r="K29" s="2">
        <f>CTGprice!$I$22*K5</f>
        <v>29276000</v>
      </c>
    </row>
    <row r="30" spans="1:11" x14ac:dyDescent="0.25">
      <c r="B30" t="s">
        <v>28</v>
      </c>
      <c r="D30" s="20">
        <v>0</v>
      </c>
      <c r="E30" s="8"/>
      <c r="F30" s="20">
        <v>0</v>
      </c>
      <c r="H30" s="5">
        <v>0</v>
      </c>
      <c r="I30" s="12">
        <v>0</v>
      </c>
      <c r="K30" s="12">
        <v>0</v>
      </c>
    </row>
    <row r="31" spans="1:11" x14ac:dyDescent="0.25">
      <c r="B31" t="s">
        <v>148</v>
      </c>
      <c r="D31" s="20">
        <v>0</v>
      </c>
      <c r="E31" s="8"/>
      <c r="F31" s="20">
        <v>907536</v>
      </c>
      <c r="H31" s="5">
        <v>0</v>
      </c>
      <c r="I31" s="12">
        <v>50000</v>
      </c>
      <c r="J31" s="9" t="s">
        <v>162</v>
      </c>
      <c r="K31" s="12">
        <v>0</v>
      </c>
    </row>
    <row r="32" spans="1:11" x14ac:dyDescent="0.25">
      <c r="B32" t="s">
        <v>147</v>
      </c>
      <c r="D32" s="20">
        <v>0</v>
      </c>
      <c r="E32" s="8"/>
      <c r="F32" s="20">
        <v>27240</v>
      </c>
      <c r="H32" s="5">
        <v>0</v>
      </c>
      <c r="I32" s="12">
        <v>2000</v>
      </c>
      <c r="K32" s="12">
        <v>0</v>
      </c>
    </row>
    <row r="33" spans="2:11" ht="15" x14ac:dyDescent="0.4">
      <c r="B33" t="s">
        <v>136</v>
      </c>
      <c r="D33" s="13">
        <v>0</v>
      </c>
      <c r="E33" s="8"/>
      <c r="F33" s="13">
        <v>240000</v>
      </c>
      <c r="H33" s="5">
        <v>0.55000000000000004</v>
      </c>
      <c r="I33" s="4">
        <f>H33*F33</f>
        <v>132000</v>
      </c>
      <c r="K33" s="4">
        <f>I33</f>
        <v>132000</v>
      </c>
    </row>
    <row r="34" spans="2:11" x14ac:dyDescent="0.25">
      <c r="D34" s="7">
        <f>SUM(D29:D33)</f>
        <v>61246776</v>
      </c>
      <c r="F34" s="7">
        <f>SUM(F29:F33)</f>
        <v>58534776</v>
      </c>
      <c r="I34" s="7">
        <f>SUM(I29:I33)</f>
        <v>29460000</v>
      </c>
      <c r="K34" s="7">
        <f>SUM(K29:K33)</f>
        <v>29408000</v>
      </c>
    </row>
    <row r="35" spans="2:11" x14ac:dyDescent="0.25">
      <c r="D35" s="7"/>
      <c r="F35" s="7"/>
      <c r="I35" s="7"/>
      <c r="K35" s="7"/>
    </row>
    <row r="36" spans="2:11" x14ac:dyDescent="0.25">
      <c r="B36" s="3" t="s">
        <v>87</v>
      </c>
      <c r="D36" s="7"/>
      <c r="F36" s="7"/>
      <c r="I36" s="7"/>
      <c r="K36" s="7"/>
    </row>
    <row r="37" spans="2:11" x14ac:dyDescent="0.25">
      <c r="B37" t="s">
        <v>14</v>
      </c>
      <c r="D37" s="12">
        <v>262500</v>
      </c>
      <c r="F37" s="2">
        <f>D37</f>
        <v>262500</v>
      </c>
      <c r="H37" s="5">
        <v>0.9</v>
      </c>
      <c r="I37" s="2">
        <f t="shared" ref="I37:I70" si="3">H37*F37</f>
        <v>236250</v>
      </c>
      <c r="K37" s="2">
        <f t="shared" ref="K37:K60" si="4">I37</f>
        <v>236250</v>
      </c>
    </row>
    <row r="38" spans="2:11" x14ac:dyDescent="0.25">
      <c r="B38" t="s">
        <v>88</v>
      </c>
      <c r="D38" s="12">
        <v>284762</v>
      </c>
      <c r="F38" s="2">
        <f>D38</f>
        <v>284762</v>
      </c>
      <c r="H38" s="5">
        <v>0.6</v>
      </c>
      <c r="I38" s="2">
        <f t="shared" si="3"/>
        <v>170857.19999999998</v>
      </c>
      <c r="K38" s="2">
        <f t="shared" si="4"/>
        <v>170857.19999999998</v>
      </c>
    </row>
    <row r="39" spans="2:11" x14ac:dyDescent="0.25">
      <c r="B39" t="s">
        <v>89</v>
      </c>
      <c r="D39" s="12">
        <v>350000</v>
      </c>
      <c r="F39" s="2">
        <f>D39</f>
        <v>350000</v>
      </c>
      <c r="H39" s="5">
        <v>0.5</v>
      </c>
      <c r="I39" s="2">
        <f t="shared" si="3"/>
        <v>175000</v>
      </c>
      <c r="K39" s="2">
        <f t="shared" si="4"/>
        <v>175000</v>
      </c>
    </row>
    <row r="40" spans="2:11" x14ac:dyDescent="0.25">
      <c r="B40" t="s">
        <v>90</v>
      </c>
      <c r="D40" s="12">
        <v>12440</v>
      </c>
      <c r="F40" s="2">
        <f>D40</f>
        <v>12440</v>
      </c>
      <c r="H40" s="5">
        <v>0.55000000000000004</v>
      </c>
      <c r="I40" s="2">
        <f t="shared" si="3"/>
        <v>6842.0000000000009</v>
      </c>
      <c r="K40" s="2">
        <f t="shared" si="4"/>
        <v>6842.0000000000009</v>
      </c>
    </row>
    <row r="41" spans="2:11" x14ac:dyDescent="0.25">
      <c r="B41" t="s">
        <v>91</v>
      </c>
      <c r="D41" s="12">
        <v>1318000</v>
      </c>
      <c r="F41" s="12">
        <f>2*893000+100000</f>
        <v>1886000</v>
      </c>
      <c r="G41" s="9" t="s">
        <v>113</v>
      </c>
      <c r="H41" s="5">
        <v>0.5</v>
      </c>
      <c r="I41" s="2">
        <f t="shared" si="3"/>
        <v>943000</v>
      </c>
      <c r="K41" s="2">
        <f t="shared" si="4"/>
        <v>943000</v>
      </c>
    </row>
    <row r="42" spans="2:11" x14ac:dyDescent="0.25">
      <c r="B42" t="s">
        <v>92</v>
      </c>
      <c r="D42" s="12">
        <v>580022</v>
      </c>
      <c r="F42" s="2">
        <f t="shared" ref="F42:F57" si="5">D42</f>
        <v>580022</v>
      </c>
      <c r="G42" t="s">
        <v>138</v>
      </c>
      <c r="H42" s="5">
        <v>0.55000000000000004</v>
      </c>
      <c r="I42" s="2">
        <f t="shared" si="3"/>
        <v>319012.10000000003</v>
      </c>
      <c r="K42" s="2">
        <f t="shared" si="4"/>
        <v>319012.10000000003</v>
      </c>
    </row>
    <row r="43" spans="2:11" x14ac:dyDescent="0.25">
      <c r="B43" t="s">
        <v>93</v>
      </c>
      <c r="D43" s="12">
        <v>70253</v>
      </c>
      <c r="F43" s="2">
        <f t="shared" si="5"/>
        <v>70253</v>
      </c>
      <c r="H43" s="5">
        <v>0.55000000000000004</v>
      </c>
      <c r="I43" s="2">
        <f t="shared" si="3"/>
        <v>38639.15</v>
      </c>
      <c r="K43" s="2">
        <f t="shared" si="4"/>
        <v>38639.15</v>
      </c>
    </row>
    <row r="44" spans="2:11" x14ac:dyDescent="0.25">
      <c r="B44" t="s">
        <v>94</v>
      </c>
      <c r="D44" s="12">
        <v>69753</v>
      </c>
      <c r="F44" s="2">
        <f t="shared" si="5"/>
        <v>69753</v>
      </c>
      <c r="H44" s="5">
        <v>0.55000000000000004</v>
      </c>
      <c r="I44" s="2">
        <f t="shared" si="3"/>
        <v>38364.15</v>
      </c>
      <c r="K44" s="2">
        <f t="shared" si="4"/>
        <v>38364.15</v>
      </c>
    </row>
    <row r="45" spans="2:11" x14ac:dyDescent="0.25">
      <c r="B45" t="s">
        <v>95</v>
      </c>
      <c r="D45" s="12">
        <v>0</v>
      </c>
      <c r="F45" s="2">
        <f t="shared" si="5"/>
        <v>0</v>
      </c>
      <c r="H45" s="5">
        <v>0.55000000000000004</v>
      </c>
      <c r="I45" s="2">
        <f t="shared" si="3"/>
        <v>0</v>
      </c>
      <c r="K45" s="2">
        <f t="shared" si="4"/>
        <v>0</v>
      </c>
    </row>
    <row r="46" spans="2:11" x14ac:dyDescent="0.25">
      <c r="B46" t="s">
        <v>96</v>
      </c>
      <c r="D46" s="12">
        <v>123756</v>
      </c>
      <c r="F46" s="2">
        <f t="shared" si="5"/>
        <v>123756</v>
      </c>
      <c r="H46" s="5">
        <v>0.55000000000000004</v>
      </c>
      <c r="I46" s="2">
        <f t="shared" si="3"/>
        <v>68065.8</v>
      </c>
      <c r="K46" s="2">
        <f t="shared" si="4"/>
        <v>68065.8</v>
      </c>
    </row>
    <row r="47" spans="2:11" x14ac:dyDescent="0.25">
      <c r="B47" t="s">
        <v>110</v>
      </c>
      <c r="D47" s="12">
        <v>840032</v>
      </c>
      <c r="F47" s="2">
        <f t="shared" si="5"/>
        <v>840032</v>
      </c>
      <c r="G47" t="s">
        <v>27</v>
      </c>
      <c r="H47" s="5">
        <v>0.5</v>
      </c>
      <c r="I47" s="2">
        <f t="shared" si="3"/>
        <v>420016</v>
      </c>
      <c r="K47" s="2">
        <f t="shared" si="4"/>
        <v>420016</v>
      </c>
    </row>
    <row r="48" spans="2:11" x14ac:dyDescent="0.25">
      <c r="B48" t="s">
        <v>97</v>
      </c>
      <c r="D48" s="12">
        <v>233300</v>
      </c>
      <c r="F48" s="2">
        <f t="shared" si="5"/>
        <v>233300</v>
      </c>
      <c r="H48" s="5">
        <v>0.6</v>
      </c>
      <c r="I48" s="2">
        <f t="shared" si="3"/>
        <v>139980</v>
      </c>
      <c r="K48" s="2">
        <f t="shared" si="4"/>
        <v>139980</v>
      </c>
    </row>
    <row r="49" spans="2:11" x14ac:dyDescent="0.25">
      <c r="B49" t="s">
        <v>130</v>
      </c>
      <c r="D49" s="12">
        <v>33032</v>
      </c>
      <c r="F49" s="2">
        <f t="shared" si="5"/>
        <v>33032</v>
      </c>
      <c r="G49" t="s">
        <v>27</v>
      </c>
      <c r="H49" s="5">
        <v>1</v>
      </c>
      <c r="I49" s="2">
        <f t="shared" si="3"/>
        <v>33032</v>
      </c>
      <c r="K49" s="2">
        <f t="shared" si="4"/>
        <v>33032</v>
      </c>
    </row>
    <row r="50" spans="2:11" x14ac:dyDescent="0.25">
      <c r="B50" t="s">
        <v>98</v>
      </c>
      <c r="D50" s="12">
        <v>203700</v>
      </c>
      <c r="F50" s="2">
        <f t="shared" si="5"/>
        <v>203700</v>
      </c>
      <c r="H50" s="5">
        <v>0.8</v>
      </c>
      <c r="I50" s="2">
        <f t="shared" si="3"/>
        <v>162960</v>
      </c>
      <c r="K50" s="2">
        <f t="shared" si="4"/>
        <v>162960</v>
      </c>
    </row>
    <row r="51" spans="2:11" x14ac:dyDescent="0.25">
      <c r="B51" t="s">
        <v>99</v>
      </c>
      <c r="D51" s="12">
        <v>0</v>
      </c>
      <c r="F51" s="2">
        <f t="shared" si="5"/>
        <v>0</v>
      </c>
      <c r="H51" s="5">
        <v>1</v>
      </c>
      <c r="I51" s="2">
        <f t="shared" si="3"/>
        <v>0</v>
      </c>
      <c r="K51" s="2">
        <f t="shared" si="4"/>
        <v>0</v>
      </c>
    </row>
    <row r="52" spans="2:11" x14ac:dyDescent="0.25">
      <c r="B52" t="s">
        <v>100</v>
      </c>
      <c r="D52" s="12">
        <v>20779</v>
      </c>
      <c r="F52" s="2">
        <f t="shared" si="5"/>
        <v>20779</v>
      </c>
      <c r="H52" s="5">
        <v>0.9</v>
      </c>
      <c r="I52" s="2">
        <f t="shared" si="3"/>
        <v>18701.100000000002</v>
      </c>
      <c r="K52" s="2">
        <f t="shared" si="4"/>
        <v>18701.100000000002</v>
      </c>
    </row>
    <row r="53" spans="2:11" x14ac:dyDescent="0.25">
      <c r="B53" t="s">
        <v>101</v>
      </c>
      <c r="D53" s="12">
        <v>0</v>
      </c>
      <c r="F53" s="2">
        <f t="shared" si="5"/>
        <v>0</v>
      </c>
      <c r="H53" s="5">
        <v>1</v>
      </c>
      <c r="I53" s="2">
        <f t="shared" si="3"/>
        <v>0</v>
      </c>
      <c r="K53" s="2">
        <f t="shared" si="4"/>
        <v>0</v>
      </c>
    </row>
    <row r="54" spans="2:11" x14ac:dyDescent="0.25">
      <c r="B54" t="s">
        <v>102</v>
      </c>
      <c r="D54" s="12">
        <v>73293</v>
      </c>
      <c r="F54" s="2">
        <f t="shared" si="5"/>
        <v>73293</v>
      </c>
      <c r="G54" t="s">
        <v>139</v>
      </c>
      <c r="H54" s="5">
        <v>0.6</v>
      </c>
      <c r="I54" s="2">
        <f t="shared" si="3"/>
        <v>43975.799999999996</v>
      </c>
      <c r="K54" s="2">
        <f t="shared" si="4"/>
        <v>43975.799999999996</v>
      </c>
    </row>
    <row r="55" spans="2:11" x14ac:dyDescent="0.25">
      <c r="B55" t="s">
        <v>58</v>
      </c>
      <c r="D55" s="12">
        <v>461600</v>
      </c>
      <c r="F55" s="2">
        <f t="shared" si="5"/>
        <v>461600</v>
      </c>
      <c r="G55" t="s">
        <v>27</v>
      </c>
      <c r="H55" s="5">
        <v>0</v>
      </c>
      <c r="I55" s="2">
        <f t="shared" si="3"/>
        <v>0</v>
      </c>
      <c r="K55" s="2">
        <f t="shared" si="4"/>
        <v>0</v>
      </c>
    </row>
    <row r="56" spans="2:11" x14ac:dyDescent="0.25">
      <c r="B56" t="s">
        <v>103</v>
      </c>
      <c r="D56" s="12">
        <v>47500</v>
      </c>
      <c r="F56" s="2">
        <f t="shared" si="5"/>
        <v>47500</v>
      </c>
      <c r="H56" s="5">
        <v>0.5</v>
      </c>
      <c r="I56" s="2">
        <f t="shared" si="3"/>
        <v>23750</v>
      </c>
      <c r="K56" s="2">
        <f t="shared" si="4"/>
        <v>23750</v>
      </c>
    </row>
    <row r="57" spans="2:11" x14ac:dyDescent="0.25">
      <c r="B57" t="s">
        <v>104</v>
      </c>
      <c r="D57" s="12">
        <v>201233</v>
      </c>
      <c r="F57" s="2">
        <f t="shared" si="5"/>
        <v>201233</v>
      </c>
      <c r="H57" s="5">
        <v>0.5</v>
      </c>
      <c r="I57" s="2">
        <f t="shared" si="3"/>
        <v>100616.5</v>
      </c>
      <c r="K57" s="2">
        <f t="shared" si="4"/>
        <v>100616.5</v>
      </c>
    </row>
    <row r="58" spans="2:11" x14ac:dyDescent="0.25">
      <c r="B58" t="s">
        <v>39</v>
      </c>
      <c r="D58" s="12">
        <v>634000</v>
      </c>
      <c r="F58" s="12">
        <f>4*80000</f>
        <v>320000</v>
      </c>
      <c r="G58" t="s">
        <v>145</v>
      </c>
      <c r="H58" s="5">
        <v>0.5</v>
      </c>
      <c r="I58" s="2">
        <f t="shared" si="3"/>
        <v>160000</v>
      </c>
      <c r="K58" s="2">
        <f t="shared" si="4"/>
        <v>160000</v>
      </c>
    </row>
    <row r="59" spans="2:11" x14ac:dyDescent="0.25">
      <c r="B59" t="s">
        <v>131</v>
      </c>
      <c r="D59" s="12">
        <v>260400</v>
      </c>
      <c r="F59" s="12">
        <f>4*62000</f>
        <v>248000</v>
      </c>
      <c r="G59" s="9" t="s">
        <v>140</v>
      </c>
      <c r="H59" s="5">
        <v>0</v>
      </c>
      <c r="I59" s="2">
        <f t="shared" si="3"/>
        <v>0</v>
      </c>
      <c r="K59" s="2">
        <f t="shared" si="4"/>
        <v>0</v>
      </c>
    </row>
    <row r="60" spans="2:11" x14ac:dyDescent="0.25">
      <c r="B60" t="s">
        <v>105</v>
      </c>
      <c r="D60" s="12">
        <v>5092500</v>
      </c>
      <c r="F60" s="2">
        <f>D60</f>
        <v>5092500</v>
      </c>
      <c r="G60" s="9" t="s">
        <v>144</v>
      </c>
      <c r="H60" s="5">
        <v>0</v>
      </c>
      <c r="I60" s="2">
        <f t="shared" si="3"/>
        <v>0</v>
      </c>
      <c r="K60" s="2">
        <f t="shared" si="4"/>
        <v>0</v>
      </c>
    </row>
    <row r="61" spans="2:11" x14ac:dyDescent="0.25">
      <c r="B61" t="s">
        <v>106</v>
      </c>
      <c r="D61" s="12">
        <v>620000</v>
      </c>
      <c r="F61" s="12">
        <v>320000</v>
      </c>
      <c r="G61" s="9" t="s">
        <v>143</v>
      </c>
      <c r="H61" s="5">
        <v>0</v>
      </c>
      <c r="I61" s="2">
        <f t="shared" si="3"/>
        <v>0</v>
      </c>
      <c r="J61" t="s">
        <v>27</v>
      </c>
      <c r="K61" s="12">
        <v>0</v>
      </c>
    </row>
    <row r="62" spans="2:11" x14ac:dyDescent="0.25">
      <c r="B62" t="s">
        <v>132</v>
      </c>
      <c r="D62" s="12">
        <v>84000</v>
      </c>
      <c r="F62" s="2">
        <f>D62</f>
        <v>84000</v>
      </c>
      <c r="H62" s="5">
        <v>0.6</v>
      </c>
      <c r="I62" s="2">
        <f t="shared" si="3"/>
        <v>50400</v>
      </c>
      <c r="K62" s="2">
        <f>I62</f>
        <v>50400</v>
      </c>
    </row>
    <row r="63" spans="2:11" x14ac:dyDescent="0.25">
      <c r="B63" t="s">
        <v>107</v>
      </c>
      <c r="D63" s="12">
        <v>3914000</v>
      </c>
      <c r="F63" s="12">
        <v>0</v>
      </c>
      <c r="H63" s="5">
        <v>0</v>
      </c>
      <c r="I63" s="2">
        <f t="shared" si="3"/>
        <v>0</v>
      </c>
      <c r="K63" s="2">
        <f>I63</f>
        <v>0</v>
      </c>
    </row>
    <row r="64" spans="2:11" x14ac:dyDescent="0.25">
      <c r="B64" t="s">
        <v>141</v>
      </c>
      <c r="D64" s="12">
        <v>0</v>
      </c>
      <c r="F64" s="12">
        <f>4*(850000)</f>
        <v>3400000</v>
      </c>
      <c r="G64" s="9" t="s">
        <v>142</v>
      </c>
      <c r="H64" s="5">
        <v>0.5</v>
      </c>
      <c r="I64" s="2">
        <f t="shared" si="3"/>
        <v>1700000</v>
      </c>
      <c r="K64" s="2">
        <f>I64</f>
        <v>1700000</v>
      </c>
    </row>
    <row r="65" spans="1:11" x14ac:dyDescent="0.25">
      <c r="B65" t="s">
        <v>133</v>
      </c>
      <c r="D65" s="12">
        <v>453220</v>
      </c>
      <c r="F65" s="12">
        <f>(140000+10000)+3*12000+24000</f>
        <v>210000</v>
      </c>
      <c r="G65" t="s">
        <v>27</v>
      </c>
      <c r="H65" s="5">
        <v>0.5</v>
      </c>
      <c r="I65" s="2">
        <f t="shared" si="3"/>
        <v>105000</v>
      </c>
      <c r="K65" s="12">
        <v>0</v>
      </c>
    </row>
    <row r="66" spans="1:11" x14ac:dyDescent="0.25">
      <c r="B66" t="s">
        <v>134</v>
      </c>
      <c r="D66" s="12">
        <v>36600</v>
      </c>
      <c r="F66" s="2">
        <f>D66</f>
        <v>36600</v>
      </c>
      <c r="H66" s="5">
        <v>0</v>
      </c>
      <c r="I66" s="2">
        <f t="shared" si="3"/>
        <v>0</v>
      </c>
      <c r="K66" s="2">
        <f>I66</f>
        <v>0</v>
      </c>
    </row>
    <row r="67" spans="1:11" x14ac:dyDescent="0.25">
      <c r="B67" t="s">
        <v>135</v>
      </c>
      <c r="D67" s="12">
        <v>182375</v>
      </c>
      <c r="F67" s="2">
        <f>D67</f>
        <v>182375</v>
      </c>
      <c r="G67" t="s">
        <v>27</v>
      </c>
      <c r="H67" s="5">
        <v>0.5</v>
      </c>
      <c r="I67" s="2">
        <f t="shared" si="3"/>
        <v>91187.5</v>
      </c>
      <c r="K67" s="2">
        <f>I67</f>
        <v>91187.5</v>
      </c>
    </row>
    <row r="68" spans="1:11" x14ac:dyDescent="0.25">
      <c r="B68" t="s">
        <v>108</v>
      </c>
      <c r="D68" s="12">
        <v>0</v>
      </c>
      <c r="F68" s="2">
        <f>D68</f>
        <v>0</v>
      </c>
      <c r="H68" s="5">
        <v>1</v>
      </c>
      <c r="I68" s="2">
        <f t="shared" si="3"/>
        <v>0</v>
      </c>
      <c r="K68" s="2">
        <f>I68</f>
        <v>0</v>
      </c>
    </row>
    <row r="69" spans="1:11" x14ac:dyDescent="0.25">
      <c r="B69" t="s">
        <v>109</v>
      </c>
      <c r="D69" s="12">
        <v>355000</v>
      </c>
      <c r="F69" s="2">
        <f>D69-(30000)</f>
        <v>325000</v>
      </c>
      <c r="G69" t="s">
        <v>27</v>
      </c>
      <c r="H69" s="5">
        <v>1.2</v>
      </c>
      <c r="I69" s="2">
        <f t="shared" si="3"/>
        <v>390000</v>
      </c>
      <c r="K69" s="2">
        <f>I69</f>
        <v>390000</v>
      </c>
    </row>
    <row r="70" spans="1:11" ht="15" x14ac:dyDescent="0.4">
      <c r="B70" t="s">
        <v>5</v>
      </c>
      <c r="D70" s="13">
        <v>141636</v>
      </c>
      <c r="F70" s="4">
        <f>D70</f>
        <v>141636</v>
      </c>
      <c r="H70" s="5">
        <v>1</v>
      </c>
      <c r="I70" s="4">
        <f t="shared" si="3"/>
        <v>141636</v>
      </c>
      <c r="K70" s="4">
        <f>I70</f>
        <v>141636</v>
      </c>
    </row>
    <row r="71" spans="1:11" x14ac:dyDescent="0.25">
      <c r="D71" s="2">
        <f>SUM(D37:D70)</f>
        <v>16959686</v>
      </c>
      <c r="F71" s="2">
        <f>SUM(F37:F70)</f>
        <v>16114066</v>
      </c>
      <c r="I71" s="2">
        <f>SUM(I37:I70)</f>
        <v>5577285.2999999998</v>
      </c>
      <c r="K71" s="2">
        <f>SUM(K37:K70)</f>
        <v>5472285.2999999998</v>
      </c>
    </row>
    <row r="72" spans="1:11" x14ac:dyDescent="0.25">
      <c r="D72" s="2"/>
      <c r="F72" s="2"/>
      <c r="I72" s="2"/>
      <c r="K72" s="2"/>
    </row>
    <row r="73" spans="1:11" x14ac:dyDescent="0.25">
      <c r="A73" s="3" t="s">
        <v>27</v>
      </c>
      <c r="B73" s="3" t="s">
        <v>111</v>
      </c>
      <c r="D73" s="2"/>
      <c r="F73" s="2"/>
      <c r="I73" s="2"/>
      <c r="K73" s="2"/>
    </row>
    <row r="74" spans="1:11" ht="15" x14ac:dyDescent="0.4">
      <c r="B74" t="s">
        <v>111</v>
      </c>
      <c r="D74" s="13">
        <v>2802357</v>
      </c>
      <c r="F74" s="4">
        <f>D74</f>
        <v>2802357</v>
      </c>
      <c r="H74" s="5">
        <v>0.6</v>
      </c>
      <c r="I74" s="4">
        <f>H74*F74</f>
        <v>1681414.2</v>
      </c>
      <c r="K74" s="4">
        <f>I74</f>
        <v>1681414.2</v>
      </c>
    </row>
    <row r="75" spans="1:11" x14ac:dyDescent="0.25">
      <c r="D75" s="2">
        <f>D74</f>
        <v>2802357</v>
      </c>
      <c r="F75" s="2">
        <f>F74</f>
        <v>2802357</v>
      </c>
      <c r="I75" s="2">
        <f>I74</f>
        <v>1681414.2</v>
      </c>
      <c r="K75" s="2">
        <f>K74</f>
        <v>1681414.2</v>
      </c>
    </row>
    <row r="76" spans="1:11" x14ac:dyDescent="0.25">
      <c r="D76" s="2"/>
      <c r="F76" s="2"/>
      <c r="I76" s="2"/>
      <c r="K76" s="2"/>
    </row>
    <row r="77" spans="1:11" x14ac:dyDescent="0.25">
      <c r="B77" s="3" t="s">
        <v>112</v>
      </c>
      <c r="D77" s="2">
        <f>D34+D71+D75</f>
        <v>81008819</v>
      </c>
      <c r="F77" s="2">
        <f>F34+F71+F75</f>
        <v>77451199</v>
      </c>
      <c r="I77" s="2">
        <f>I34+I71+I75</f>
        <v>36718699.5</v>
      </c>
      <c r="K77" s="2">
        <f>K34+K71+K75</f>
        <v>36561699.5</v>
      </c>
    </row>
    <row r="78" spans="1:11" x14ac:dyDescent="0.25">
      <c r="D78" s="2"/>
      <c r="F78" s="2"/>
      <c r="I78" s="2"/>
      <c r="K78" s="2"/>
    </row>
    <row r="79" spans="1:11" x14ac:dyDescent="0.25">
      <c r="A79" s="3" t="s">
        <v>6</v>
      </c>
      <c r="D79" s="2"/>
      <c r="F79" s="2"/>
      <c r="I79" s="2"/>
      <c r="K79" s="2"/>
    </row>
    <row r="80" spans="1:11" x14ac:dyDescent="0.25">
      <c r="B80" t="s">
        <v>7</v>
      </c>
      <c r="D80" s="12">
        <v>404846</v>
      </c>
      <c r="F80" s="2">
        <f t="shared" ref="F80:F93" si="6">D80</f>
        <v>404846</v>
      </c>
      <c r="H80" s="5">
        <v>0.6</v>
      </c>
      <c r="I80" s="2">
        <f t="shared" ref="I80:I93" si="7">H80*F80</f>
        <v>242907.59999999998</v>
      </c>
      <c r="K80" s="2">
        <f t="shared" ref="K80:K93" si="8">I80</f>
        <v>242907.59999999998</v>
      </c>
    </row>
    <row r="81" spans="1:11" x14ac:dyDescent="0.25">
      <c r="B81" t="s">
        <v>8</v>
      </c>
      <c r="D81" s="12">
        <v>469736</v>
      </c>
      <c r="F81" s="2">
        <f t="shared" si="6"/>
        <v>469736</v>
      </c>
      <c r="H81" s="5">
        <v>0.6</v>
      </c>
      <c r="I81" s="2">
        <f t="shared" si="7"/>
        <v>281841.59999999998</v>
      </c>
      <c r="K81" s="2">
        <f t="shared" si="8"/>
        <v>281841.59999999998</v>
      </c>
    </row>
    <row r="82" spans="1:11" x14ac:dyDescent="0.25">
      <c r="B82" t="s">
        <v>9</v>
      </c>
      <c r="D82" s="12">
        <v>317869</v>
      </c>
      <c r="F82" s="2">
        <f t="shared" si="6"/>
        <v>317869</v>
      </c>
      <c r="H82" s="5">
        <v>0.6</v>
      </c>
      <c r="I82" s="2">
        <f t="shared" si="7"/>
        <v>190721.4</v>
      </c>
      <c r="K82" s="2">
        <f t="shared" si="8"/>
        <v>190721.4</v>
      </c>
    </row>
    <row r="83" spans="1:11" x14ac:dyDescent="0.25">
      <c r="B83" t="s">
        <v>10</v>
      </c>
      <c r="D83" s="12">
        <v>752981</v>
      </c>
      <c r="F83" s="2">
        <f t="shared" si="6"/>
        <v>752981</v>
      </c>
      <c r="H83" s="5">
        <v>0.6</v>
      </c>
      <c r="I83" s="2">
        <f t="shared" si="7"/>
        <v>451788.6</v>
      </c>
      <c r="K83" s="2">
        <f t="shared" si="8"/>
        <v>451788.6</v>
      </c>
    </row>
    <row r="84" spans="1:11" x14ac:dyDescent="0.25">
      <c r="B84" t="s">
        <v>11</v>
      </c>
      <c r="D84" s="12">
        <v>41482</v>
      </c>
      <c r="F84" s="2">
        <f t="shared" si="6"/>
        <v>41482</v>
      </c>
      <c r="H84" s="5">
        <v>0.6</v>
      </c>
      <c r="I84" s="2">
        <f t="shared" si="7"/>
        <v>24889.200000000001</v>
      </c>
      <c r="K84" s="2">
        <f t="shared" si="8"/>
        <v>24889.200000000001</v>
      </c>
    </row>
    <row r="85" spans="1:11" x14ac:dyDescent="0.25">
      <c r="B85" t="s">
        <v>12</v>
      </c>
      <c r="D85" s="12">
        <v>44805</v>
      </c>
      <c r="F85" s="2">
        <f t="shared" si="6"/>
        <v>44805</v>
      </c>
      <c r="H85" s="5">
        <v>0.6</v>
      </c>
      <c r="I85" s="2">
        <f t="shared" si="7"/>
        <v>26883</v>
      </c>
      <c r="K85" s="2">
        <f t="shared" si="8"/>
        <v>26883</v>
      </c>
    </row>
    <row r="86" spans="1:11" x14ac:dyDescent="0.25">
      <c r="B86" t="s">
        <v>13</v>
      </c>
      <c r="D86" s="12">
        <v>2724</v>
      </c>
      <c r="F86" s="2">
        <f t="shared" si="6"/>
        <v>2724</v>
      </c>
      <c r="H86" s="5">
        <v>0.6</v>
      </c>
      <c r="I86" s="2">
        <f t="shared" si="7"/>
        <v>1634.3999999999999</v>
      </c>
      <c r="K86" s="2">
        <f t="shared" si="8"/>
        <v>1634.3999999999999</v>
      </c>
    </row>
    <row r="87" spans="1:11" x14ac:dyDescent="0.25">
      <c r="B87" t="s">
        <v>14</v>
      </c>
      <c r="D87" s="12">
        <v>105033</v>
      </c>
      <c r="F87" s="2">
        <f t="shared" si="6"/>
        <v>105033</v>
      </c>
      <c r="H87" s="5">
        <v>0.9</v>
      </c>
      <c r="I87" s="2">
        <f t="shared" si="7"/>
        <v>94529.7</v>
      </c>
      <c r="K87" s="2">
        <f t="shared" si="8"/>
        <v>94529.7</v>
      </c>
    </row>
    <row r="88" spans="1:11" x14ac:dyDescent="0.25">
      <c r="B88" t="s">
        <v>15</v>
      </c>
      <c r="D88" s="12">
        <v>795979</v>
      </c>
      <c r="F88" s="2">
        <f t="shared" si="6"/>
        <v>795979</v>
      </c>
      <c r="H88" s="5">
        <v>0.6</v>
      </c>
      <c r="I88" s="2">
        <f t="shared" si="7"/>
        <v>477587.39999999997</v>
      </c>
      <c r="K88" s="2">
        <f t="shared" si="8"/>
        <v>477587.39999999997</v>
      </c>
    </row>
    <row r="89" spans="1:11" x14ac:dyDescent="0.25">
      <c r="B89" t="s">
        <v>26</v>
      </c>
      <c r="D89" s="12">
        <v>804952</v>
      </c>
      <c r="F89" s="2">
        <f t="shared" si="6"/>
        <v>804952</v>
      </c>
      <c r="H89" s="5">
        <v>0.6</v>
      </c>
      <c r="I89" s="2">
        <f t="shared" si="7"/>
        <v>482971.19999999995</v>
      </c>
      <c r="K89" s="2">
        <f t="shared" si="8"/>
        <v>482971.19999999995</v>
      </c>
    </row>
    <row r="90" spans="1:11" x14ac:dyDescent="0.25">
      <c r="B90" t="s">
        <v>16</v>
      </c>
      <c r="D90" s="12">
        <v>155089</v>
      </c>
      <c r="F90" s="2">
        <f t="shared" si="6"/>
        <v>155089</v>
      </c>
      <c r="H90" s="5">
        <v>0.6</v>
      </c>
      <c r="I90" s="2">
        <f t="shared" si="7"/>
        <v>93053.4</v>
      </c>
      <c r="K90" s="2">
        <f t="shared" si="8"/>
        <v>93053.4</v>
      </c>
    </row>
    <row r="91" spans="1:11" x14ac:dyDescent="0.25">
      <c r="B91" t="s">
        <v>17</v>
      </c>
      <c r="D91" s="12">
        <v>164407</v>
      </c>
      <c r="F91" s="2">
        <f t="shared" si="6"/>
        <v>164407</v>
      </c>
      <c r="H91" s="5">
        <v>2</v>
      </c>
      <c r="I91" s="2">
        <f t="shared" si="7"/>
        <v>328814</v>
      </c>
      <c r="K91" s="2">
        <f t="shared" si="8"/>
        <v>328814</v>
      </c>
    </row>
    <row r="92" spans="1:11" x14ac:dyDescent="0.25">
      <c r="B92" t="s">
        <v>18</v>
      </c>
      <c r="D92" s="12">
        <v>20209</v>
      </c>
      <c r="F92" s="2">
        <f t="shared" si="6"/>
        <v>20209</v>
      </c>
      <c r="H92" s="5">
        <v>0.6</v>
      </c>
      <c r="I92" s="2">
        <f t="shared" si="7"/>
        <v>12125.4</v>
      </c>
      <c r="K92" s="2">
        <f t="shared" si="8"/>
        <v>12125.4</v>
      </c>
    </row>
    <row r="93" spans="1:11" ht="15" x14ac:dyDescent="0.4">
      <c r="B93" t="s">
        <v>19</v>
      </c>
      <c r="D93" s="13">
        <v>672551</v>
      </c>
      <c r="F93" s="4">
        <f t="shared" si="6"/>
        <v>672551</v>
      </c>
      <c r="H93" s="5">
        <v>0.65</v>
      </c>
      <c r="I93" s="4">
        <f t="shared" si="7"/>
        <v>437158.15</v>
      </c>
      <c r="K93" s="4">
        <f t="shared" si="8"/>
        <v>437158.15</v>
      </c>
    </row>
    <row r="94" spans="1:11" x14ac:dyDescent="0.25">
      <c r="D94" s="2">
        <f>SUM(D80:D93)</f>
        <v>4752663</v>
      </c>
      <c r="F94" s="2">
        <f>SUM(F80:F93)</f>
        <v>4752663</v>
      </c>
      <c r="I94" s="2">
        <f>SUM(I80:I93)</f>
        <v>3146905.0499999993</v>
      </c>
      <c r="K94" s="2">
        <f>SUM(K80:K93)</f>
        <v>3146905.0499999993</v>
      </c>
    </row>
    <row r="95" spans="1:11" x14ac:dyDescent="0.25">
      <c r="D95" s="2"/>
      <c r="F95" s="2"/>
      <c r="I95" s="2"/>
      <c r="K95" s="2"/>
    </row>
    <row r="96" spans="1:11" x14ac:dyDescent="0.25">
      <c r="A96" s="3" t="s">
        <v>114</v>
      </c>
      <c r="D96" s="2" t="s">
        <v>27</v>
      </c>
      <c r="F96" s="2" t="s">
        <v>27</v>
      </c>
      <c r="I96" s="2" t="s">
        <v>27</v>
      </c>
      <c r="K96" s="2" t="s">
        <v>27</v>
      </c>
    </row>
    <row r="97" spans="1:11" x14ac:dyDescent="0.25">
      <c r="B97" t="s">
        <v>2</v>
      </c>
      <c r="D97" s="12">
        <v>632940</v>
      </c>
      <c r="F97" s="2">
        <f>D97</f>
        <v>632940</v>
      </c>
      <c r="H97" s="5">
        <v>0.6</v>
      </c>
      <c r="I97" s="2">
        <f>H97*F97</f>
        <v>379764</v>
      </c>
      <c r="K97" s="2">
        <f>I97</f>
        <v>379764</v>
      </c>
    </row>
    <row r="98" spans="1:11" x14ac:dyDescent="0.25">
      <c r="B98" t="s">
        <v>115</v>
      </c>
      <c r="D98" s="12">
        <v>10000</v>
      </c>
      <c r="F98" s="2">
        <f>D98</f>
        <v>10000</v>
      </c>
      <c r="H98" s="5">
        <v>1</v>
      </c>
      <c r="I98" s="2">
        <f>H98*F98</f>
        <v>10000</v>
      </c>
      <c r="K98" s="2">
        <f>I98</f>
        <v>10000</v>
      </c>
    </row>
    <row r="99" spans="1:11" x14ac:dyDescent="0.25">
      <c r="B99" t="s">
        <v>116</v>
      </c>
      <c r="D99" s="12">
        <v>85000</v>
      </c>
      <c r="F99" s="2">
        <f>D99</f>
        <v>85000</v>
      </c>
      <c r="H99" s="5">
        <v>0.6</v>
      </c>
      <c r="I99" s="2">
        <f>H99*F99</f>
        <v>51000</v>
      </c>
      <c r="K99" s="2">
        <f>I99</f>
        <v>51000</v>
      </c>
    </row>
    <row r="100" spans="1:11" x14ac:dyDescent="0.25">
      <c r="B100" t="s">
        <v>117</v>
      </c>
      <c r="D100" s="12">
        <v>28000</v>
      </c>
      <c r="F100" s="2">
        <f>D100</f>
        <v>28000</v>
      </c>
      <c r="H100" s="5">
        <v>1</v>
      </c>
      <c r="I100" s="2">
        <f>H100*F100</f>
        <v>28000</v>
      </c>
      <c r="K100" s="2">
        <f>I100</f>
        <v>28000</v>
      </c>
    </row>
    <row r="101" spans="1:11" ht="15" x14ac:dyDescent="0.4">
      <c r="B101" t="s">
        <v>118</v>
      </c>
      <c r="D101" s="13">
        <v>82976</v>
      </c>
      <c r="F101" s="4">
        <f>D101</f>
        <v>82976</v>
      </c>
      <c r="H101" s="5">
        <v>0.6</v>
      </c>
      <c r="I101" s="4">
        <f>H101*F101</f>
        <v>49785.599999999999</v>
      </c>
      <c r="K101" s="4">
        <f>I101</f>
        <v>49785.599999999999</v>
      </c>
    </row>
    <row r="102" spans="1:11" x14ac:dyDescent="0.25">
      <c r="D102" s="2">
        <f>SUM(D97:D101)</f>
        <v>838916</v>
      </c>
      <c r="F102" s="2">
        <f>SUM(F97:F101)</f>
        <v>838916</v>
      </c>
      <c r="I102" s="2">
        <f>SUM(I97:I101)</f>
        <v>518549.6</v>
      </c>
      <c r="K102" s="2">
        <f>SUM(K97:K101)</f>
        <v>518549.6</v>
      </c>
    </row>
    <row r="103" spans="1:11" x14ac:dyDescent="0.25">
      <c r="D103" s="2"/>
      <c r="F103" s="2"/>
      <c r="I103" s="2"/>
      <c r="K103" s="2"/>
    </row>
    <row r="104" spans="1:11" x14ac:dyDescent="0.25">
      <c r="A104" s="3" t="s">
        <v>119</v>
      </c>
      <c r="D104" s="2" t="s">
        <v>27</v>
      </c>
      <c r="F104" s="2" t="s">
        <v>27</v>
      </c>
      <c r="I104" s="2" t="s">
        <v>27</v>
      </c>
      <c r="K104" s="2" t="s">
        <v>27</v>
      </c>
    </row>
    <row r="105" spans="1:11" ht="15" x14ac:dyDescent="0.4">
      <c r="B105" t="s">
        <v>120</v>
      </c>
      <c r="D105" s="13">
        <v>25000</v>
      </c>
      <c r="F105" s="4">
        <f>D105</f>
        <v>25000</v>
      </c>
      <c r="H105" s="5">
        <v>1</v>
      </c>
      <c r="I105" s="4">
        <f>H105*F105</f>
        <v>25000</v>
      </c>
      <c r="K105" s="4">
        <f>I105</f>
        <v>25000</v>
      </c>
    </row>
    <row r="106" spans="1:11" x14ac:dyDescent="0.25">
      <c r="D106" s="2">
        <f>D105</f>
        <v>25000</v>
      </c>
      <c r="F106" s="2">
        <f>F105</f>
        <v>25000</v>
      </c>
      <c r="I106" s="2">
        <f>I105</f>
        <v>25000</v>
      </c>
      <c r="K106" s="2">
        <f>K105</f>
        <v>25000</v>
      </c>
    </row>
    <row r="107" spans="1:11" x14ac:dyDescent="0.25">
      <c r="D107" s="2"/>
      <c r="F107" s="2"/>
      <c r="I107" s="2"/>
      <c r="K107" s="2"/>
    </row>
    <row r="108" spans="1:11" x14ac:dyDescent="0.25">
      <c r="A108" s="3" t="s">
        <v>149</v>
      </c>
      <c r="D108" s="2" t="s">
        <v>27</v>
      </c>
      <c r="F108" s="2" t="s">
        <v>27</v>
      </c>
      <c r="I108" s="2" t="s">
        <v>27</v>
      </c>
      <c r="K108" s="2" t="s">
        <v>27</v>
      </c>
    </row>
    <row r="109" spans="1:11" x14ac:dyDescent="0.25">
      <c r="B109" t="s">
        <v>150</v>
      </c>
      <c r="D109" s="12">
        <v>0</v>
      </c>
      <c r="F109" s="2">
        <f>D109</f>
        <v>0</v>
      </c>
      <c r="H109" s="5" t="s">
        <v>27</v>
      </c>
      <c r="I109" s="12">
        <v>0</v>
      </c>
      <c r="K109" s="12">
        <v>0</v>
      </c>
    </row>
    <row r="110" spans="1:11" x14ac:dyDescent="0.25">
      <c r="B110" t="s">
        <v>151</v>
      </c>
      <c r="D110" s="12">
        <v>0</v>
      </c>
      <c r="F110" s="2">
        <f>D110</f>
        <v>0</v>
      </c>
      <c r="H110" s="5" t="s">
        <v>27</v>
      </c>
      <c r="I110" s="12">
        <v>2500000</v>
      </c>
      <c r="K110" s="12">
        <v>0</v>
      </c>
    </row>
    <row r="111" spans="1:11" x14ac:dyDescent="0.25">
      <c r="B111" t="s">
        <v>152</v>
      </c>
      <c r="D111" s="12">
        <v>0</v>
      </c>
      <c r="F111" s="2">
        <f>D111</f>
        <v>0</v>
      </c>
      <c r="H111" s="5" t="s">
        <v>27</v>
      </c>
      <c r="I111" s="12">
        <v>0</v>
      </c>
      <c r="K111" s="12">
        <v>0</v>
      </c>
    </row>
    <row r="112" spans="1:11" ht="15" x14ac:dyDescent="0.4">
      <c r="B112" t="s">
        <v>153</v>
      </c>
      <c r="D112" s="13">
        <v>0</v>
      </c>
      <c r="F112" s="4">
        <f>D112</f>
        <v>0</v>
      </c>
      <c r="H112" s="5" t="s">
        <v>27</v>
      </c>
      <c r="I112" s="13">
        <v>375000</v>
      </c>
      <c r="K112" s="13">
        <v>0</v>
      </c>
    </row>
    <row r="113" spans="1:11" x14ac:dyDescent="0.25">
      <c r="D113" s="2">
        <f>SUM(D108:D112)</f>
        <v>0</v>
      </c>
      <c r="F113" s="2">
        <f>SUM(F108:F112)</f>
        <v>0</v>
      </c>
      <c r="I113" s="2">
        <f>SUM(I108:I112)</f>
        <v>2875000</v>
      </c>
      <c r="K113" s="2">
        <f>SUM(K108:K112)</f>
        <v>0</v>
      </c>
    </row>
    <row r="114" spans="1:11" x14ac:dyDescent="0.25">
      <c r="D114" s="2"/>
      <c r="F114" s="2"/>
      <c r="I114" s="2"/>
      <c r="K114" s="2"/>
    </row>
    <row r="115" spans="1:11" x14ac:dyDescent="0.25">
      <c r="A115" s="3" t="s">
        <v>20</v>
      </c>
      <c r="D115" s="2">
        <f>D12+D21+D25+D77+D94+D102+D106+D113</f>
        <v>90797067</v>
      </c>
      <c r="F115" s="2">
        <f>F12+F21+F25+F77+F94+F102+F106+F113</f>
        <v>87239447</v>
      </c>
      <c r="I115" s="2">
        <f>I12+I21+I25+I77+I94+I102+I106+I113</f>
        <v>45885203.75</v>
      </c>
      <c r="K115" s="2">
        <f>K12+K21+K25+K77+K94+K102+K106+K113</f>
        <v>42853203.75</v>
      </c>
    </row>
    <row r="116" spans="1:11" x14ac:dyDescent="0.25">
      <c r="D116" s="2"/>
      <c r="F116" s="2"/>
      <c r="I116" s="2"/>
      <c r="K116" s="2"/>
    </row>
    <row r="117" spans="1:11" ht="15" x14ac:dyDescent="0.4">
      <c r="B117" t="s">
        <v>21</v>
      </c>
      <c r="C117" s="15">
        <v>0.02</v>
      </c>
      <c r="D117" s="4">
        <f>$C$117*D115</f>
        <v>1815941.34</v>
      </c>
      <c r="F117" s="4">
        <f>$C$117*F115</f>
        <v>1744788.94</v>
      </c>
      <c r="I117" s="4">
        <f>$C$117*I115</f>
        <v>917704.07500000007</v>
      </c>
      <c r="K117" s="4">
        <f>$C$117*K115</f>
        <v>857064.07500000007</v>
      </c>
    </row>
    <row r="118" spans="1:11" x14ac:dyDescent="0.25">
      <c r="D118" s="2"/>
      <c r="F118" s="2"/>
      <c r="I118" s="2"/>
      <c r="K118" s="2"/>
    </row>
    <row r="119" spans="1:11" x14ac:dyDescent="0.25">
      <c r="A119" s="3" t="s">
        <v>22</v>
      </c>
      <c r="D119" s="2">
        <f>D115+D117</f>
        <v>92613008.340000004</v>
      </c>
      <c r="F119" s="2">
        <f>F115+F117</f>
        <v>88984235.939999998</v>
      </c>
      <c r="I119" s="2">
        <f>I115+I117</f>
        <v>46802907.825000003</v>
      </c>
      <c r="K119" s="2">
        <f>K115+K117</f>
        <v>43710267.825000003</v>
      </c>
    </row>
    <row r="120" spans="1:11" x14ac:dyDescent="0.25">
      <c r="D120" s="2" t="s">
        <v>27</v>
      </c>
      <c r="F120" s="2" t="s">
        <v>27</v>
      </c>
      <c r="I120" s="2" t="s">
        <v>27</v>
      </c>
      <c r="K120" s="2" t="s">
        <v>27</v>
      </c>
    </row>
    <row r="121" spans="1:11" x14ac:dyDescent="0.25">
      <c r="B121" t="s">
        <v>23</v>
      </c>
      <c r="C121" s="15">
        <v>0.01</v>
      </c>
      <c r="D121" s="2">
        <f>$C$121*D119</f>
        <v>926130.0834</v>
      </c>
      <c r="F121" s="2">
        <f>$C$121*F119</f>
        <v>889842.35939999996</v>
      </c>
      <c r="I121" s="2">
        <f>$C$121*I119</f>
        <v>468029.07825000002</v>
      </c>
      <c r="K121" s="2">
        <f>$C$121*K119</f>
        <v>437102.67825000006</v>
      </c>
    </row>
    <row r="122" spans="1:11" ht="15" x14ac:dyDescent="0.4">
      <c r="B122" t="s">
        <v>25</v>
      </c>
      <c r="C122" s="15">
        <v>0.03</v>
      </c>
      <c r="D122" s="4">
        <f>$C$122*D119</f>
        <v>2778390.2502000001</v>
      </c>
      <c r="F122" s="4">
        <f>$C$122*F119</f>
        <v>2669527.0781999999</v>
      </c>
      <c r="I122" s="4">
        <f>$C$122*I119</f>
        <v>1404087.2347500001</v>
      </c>
      <c r="K122" s="4">
        <f>$C$122*K119</f>
        <v>1311308.0347500001</v>
      </c>
    </row>
    <row r="123" spans="1:11" x14ac:dyDescent="0.25">
      <c r="C123" t="s">
        <v>27</v>
      </c>
    </row>
    <row r="124" spans="1:11" x14ac:dyDescent="0.25">
      <c r="A124" s="3" t="s">
        <v>24</v>
      </c>
      <c r="D124" s="2">
        <f>D119+D121+D122</f>
        <v>96317528.673600003</v>
      </c>
      <c r="F124" s="2">
        <f>F119+F121+F122</f>
        <v>92543605.377599999</v>
      </c>
      <c r="I124" s="2">
        <f>I119+I121+I122</f>
        <v>48675024.138000004</v>
      </c>
      <c r="K124" s="2">
        <f>K119+K121+K122</f>
        <v>45458678.538000003</v>
      </c>
    </row>
    <row r="125" spans="1:11" x14ac:dyDescent="0.25">
      <c r="A125" s="3" t="s">
        <v>30</v>
      </c>
      <c r="D125" s="1">
        <f>D124/(D5*1000000)</f>
        <v>24.079382168400002</v>
      </c>
      <c r="F125" s="1">
        <f>F124/(F5*1000000)</f>
        <v>23.135901344400001</v>
      </c>
      <c r="I125" s="1">
        <f>I124/(I5*1000000)</f>
        <v>24.337512069000002</v>
      </c>
      <c r="K125" s="1">
        <f>K124/(K5*1000000)</f>
        <v>22.729339269</v>
      </c>
    </row>
    <row r="126" spans="1:11" x14ac:dyDescent="0.25">
      <c r="D126" s="2"/>
      <c r="F126" s="2"/>
      <c r="I126" s="2"/>
      <c r="K126" s="2"/>
    </row>
    <row r="127" spans="1:11" x14ac:dyDescent="0.25">
      <c r="A127" s="3" t="s">
        <v>121</v>
      </c>
      <c r="C127" s="10"/>
      <c r="D127" s="16">
        <f>D122/(D119-D34)</f>
        <v>8.8579024094546377E-2</v>
      </c>
      <c r="E127" s="10"/>
      <c r="F127" s="16">
        <f>F122/(F119-F34)</f>
        <v>8.7670752895461695E-2</v>
      </c>
      <c r="I127" s="16">
        <f>I122/(I119-I34)</f>
        <v>8.0960312360421588E-2</v>
      </c>
      <c r="K127" s="16">
        <f>K122/(K119-K34)</f>
        <v>9.1685322271609734E-2</v>
      </c>
    </row>
    <row r="128" spans="1:11" x14ac:dyDescent="0.25">
      <c r="C128" s="10"/>
      <c r="E128" s="10"/>
    </row>
    <row r="129" spans="3:5" x14ac:dyDescent="0.25">
      <c r="C129" s="10"/>
      <c r="E129" s="10"/>
    </row>
    <row r="130" spans="3:5" x14ac:dyDescent="0.25">
      <c r="C130" s="10"/>
      <c r="E130" s="10"/>
    </row>
    <row r="131" spans="3:5" x14ac:dyDescent="0.25">
      <c r="C131" s="10"/>
      <c r="E131" s="10"/>
    </row>
    <row r="132" spans="3:5" x14ac:dyDescent="0.25">
      <c r="C132" s="10"/>
      <c r="E132" s="10"/>
    </row>
    <row r="133" spans="3:5" x14ac:dyDescent="0.25">
      <c r="C133" s="10"/>
      <c r="E133" s="10"/>
    </row>
  </sheetData>
  <pageMargins left="0.75" right="0.75" top="1" bottom="1" header="0.5" footer="0.5"/>
  <pageSetup scale="39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="75" workbookViewId="0">
      <selection activeCell="I22" sqref="I22"/>
    </sheetView>
  </sheetViews>
  <sheetFormatPr defaultRowHeight="13.2" x14ac:dyDescent="0.25"/>
  <cols>
    <col min="1" max="1" width="26.109375" customWidth="1"/>
    <col min="2" max="2" width="5.44140625" customWidth="1"/>
    <col min="3" max="3" width="5.6640625" customWidth="1"/>
    <col min="4" max="4" width="14.88671875" bestFit="1" customWidth="1"/>
    <col min="9" max="9" width="14.88671875" bestFit="1" customWidth="1"/>
  </cols>
  <sheetData>
    <row r="1" spans="1:10" x14ac:dyDescent="0.25">
      <c r="H1" t="s">
        <v>32</v>
      </c>
    </row>
    <row r="3" spans="1:10" x14ac:dyDescent="0.25">
      <c r="I3" t="s">
        <v>146</v>
      </c>
    </row>
    <row r="4" spans="1:10" x14ac:dyDescent="0.25">
      <c r="H4" t="s">
        <v>76</v>
      </c>
      <c r="I4">
        <v>4</v>
      </c>
    </row>
    <row r="5" spans="1:10" x14ac:dyDescent="0.25">
      <c r="H5" t="s">
        <v>61</v>
      </c>
    </row>
    <row r="6" spans="1:10" x14ac:dyDescent="0.25">
      <c r="A6" t="s">
        <v>34</v>
      </c>
      <c r="D6" s="2">
        <v>13500000</v>
      </c>
      <c r="H6" t="s">
        <v>32</v>
      </c>
      <c r="I6" s="11">
        <f>IF(H6=$H$1,D6*$I$4,0)</f>
        <v>54000000</v>
      </c>
    </row>
    <row r="7" spans="1:10" x14ac:dyDescent="0.25">
      <c r="A7" t="s">
        <v>35</v>
      </c>
      <c r="D7" s="2">
        <v>310000</v>
      </c>
      <c r="H7" t="s">
        <v>32</v>
      </c>
      <c r="I7" s="11">
        <f t="shared" ref="I7:I19" si="0">IF(H7=$H$1,D7*$I$4,0)</f>
        <v>1240000</v>
      </c>
    </row>
    <row r="8" spans="1:10" x14ac:dyDescent="0.25">
      <c r="A8" t="s">
        <v>36</v>
      </c>
      <c r="D8" s="2">
        <v>450000</v>
      </c>
      <c r="H8" t="s">
        <v>32</v>
      </c>
      <c r="I8" s="11">
        <f t="shared" si="0"/>
        <v>1800000</v>
      </c>
    </row>
    <row r="9" spans="1:10" x14ac:dyDescent="0.25">
      <c r="A9" t="s">
        <v>37</v>
      </c>
      <c r="D9" s="2">
        <v>62000</v>
      </c>
      <c r="F9" t="s">
        <v>27</v>
      </c>
      <c r="H9" t="s">
        <v>32</v>
      </c>
      <c r="I9" s="11">
        <f t="shared" si="0"/>
        <v>248000</v>
      </c>
    </row>
    <row r="10" spans="1:10" x14ac:dyDescent="0.25">
      <c r="A10" t="s">
        <v>38</v>
      </c>
      <c r="D10" s="2">
        <v>950000</v>
      </c>
      <c r="H10" t="s">
        <v>29</v>
      </c>
      <c r="I10" s="11">
        <f t="shared" si="0"/>
        <v>0</v>
      </c>
    </row>
    <row r="11" spans="1:10" x14ac:dyDescent="0.25">
      <c r="A11" t="s">
        <v>39</v>
      </c>
      <c r="D11" s="2">
        <v>150000</v>
      </c>
      <c r="H11" t="s">
        <v>29</v>
      </c>
      <c r="I11" s="11">
        <f t="shared" si="0"/>
        <v>0</v>
      </c>
    </row>
    <row r="12" spans="1:10" x14ac:dyDescent="0.25">
      <c r="A12" t="s">
        <v>62</v>
      </c>
      <c r="D12" s="2">
        <v>57000</v>
      </c>
      <c r="H12" t="s">
        <v>32</v>
      </c>
      <c r="I12" s="11">
        <f t="shared" si="0"/>
        <v>228000</v>
      </c>
    </row>
    <row r="13" spans="1:10" x14ac:dyDescent="0.25">
      <c r="A13" t="s">
        <v>63</v>
      </c>
      <c r="D13" s="2">
        <v>23000</v>
      </c>
      <c r="H13" t="s">
        <v>32</v>
      </c>
      <c r="I13" s="11">
        <f t="shared" ref="I13:I18" si="1">IF(H13=$H$1,D13*$I$4,0)</f>
        <v>92000</v>
      </c>
    </row>
    <row r="14" spans="1:10" x14ac:dyDescent="0.25">
      <c r="A14" t="s">
        <v>77</v>
      </c>
      <c r="D14" s="2">
        <f>944000/4</f>
        <v>236000</v>
      </c>
      <c r="H14" t="s">
        <v>32</v>
      </c>
      <c r="I14" s="11">
        <f t="shared" si="1"/>
        <v>944000</v>
      </c>
      <c r="J14" t="s">
        <v>78</v>
      </c>
    </row>
    <row r="15" spans="1:10" x14ac:dyDescent="0.25">
      <c r="A15" t="s">
        <v>28</v>
      </c>
      <c r="D15" s="2">
        <f>1120000/4</f>
        <v>280000</v>
      </c>
      <c r="H15" t="s">
        <v>29</v>
      </c>
      <c r="I15" s="11">
        <f t="shared" si="1"/>
        <v>0</v>
      </c>
      <c r="J15" t="s">
        <v>79</v>
      </c>
    </row>
    <row r="16" spans="1:10" x14ac:dyDescent="0.25">
      <c r="A16" t="s">
        <v>80</v>
      </c>
      <c r="D16" s="2">
        <f>988000/4</f>
        <v>247000</v>
      </c>
      <c r="H16" t="s">
        <v>29</v>
      </c>
      <c r="I16" s="11">
        <f t="shared" si="1"/>
        <v>0</v>
      </c>
      <c r="J16" t="s">
        <v>81</v>
      </c>
    </row>
    <row r="17" spans="1:10" x14ac:dyDescent="0.25">
      <c r="A17" t="s">
        <v>82</v>
      </c>
      <c r="D17" s="2">
        <f>192000/4</f>
        <v>48000</v>
      </c>
      <c r="H17" t="s">
        <v>29</v>
      </c>
      <c r="I17" s="11">
        <f t="shared" si="1"/>
        <v>0</v>
      </c>
      <c r="J17" t="s">
        <v>83</v>
      </c>
    </row>
    <row r="18" spans="1:10" x14ac:dyDescent="0.25">
      <c r="A18" t="s">
        <v>84</v>
      </c>
      <c r="D18" s="2">
        <f>74000/4</f>
        <v>18500</v>
      </c>
      <c r="H18" t="s">
        <v>29</v>
      </c>
      <c r="I18" s="11">
        <f t="shared" si="1"/>
        <v>0</v>
      </c>
    </row>
    <row r="19" spans="1:10" ht="15" x14ac:dyDescent="0.4">
      <c r="A19" t="s">
        <v>85</v>
      </c>
      <c r="D19" s="2">
        <v>150000</v>
      </c>
      <c r="H19" t="s">
        <v>29</v>
      </c>
      <c r="I19" s="14">
        <f t="shared" si="0"/>
        <v>0</v>
      </c>
    </row>
    <row r="20" spans="1:10" x14ac:dyDescent="0.25">
      <c r="D20" s="2"/>
    </row>
    <row r="21" spans="1:10" x14ac:dyDescent="0.25">
      <c r="D21" s="2">
        <f>SUM(D6:D20)</f>
        <v>16481500</v>
      </c>
      <c r="I21" s="2">
        <f>SUM(I6:I20)</f>
        <v>58552000</v>
      </c>
    </row>
    <row r="22" spans="1:10" x14ac:dyDescent="0.25">
      <c r="D22" s="2"/>
      <c r="I22" s="2">
        <f>I21/I4</f>
        <v>14638000</v>
      </c>
    </row>
    <row r="23" spans="1:10" x14ac:dyDescent="0.25">
      <c r="D23" s="2"/>
    </row>
    <row r="24" spans="1:10" x14ac:dyDescent="0.25">
      <c r="A24" s="3" t="s">
        <v>40</v>
      </c>
      <c r="D24" s="2"/>
    </row>
    <row r="25" spans="1:10" x14ac:dyDescent="0.25">
      <c r="A25" s="8" t="s">
        <v>28</v>
      </c>
      <c r="D25" s="2">
        <v>280000</v>
      </c>
    </row>
    <row r="26" spans="1:10" x14ac:dyDescent="0.25">
      <c r="A26" s="8" t="s">
        <v>59</v>
      </c>
      <c r="D26" s="2">
        <v>198000</v>
      </c>
    </row>
    <row r="27" spans="1:10" x14ac:dyDescent="0.25">
      <c r="A27" s="8" t="s">
        <v>60</v>
      </c>
      <c r="D27" s="2">
        <v>233000</v>
      </c>
    </row>
    <row r="28" spans="1:10" x14ac:dyDescent="0.25">
      <c r="A28" s="8" t="s">
        <v>38</v>
      </c>
      <c r="D28" s="2">
        <v>950000</v>
      </c>
    </row>
    <row r="29" spans="1:10" x14ac:dyDescent="0.25">
      <c r="A29" t="s">
        <v>34</v>
      </c>
      <c r="D29" s="2">
        <v>13500000</v>
      </c>
    </row>
    <row r="30" spans="1:10" x14ac:dyDescent="0.25">
      <c r="A30" t="s">
        <v>35</v>
      </c>
      <c r="D30" s="2">
        <v>310000</v>
      </c>
    </row>
    <row r="31" spans="1:10" x14ac:dyDescent="0.25">
      <c r="A31" t="s">
        <v>36</v>
      </c>
      <c r="D31" s="2">
        <v>450000</v>
      </c>
    </row>
    <row r="32" spans="1:10" x14ac:dyDescent="0.25">
      <c r="A32" t="s">
        <v>37</v>
      </c>
      <c r="D32" s="2">
        <v>62000</v>
      </c>
    </row>
    <row r="33" spans="1:4" x14ac:dyDescent="0.25">
      <c r="A33" t="s">
        <v>38</v>
      </c>
      <c r="D33" s="2">
        <v>950000</v>
      </c>
    </row>
    <row r="34" spans="1:4" x14ac:dyDescent="0.25">
      <c r="A34" t="s">
        <v>39</v>
      </c>
      <c r="D34" s="2">
        <v>150000</v>
      </c>
    </row>
    <row r="35" spans="1:4" x14ac:dyDescent="0.25">
      <c r="D35" s="2"/>
    </row>
    <row r="36" spans="1:4" x14ac:dyDescent="0.25">
      <c r="A36" t="s">
        <v>64</v>
      </c>
      <c r="D36" s="2">
        <v>206258</v>
      </c>
    </row>
    <row r="37" spans="1:4" x14ac:dyDescent="0.25">
      <c r="A37" t="s">
        <v>41</v>
      </c>
      <c r="D37" s="2">
        <v>68753</v>
      </c>
    </row>
    <row r="38" spans="1:4" x14ac:dyDescent="0.25">
      <c r="A38" t="s">
        <v>42</v>
      </c>
      <c r="D38" s="2">
        <v>34376</v>
      </c>
    </row>
    <row r="39" spans="1:4" x14ac:dyDescent="0.25">
      <c r="A39" t="s">
        <v>43</v>
      </c>
      <c r="D39" s="2">
        <v>34376</v>
      </c>
    </row>
    <row r="40" spans="1:4" x14ac:dyDescent="0.25">
      <c r="A40" t="s">
        <v>44</v>
      </c>
      <c r="D40" s="2">
        <v>41252</v>
      </c>
    </row>
    <row r="41" spans="1:4" x14ac:dyDescent="0.25">
      <c r="A41" t="s">
        <v>45</v>
      </c>
      <c r="D41" s="2">
        <v>34376</v>
      </c>
    </row>
    <row r="42" spans="1:4" x14ac:dyDescent="0.25">
      <c r="D42" s="2"/>
    </row>
    <row r="43" spans="1:4" x14ac:dyDescent="0.25">
      <c r="A43" t="s">
        <v>46</v>
      </c>
      <c r="D43" s="2">
        <v>56377</v>
      </c>
    </row>
    <row r="44" spans="1:4" x14ac:dyDescent="0.25">
      <c r="D44" s="2"/>
    </row>
    <row r="45" spans="1:4" x14ac:dyDescent="0.25">
      <c r="A45" t="s">
        <v>47</v>
      </c>
      <c r="B45">
        <v>2</v>
      </c>
      <c r="C45" s="5">
        <v>0.5</v>
      </c>
      <c r="D45" s="2">
        <v>154006</v>
      </c>
    </row>
    <row r="46" spans="1:4" x14ac:dyDescent="0.25">
      <c r="A46" t="s">
        <v>48</v>
      </c>
      <c r="D46" s="2">
        <v>137506</v>
      </c>
    </row>
    <row r="47" spans="1:4" x14ac:dyDescent="0.25">
      <c r="A47" t="s">
        <v>49</v>
      </c>
      <c r="D47" s="2">
        <v>495020</v>
      </c>
    </row>
    <row r="48" spans="1:4" x14ac:dyDescent="0.25">
      <c r="A48" t="s">
        <v>50</v>
      </c>
      <c r="D48" s="2">
        <v>61878</v>
      </c>
    </row>
    <row r="49" spans="1:4" x14ac:dyDescent="0.25">
      <c r="A49" t="s">
        <v>51</v>
      </c>
      <c r="D49" s="2">
        <v>36164</v>
      </c>
    </row>
    <row r="50" spans="1:4" x14ac:dyDescent="0.25">
      <c r="D50" s="2"/>
    </row>
    <row r="51" spans="1:4" x14ac:dyDescent="0.25">
      <c r="A51" t="s">
        <v>52</v>
      </c>
      <c r="D51" s="2">
        <v>99334</v>
      </c>
    </row>
    <row r="52" spans="1:4" x14ac:dyDescent="0.25">
      <c r="A52" t="s">
        <v>53</v>
      </c>
      <c r="D52" s="2">
        <v>199383</v>
      </c>
    </row>
    <row r="53" spans="1:4" x14ac:dyDescent="0.25">
      <c r="D53" s="2"/>
    </row>
    <row r="54" spans="1:4" x14ac:dyDescent="0.25">
      <c r="A54" t="s">
        <v>54</v>
      </c>
      <c r="D54" s="2">
        <v>44002</v>
      </c>
    </row>
    <row r="55" spans="1:4" x14ac:dyDescent="0.25">
      <c r="D55" s="2"/>
    </row>
    <row r="56" spans="1:4" x14ac:dyDescent="0.25">
      <c r="A56" t="s">
        <v>55</v>
      </c>
      <c r="D56" s="2">
        <v>90794</v>
      </c>
    </row>
    <row r="57" spans="1:4" x14ac:dyDescent="0.25">
      <c r="D57" s="2"/>
    </row>
    <row r="58" spans="1:4" x14ac:dyDescent="0.25">
      <c r="A58" t="s">
        <v>56</v>
      </c>
      <c r="D58" s="2">
        <v>165007</v>
      </c>
    </row>
    <row r="59" spans="1:4" x14ac:dyDescent="0.25">
      <c r="D59" s="2"/>
    </row>
    <row r="60" spans="1:4" x14ac:dyDescent="0.25">
      <c r="A60" t="s">
        <v>57</v>
      </c>
      <c r="D60" s="2">
        <v>226884</v>
      </c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</sheetData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C13" sqref="C13"/>
    </sheetView>
  </sheetViews>
  <sheetFormatPr defaultRowHeight="13.2" x14ac:dyDescent="0.25"/>
  <cols>
    <col min="1" max="1" width="20.88671875" customWidth="1"/>
    <col min="2" max="2" width="12.33203125" customWidth="1"/>
    <col min="3" max="3" width="13.88671875" bestFit="1" customWidth="1"/>
  </cols>
  <sheetData>
    <row r="3" spans="1:3" x14ac:dyDescent="0.25">
      <c r="A3" t="s">
        <v>122</v>
      </c>
      <c r="B3" t="s">
        <v>123</v>
      </c>
      <c r="C3" s="18">
        <v>47500</v>
      </c>
    </row>
    <row r="4" spans="1:3" x14ac:dyDescent="0.25">
      <c r="A4" t="s">
        <v>124</v>
      </c>
      <c r="C4" s="17">
        <v>0.9</v>
      </c>
    </row>
    <row r="5" spans="1:3" x14ac:dyDescent="0.25">
      <c r="A5" t="s">
        <v>125</v>
      </c>
      <c r="B5" t="s">
        <v>126</v>
      </c>
      <c r="C5" s="18">
        <f>C3/C4</f>
        <v>52777.777777777774</v>
      </c>
    </row>
    <row r="6" spans="1:3" x14ac:dyDescent="0.25">
      <c r="A6" t="s">
        <v>127</v>
      </c>
      <c r="B6" t="s">
        <v>128</v>
      </c>
      <c r="C6" s="18">
        <v>13800</v>
      </c>
    </row>
    <row r="7" spans="1:3" x14ac:dyDescent="0.25">
      <c r="B7" t="s">
        <v>129</v>
      </c>
      <c r="C7" s="18">
        <f>C5*1000/(C6*3^0.5)</f>
        <v>2208.062623712337</v>
      </c>
    </row>
    <row r="8" spans="1:3" x14ac:dyDescent="0.25">
      <c r="C8" s="18"/>
    </row>
    <row r="9" spans="1:3" x14ac:dyDescent="0.25">
      <c r="C9" s="18"/>
    </row>
    <row r="10" spans="1:3" x14ac:dyDescent="0.25">
      <c r="C10" s="18"/>
    </row>
    <row r="11" spans="1:3" x14ac:dyDescent="0.25">
      <c r="C11" s="18"/>
    </row>
    <row r="12" spans="1:3" x14ac:dyDescent="0.25">
      <c r="A12" t="s">
        <v>151</v>
      </c>
      <c r="B12" t="s">
        <v>154</v>
      </c>
      <c r="C12" s="18">
        <v>3</v>
      </c>
    </row>
    <row r="13" spans="1:3" x14ac:dyDescent="0.25">
      <c r="A13" t="s">
        <v>155</v>
      </c>
      <c r="B13" t="s">
        <v>156</v>
      </c>
      <c r="C13" s="18">
        <v>24</v>
      </c>
    </row>
    <row r="14" spans="1:3" x14ac:dyDescent="0.25">
      <c r="A14" t="s">
        <v>157</v>
      </c>
      <c r="B14" t="s">
        <v>158</v>
      </c>
      <c r="C14" s="2">
        <v>35000</v>
      </c>
    </row>
    <row r="15" spans="1:3" x14ac:dyDescent="0.25">
      <c r="C15" s="18"/>
    </row>
    <row r="16" spans="1:3" x14ac:dyDescent="0.25">
      <c r="A16" t="s">
        <v>159</v>
      </c>
      <c r="C16" s="2">
        <f>C12*C13*C14</f>
        <v>2520000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Terra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2000-04-10T21:47:39Z</cp:lastPrinted>
  <dcterms:created xsi:type="dcterms:W3CDTF">2000-02-15T01:20:36Z</dcterms:created>
  <dcterms:modified xsi:type="dcterms:W3CDTF">2023-09-10T11:58:12Z</dcterms:modified>
</cp:coreProperties>
</file>