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O3" i="1" l="1"/>
  <c r="R3" i="1"/>
  <c r="T3" i="1"/>
  <c r="U3" i="1"/>
  <c r="W3" i="1"/>
  <c r="L4" i="1"/>
  <c r="U4" i="1"/>
  <c r="W4" i="1"/>
  <c r="O6" i="1"/>
  <c r="R6" i="1"/>
  <c r="T6" i="1"/>
  <c r="U6" i="1"/>
  <c r="W6" i="1"/>
  <c r="O7" i="1"/>
  <c r="R7" i="1"/>
  <c r="T7" i="1"/>
  <c r="U7" i="1"/>
  <c r="W7" i="1"/>
  <c r="O8" i="1"/>
  <c r="R8" i="1"/>
  <c r="T8" i="1"/>
  <c r="U8" i="1"/>
  <c r="W8" i="1"/>
  <c r="O9" i="1"/>
  <c r="R9" i="1"/>
  <c r="T9" i="1"/>
  <c r="U9" i="1"/>
  <c r="W9" i="1"/>
  <c r="O10" i="1"/>
  <c r="R10" i="1"/>
  <c r="T10" i="1"/>
  <c r="U10" i="1"/>
  <c r="W10" i="1"/>
  <c r="O11" i="1"/>
  <c r="R11" i="1"/>
  <c r="T11" i="1"/>
  <c r="U11" i="1"/>
  <c r="W11" i="1"/>
  <c r="O12" i="1"/>
  <c r="R12" i="1"/>
  <c r="T12" i="1"/>
  <c r="U12" i="1"/>
  <c r="W12" i="1"/>
  <c r="O13" i="1"/>
  <c r="R13" i="1"/>
  <c r="T13" i="1"/>
  <c r="U13" i="1"/>
  <c r="W13" i="1"/>
  <c r="L14" i="1"/>
  <c r="U14" i="1"/>
  <c r="W14" i="1"/>
  <c r="O16" i="1"/>
  <c r="R16" i="1"/>
  <c r="T16" i="1"/>
  <c r="U16" i="1"/>
  <c r="W16" i="1"/>
  <c r="O17" i="1"/>
  <c r="R17" i="1"/>
  <c r="T17" i="1"/>
  <c r="U17" i="1"/>
  <c r="W17" i="1"/>
  <c r="O18" i="1"/>
  <c r="R18" i="1"/>
  <c r="T18" i="1"/>
  <c r="U18" i="1"/>
  <c r="W18" i="1"/>
  <c r="O19" i="1"/>
  <c r="R19" i="1"/>
  <c r="T19" i="1"/>
  <c r="U19" i="1"/>
  <c r="W19" i="1"/>
  <c r="O20" i="1"/>
  <c r="R20" i="1"/>
  <c r="T20" i="1"/>
  <c r="U20" i="1"/>
  <c r="W20" i="1"/>
  <c r="O21" i="1"/>
  <c r="R21" i="1"/>
  <c r="T21" i="1"/>
  <c r="U21" i="1"/>
  <c r="W21" i="1"/>
  <c r="L22" i="1"/>
  <c r="U22" i="1"/>
  <c r="W22" i="1"/>
  <c r="O24" i="1"/>
  <c r="R24" i="1"/>
  <c r="T24" i="1"/>
  <c r="U24" i="1"/>
  <c r="W24" i="1"/>
  <c r="O25" i="1"/>
  <c r="R25" i="1"/>
  <c r="T25" i="1"/>
  <c r="U25" i="1"/>
  <c r="W25" i="1"/>
  <c r="O26" i="1"/>
  <c r="R26" i="1"/>
  <c r="T26" i="1"/>
  <c r="U26" i="1"/>
  <c r="W26" i="1"/>
  <c r="L27" i="1"/>
  <c r="U27" i="1"/>
  <c r="W27" i="1"/>
  <c r="O28" i="1"/>
  <c r="R28" i="1"/>
  <c r="T28" i="1"/>
  <c r="U28" i="1"/>
  <c r="W28" i="1"/>
  <c r="O30" i="1"/>
  <c r="R30" i="1"/>
  <c r="T30" i="1"/>
  <c r="U30" i="1"/>
  <c r="W30" i="1"/>
  <c r="O31" i="1"/>
  <c r="R31" i="1"/>
  <c r="T31" i="1"/>
  <c r="U31" i="1"/>
  <c r="W31" i="1"/>
</calcChain>
</file>

<file path=xl/sharedStrings.xml><?xml version="1.0" encoding="utf-8"?>
<sst xmlns="http://schemas.openxmlformats.org/spreadsheetml/2006/main" count="177" uniqueCount="54">
  <si>
    <t>Operator Name</t>
  </si>
  <si>
    <t>Plant Name</t>
  </si>
  <si>
    <t>Prime Mover</t>
  </si>
  <si>
    <t>Prime Mover Group</t>
  </si>
  <si>
    <t>Year</t>
  </si>
  <si>
    <t>Name Plate Capacity MW</t>
  </si>
  <si>
    <t>Cincinnati Gas &amp; Electric Co.</t>
  </si>
  <si>
    <t>Beckjord</t>
  </si>
  <si>
    <t>GAS TURB</t>
  </si>
  <si>
    <t>GT</t>
  </si>
  <si>
    <t>OIL-H</t>
  </si>
  <si>
    <t>STEAM</t>
  </si>
  <si>
    <t>ST</t>
  </si>
  <si>
    <t>COAL</t>
  </si>
  <si>
    <t>Dicks Creek</t>
  </si>
  <si>
    <t>GAS</t>
  </si>
  <si>
    <t>East Bend</t>
  </si>
  <si>
    <t>Miami Fort</t>
  </si>
  <si>
    <t>OIL-L</t>
  </si>
  <si>
    <t>W.H. Zimmer</t>
  </si>
  <si>
    <t>Woodsdale</t>
  </si>
  <si>
    <t>PSI Energy, Inc.</t>
  </si>
  <si>
    <t>Cayuga</t>
  </si>
  <si>
    <t>INT COMB</t>
  </si>
  <si>
    <t>Connersville</t>
  </si>
  <si>
    <t>Edwardsport</t>
  </si>
  <si>
    <t>Gallagher</t>
  </si>
  <si>
    <t>Gibson</t>
  </si>
  <si>
    <t>Markland</t>
  </si>
  <si>
    <t>HYDRO</t>
  </si>
  <si>
    <t>HY</t>
  </si>
  <si>
    <t>WATER</t>
  </si>
  <si>
    <t>Miami Wabash</t>
  </si>
  <si>
    <t>Noblesville</t>
  </si>
  <si>
    <t>Wabash River</t>
  </si>
  <si>
    <t>OIL</t>
  </si>
  <si>
    <t>INTEG. COAL GASIF.</t>
  </si>
  <si>
    <t>Cinergy</t>
  </si>
  <si>
    <t>-</t>
  </si>
  <si>
    <t>CINERGY</t>
  </si>
  <si>
    <t>Source: RDI PowerDat 1998 Data</t>
  </si>
  <si>
    <r>
      <t xml:space="preserve">Prime </t>
    </r>
    <r>
      <rPr>
        <b/>
        <u/>
        <sz val="10"/>
        <rFont val="Arial"/>
        <family val="2"/>
      </rPr>
      <t>Fuel</t>
    </r>
  </si>
  <si>
    <r>
      <t xml:space="preserve">Percent </t>
    </r>
    <r>
      <rPr>
        <b/>
        <u/>
        <sz val="10"/>
        <rFont val="Arial"/>
        <family val="2"/>
      </rPr>
      <t>Ownership</t>
    </r>
  </si>
  <si>
    <r>
      <t>Cap.</t>
    </r>
    <r>
      <rPr>
        <b/>
        <u/>
        <sz val="10"/>
        <rFont val="Arial"/>
        <family val="2"/>
      </rPr>
      <t xml:space="preserve">    Factor %</t>
    </r>
  </si>
  <si>
    <r>
      <t xml:space="preserve">Demonstrated </t>
    </r>
    <r>
      <rPr>
        <b/>
        <u/>
        <sz val="10"/>
        <rFont val="Arial"/>
        <family val="2"/>
      </rPr>
      <t>Capacity MW</t>
    </r>
  </si>
  <si>
    <r>
      <t xml:space="preserve">Non-Fuel Var O&amp;M </t>
    </r>
    <r>
      <rPr>
        <b/>
        <u/>
        <sz val="10"/>
        <rFont val="Arial"/>
        <family val="2"/>
      </rPr>
      <t>$/MWh</t>
    </r>
  </si>
  <si>
    <r>
      <t>Fuel</t>
    </r>
    <r>
      <rPr>
        <b/>
        <u/>
        <sz val="10"/>
        <rFont val="Arial"/>
        <family val="2"/>
      </rPr>
      <t xml:space="preserve"> $/MWh</t>
    </r>
  </si>
  <si>
    <r>
      <t>Total Var Cost</t>
    </r>
    <r>
      <rPr>
        <b/>
        <u/>
        <sz val="10"/>
        <rFont val="Arial"/>
        <family val="2"/>
      </rPr>
      <t xml:space="preserve"> $/MWh</t>
    </r>
  </si>
  <si>
    <r>
      <t>Net Generation</t>
    </r>
    <r>
      <rPr>
        <b/>
        <u/>
        <sz val="10"/>
        <rFont val="Arial"/>
        <family val="2"/>
      </rPr>
      <t xml:space="preserve"> MWh</t>
    </r>
  </si>
  <si>
    <r>
      <t>Heat Rate</t>
    </r>
    <r>
      <rPr>
        <b/>
        <u/>
        <sz val="10"/>
        <rFont val="Arial"/>
        <family val="2"/>
      </rPr>
      <t xml:space="preserve"> Btu/kWh</t>
    </r>
  </si>
  <si>
    <r>
      <t xml:space="preserve">Valuation $ </t>
    </r>
    <r>
      <rPr>
        <b/>
        <u/>
        <sz val="10"/>
        <rFont val="Arial"/>
        <family val="2"/>
      </rPr>
      <t>($mm)</t>
    </r>
  </si>
  <si>
    <r>
      <t xml:space="preserve">Installed </t>
    </r>
    <r>
      <rPr>
        <b/>
        <u/>
        <sz val="10"/>
        <rFont val="Arial"/>
        <family val="2"/>
      </rPr>
      <t>Year</t>
    </r>
  </si>
  <si>
    <r>
      <t xml:space="preserve">Valuation </t>
    </r>
    <r>
      <rPr>
        <b/>
        <u/>
        <sz val="10"/>
        <rFont val="Arial"/>
        <family val="2"/>
      </rPr>
      <t>$/kW</t>
    </r>
  </si>
  <si>
    <r>
      <t>Year Originally</t>
    </r>
    <r>
      <rPr>
        <b/>
        <u/>
        <sz val="10"/>
        <rFont val="Arial"/>
        <family val="2"/>
      </rPr>
      <t xml:space="preserve"> Constructed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</si>
</sst>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</numFmts>
  <fonts count="10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b/>
      <sz val="22"/>
      <name val="Arial"/>
      <family val="2"/>
    </font>
    <font>
      <i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167" fontId="0" fillId="0" borderId="0" xfId="2" applyNumberFormat="1" applyFont="1"/>
    <xf numFmtId="0" fontId="5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 wrapText="1"/>
    </xf>
    <xf numFmtId="9" fontId="0" fillId="2" borderId="0" xfId="3" applyFont="1" applyFill="1"/>
    <xf numFmtId="10" fontId="0" fillId="2" borderId="0" xfId="0" applyNumberFormat="1" applyFill="1"/>
    <xf numFmtId="165" fontId="0" fillId="2" borderId="0" xfId="1" applyNumberFormat="1" applyFont="1" applyFill="1"/>
    <xf numFmtId="44" fontId="0" fillId="2" borderId="0" xfId="2" applyFont="1" applyFill="1"/>
    <xf numFmtId="167" fontId="0" fillId="2" borderId="0" xfId="2" applyNumberFormat="1" applyFont="1" applyFill="1"/>
    <xf numFmtId="44" fontId="0" fillId="2" borderId="0" xfId="2" quotePrefix="1" applyFont="1" applyFill="1"/>
    <xf numFmtId="166" fontId="0" fillId="2" borderId="0" xfId="2" applyNumberFormat="1" applyFont="1" applyFill="1"/>
    <xf numFmtId="0" fontId="0" fillId="2" borderId="0" xfId="0" quotePrefix="1" applyFill="1"/>
    <xf numFmtId="43" fontId="0" fillId="2" borderId="0" xfId="1" applyFont="1" applyFill="1"/>
    <xf numFmtId="0" fontId="3" fillId="2" borderId="0" xfId="0" applyFont="1" applyFill="1"/>
    <xf numFmtId="167" fontId="3" fillId="2" borderId="0" xfId="2" applyNumberFormat="1" applyFont="1" applyFill="1"/>
    <xf numFmtId="0" fontId="6" fillId="2" borderId="0" xfId="0" applyFont="1" applyFill="1"/>
    <xf numFmtId="164" fontId="0" fillId="2" borderId="0" xfId="1" applyNumberFormat="1" applyFont="1" applyFill="1"/>
    <xf numFmtId="165" fontId="0" fillId="2" borderId="0" xfId="1" quotePrefix="1" applyNumberFormat="1" applyFont="1" applyFill="1"/>
    <xf numFmtId="164" fontId="0" fillId="2" borderId="0" xfId="1" quotePrefix="1" applyNumberFormat="1" applyFont="1" applyFill="1"/>
    <xf numFmtId="164" fontId="7" fillId="2" borderId="0" xfId="1" applyNumberFormat="1" applyFont="1" applyFill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wrapText="1"/>
    </xf>
    <xf numFmtId="165" fontId="0" fillId="2" borderId="1" xfId="1" applyNumberFormat="1" applyFont="1" applyFill="1" applyBorder="1"/>
    <xf numFmtId="165" fontId="3" fillId="2" borderId="0" xfId="0" applyNumberFormat="1" applyFont="1" applyFill="1" applyAlignment="1">
      <alignment horizontal="center" wrapText="1"/>
    </xf>
    <xf numFmtId="165" fontId="0" fillId="2" borderId="0" xfId="0" applyNumberFormat="1" applyFill="1"/>
    <xf numFmtId="164" fontId="0" fillId="2" borderId="1" xfId="1" applyNumberFormat="1" applyFont="1" applyFill="1" applyBorder="1"/>
    <xf numFmtId="0" fontId="9" fillId="2" borderId="0" xfId="0" applyFont="1" applyFill="1" applyAlignment="1">
      <alignment horizontal="center" wrapText="1"/>
    </xf>
    <xf numFmtId="165" fontId="8" fillId="2" borderId="0" xfId="0" applyNumberFormat="1" applyFont="1" applyFill="1" applyAlignment="1">
      <alignment horizontal="center" wrapText="1"/>
    </xf>
    <xf numFmtId="167" fontId="0" fillId="2" borderId="1" xfId="2" applyNumberFormat="1" applyFont="1" applyFill="1" applyBorder="1"/>
    <xf numFmtId="167" fontId="8" fillId="2" borderId="0" xfId="2" applyNumberFormat="1" applyFont="1" applyFill="1" applyAlignment="1">
      <alignment horizontal="center" wrapText="1"/>
    </xf>
    <xf numFmtId="165" fontId="8" fillId="2" borderId="1" xfId="1" applyNumberFormat="1" applyFont="1" applyFill="1" applyBorder="1"/>
    <xf numFmtId="165" fontId="3" fillId="2" borderId="2" xfId="0" applyNumberFormat="1" applyFont="1" applyFill="1" applyBorder="1"/>
    <xf numFmtId="167" fontId="3" fillId="2" borderId="2" xfId="2" applyNumberFormat="1" applyFont="1" applyFill="1" applyBorder="1"/>
    <xf numFmtId="0" fontId="3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tabSelected="1" topLeftCell="B1" zoomScaleNormal="100" workbookViewId="0">
      <selection activeCell="B37" sqref="B37"/>
    </sheetView>
  </sheetViews>
  <sheetFormatPr defaultRowHeight="13.2" x14ac:dyDescent="0.25"/>
  <cols>
    <col min="1" max="1" width="16" hidden="1" customWidth="1"/>
    <col min="2" max="2" width="13.109375" customWidth="1"/>
    <col min="3" max="3" width="13.5546875" hidden="1" customWidth="1"/>
    <col min="4" max="4" width="9.109375" hidden="1" customWidth="1"/>
    <col min="5" max="5" width="0.88671875" hidden="1" customWidth="1"/>
    <col min="8" max="8" width="11.44140625" customWidth="1"/>
    <col min="9" max="9" width="12.44140625" customWidth="1"/>
    <col min="11" max="11" width="10.44140625" hidden="1" customWidth="1"/>
    <col min="12" max="12" width="13.6640625" customWidth="1"/>
    <col min="16" max="16" width="11.44140625" hidden="1" customWidth="1"/>
    <col min="17" max="17" width="10.33203125" bestFit="1" customWidth="1"/>
    <col min="18" max="18" width="6.109375" bestFit="1" customWidth="1"/>
    <col min="19" max="19" width="1.88671875" customWidth="1"/>
    <col min="20" max="20" width="6.109375" bestFit="1" customWidth="1"/>
    <col min="21" max="21" width="7.44140625" customWidth="1"/>
    <col min="22" max="22" width="1.6640625" customWidth="1"/>
    <col min="23" max="23" width="6.5546875" customWidth="1"/>
  </cols>
  <sheetData>
    <row r="1" spans="1:23" ht="28.2" x14ac:dyDescent="0.5">
      <c r="A1" s="1" t="s">
        <v>37</v>
      </c>
      <c r="B1" s="3" t="s">
        <v>39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41.25" customHeight="1" x14ac:dyDescent="0.25">
      <c r="A2" s="22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23" t="s">
        <v>41</v>
      </c>
      <c r="G2" s="23" t="s">
        <v>51</v>
      </c>
      <c r="H2" s="23" t="s">
        <v>42</v>
      </c>
      <c r="I2" s="23" t="s">
        <v>53</v>
      </c>
      <c r="J2" s="23" t="s">
        <v>43</v>
      </c>
      <c r="K2" s="5" t="s">
        <v>5</v>
      </c>
      <c r="L2" s="23" t="s">
        <v>44</v>
      </c>
      <c r="M2" s="23" t="s">
        <v>45</v>
      </c>
      <c r="N2" s="23" t="s">
        <v>46</v>
      </c>
      <c r="O2" s="23" t="s">
        <v>47</v>
      </c>
      <c r="P2" s="23" t="s">
        <v>48</v>
      </c>
      <c r="Q2" s="23" t="s">
        <v>49</v>
      </c>
      <c r="R2" s="36" t="s">
        <v>52</v>
      </c>
      <c r="S2" s="37"/>
      <c r="T2" s="37"/>
      <c r="U2" s="36" t="s">
        <v>50</v>
      </c>
      <c r="V2" s="37"/>
      <c r="W2" s="37"/>
    </row>
    <row r="3" spans="1:23" s="4" customFormat="1" x14ac:dyDescent="0.25">
      <c r="A3" s="4" t="s">
        <v>21</v>
      </c>
      <c r="B3" s="4" t="s">
        <v>25</v>
      </c>
      <c r="C3" s="4" t="s">
        <v>11</v>
      </c>
      <c r="D3" s="4" t="s">
        <v>12</v>
      </c>
      <c r="E3" s="4">
        <v>1998</v>
      </c>
      <c r="F3" s="4" t="s">
        <v>13</v>
      </c>
      <c r="G3" s="4">
        <v>1918</v>
      </c>
      <c r="H3" s="6">
        <v>1</v>
      </c>
      <c r="I3" s="4">
        <v>1918</v>
      </c>
      <c r="J3" s="7">
        <v>0.25869999999999999</v>
      </c>
      <c r="K3" s="4">
        <v>144.25</v>
      </c>
      <c r="L3" s="25">
        <v>160</v>
      </c>
      <c r="M3" s="9">
        <v>3.11</v>
      </c>
      <c r="N3" s="9">
        <v>15.87</v>
      </c>
      <c r="O3" s="9">
        <f>M3+N3</f>
        <v>18.98</v>
      </c>
      <c r="P3" s="8">
        <v>362629</v>
      </c>
      <c r="Q3" s="8">
        <v>13592</v>
      </c>
      <c r="R3" s="10">
        <f>VLOOKUP(F3,Sheet2!$A$1:$C$5,2)</f>
        <v>600</v>
      </c>
      <c r="S3" s="19" t="s">
        <v>38</v>
      </c>
      <c r="T3" s="10">
        <f>VLOOKUP(F3,Sheet2!$A$1:$C$5,3)</f>
        <v>800</v>
      </c>
      <c r="U3" s="31">
        <f>R3*L3/1000</f>
        <v>96</v>
      </c>
      <c r="V3" s="20" t="s">
        <v>38</v>
      </c>
      <c r="W3" s="31">
        <f>T3*L3/1000</f>
        <v>128</v>
      </c>
    </row>
    <row r="4" spans="1:23" s="4" customFormat="1" ht="13.5" customHeight="1" x14ac:dyDescent="0.25">
      <c r="A4" s="24"/>
      <c r="B4" s="5"/>
      <c r="C4" s="5"/>
      <c r="D4" s="5"/>
      <c r="E4" s="5"/>
      <c r="F4" s="23"/>
      <c r="G4" s="23"/>
      <c r="H4" s="23"/>
      <c r="I4" s="5"/>
      <c r="J4" s="23"/>
      <c r="K4" s="5"/>
      <c r="L4" s="30">
        <f>SUM(L3)</f>
        <v>160</v>
      </c>
      <c r="M4" s="23"/>
      <c r="N4" s="23"/>
      <c r="O4" s="23"/>
      <c r="P4" s="23"/>
      <c r="Q4" s="23"/>
      <c r="R4" s="5"/>
      <c r="S4" s="5"/>
      <c r="T4" s="5"/>
      <c r="U4" s="32">
        <f>SUM(U3)</f>
        <v>96</v>
      </c>
      <c r="V4" s="29"/>
      <c r="W4" s="32">
        <f>SUM(W3)</f>
        <v>128</v>
      </c>
    </row>
    <row r="5" spans="1:23" s="4" customFormat="1" ht="13.5" customHeight="1" x14ac:dyDescent="0.25">
      <c r="A5" s="24"/>
      <c r="B5" s="5"/>
      <c r="C5" s="5"/>
      <c r="D5" s="5"/>
      <c r="E5" s="5"/>
      <c r="F5" s="23"/>
      <c r="G5" s="23"/>
      <c r="H5" s="23"/>
      <c r="I5" s="5"/>
      <c r="J5" s="23"/>
      <c r="K5" s="5"/>
      <c r="L5" s="26"/>
      <c r="M5" s="23"/>
      <c r="N5" s="23"/>
      <c r="O5" s="23"/>
      <c r="P5" s="23"/>
      <c r="Q5" s="23"/>
      <c r="R5" s="5"/>
      <c r="S5" s="5"/>
      <c r="T5" s="5"/>
      <c r="U5" s="23"/>
      <c r="V5" s="5"/>
      <c r="W5" s="5"/>
    </row>
    <row r="6" spans="1:23" s="4" customFormat="1" ht="12.75" customHeight="1" x14ac:dyDescent="0.25">
      <c r="A6" s="4" t="s">
        <v>6</v>
      </c>
      <c r="B6" s="4" t="s">
        <v>7</v>
      </c>
      <c r="C6" s="4" t="s">
        <v>8</v>
      </c>
      <c r="D6" s="4" t="s">
        <v>9</v>
      </c>
      <c r="E6" s="4">
        <v>1998</v>
      </c>
      <c r="F6" s="4" t="s">
        <v>10</v>
      </c>
      <c r="G6" s="4">
        <v>1952</v>
      </c>
      <c r="H6" s="6">
        <v>1</v>
      </c>
      <c r="I6" s="4">
        <v>1972</v>
      </c>
      <c r="J6" s="7">
        <v>1.55E-2</v>
      </c>
      <c r="K6" s="4">
        <v>211.6</v>
      </c>
      <c r="L6" s="8">
        <v>244.8</v>
      </c>
      <c r="M6" s="9">
        <v>2.14</v>
      </c>
      <c r="N6" s="9">
        <v>63.58</v>
      </c>
      <c r="O6" s="9">
        <f t="shared" ref="O6:O13" si="0">M6+N6</f>
        <v>65.72</v>
      </c>
      <c r="P6" s="8">
        <v>33240</v>
      </c>
      <c r="Q6" s="8">
        <v>19015</v>
      </c>
      <c r="R6" s="10">
        <f>VLOOKUP(F6,Sheet2!$A$1:$C$5,2)</f>
        <v>150</v>
      </c>
      <c r="S6" s="11" t="s">
        <v>38</v>
      </c>
      <c r="T6" s="10">
        <f>VLOOKUP(F6,Sheet2!$A$1:$C$5,3)</f>
        <v>250</v>
      </c>
      <c r="U6" s="12">
        <f t="shared" ref="U6:U13" si="1">R6*L6/1000</f>
        <v>36.72</v>
      </c>
      <c r="V6" s="13" t="s">
        <v>38</v>
      </c>
      <c r="W6" s="12">
        <f t="shared" ref="W6:W13" si="2">T6*L6/1000</f>
        <v>61.2</v>
      </c>
    </row>
    <row r="7" spans="1:23" s="4" customFormat="1" hidden="1" x14ac:dyDescent="0.25">
      <c r="A7" s="4" t="s">
        <v>6</v>
      </c>
      <c r="B7" s="4" t="s">
        <v>7</v>
      </c>
      <c r="C7" s="4" t="s">
        <v>11</v>
      </c>
      <c r="D7" s="4" t="s">
        <v>12</v>
      </c>
      <c r="E7" s="4">
        <v>1998</v>
      </c>
      <c r="F7" s="4" t="s">
        <v>13</v>
      </c>
      <c r="G7" s="4">
        <v>1952</v>
      </c>
      <c r="H7" s="6">
        <v>1</v>
      </c>
      <c r="I7" s="4">
        <v>1952</v>
      </c>
      <c r="J7" s="4">
        <v>72.8</v>
      </c>
      <c r="K7" s="4">
        <v>1221.3</v>
      </c>
      <c r="L7" s="8">
        <v>1135</v>
      </c>
      <c r="M7" s="14">
        <v>0.74</v>
      </c>
      <c r="N7" s="14">
        <v>12.44</v>
      </c>
      <c r="O7" s="14">
        <f t="shared" si="0"/>
        <v>13.18</v>
      </c>
      <c r="P7" s="8">
        <v>7238067</v>
      </c>
      <c r="Q7" s="8">
        <v>10247</v>
      </c>
      <c r="R7" s="10">
        <f>VLOOKUP(F7,Sheet2!$A$1:$C$5,2)</f>
        <v>600</v>
      </c>
      <c r="S7" s="11" t="s">
        <v>38</v>
      </c>
      <c r="T7" s="10">
        <f>VLOOKUP(F7,Sheet2!$A$1:$C$5,3)</f>
        <v>800</v>
      </c>
      <c r="U7" s="12">
        <f t="shared" si="1"/>
        <v>681</v>
      </c>
      <c r="V7" s="13" t="s">
        <v>38</v>
      </c>
      <c r="W7" s="12">
        <f t="shared" si="2"/>
        <v>908</v>
      </c>
    </row>
    <row r="8" spans="1:23" s="4" customFormat="1" x14ac:dyDescent="0.25">
      <c r="A8" s="4" t="s">
        <v>6</v>
      </c>
      <c r="B8" s="4" t="s">
        <v>17</v>
      </c>
      <c r="C8" s="4" t="s">
        <v>8</v>
      </c>
      <c r="D8" s="4" t="s">
        <v>9</v>
      </c>
      <c r="E8" s="4">
        <v>1998</v>
      </c>
      <c r="F8" s="4" t="s">
        <v>18</v>
      </c>
      <c r="G8" s="4">
        <v>1949</v>
      </c>
      <c r="H8" s="8">
        <v>100</v>
      </c>
      <c r="I8" s="4">
        <v>1971</v>
      </c>
      <c r="J8" s="4">
        <v>0.1</v>
      </c>
      <c r="K8" s="4">
        <v>167.54</v>
      </c>
      <c r="L8" s="8">
        <v>122</v>
      </c>
      <c r="M8" s="14">
        <v>21.68</v>
      </c>
      <c r="N8" s="14">
        <v>52.26</v>
      </c>
      <c r="O8" s="14">
        <f t="shared" si="0"/>
        <v>73.94</v>
      </c>
      <c r="P8" s="8">
        <v>1084</v>
      </c>
      <c r="Q8" s="8">
        <v>14389</v>
      </c>
      <c r="R8" s="8">
        <f>VLOOKUP(F8,Sheet2!$A$1:$C$5,2)</f>
        <v>150</v>
      </c>
      <c r="S8" s="19" t="s">
        <v>38</v>
      </c>
      <c r="T8" s="8">
        <f>VLOOKUP(F8,Sheet2!$A$1:$C$5,3)</f>
        <v>250</v>
      </c>
      <c r="U8" s="18">
        <f t="shared" si="1"/>
        <v>18.3</v>
      </c>
      <c r="V8" s="20" t="s">
        <v>38</v>
      </c>
      <c r="W8" s="18">
        <f t="shared" si="2"/>
        <v>30.5</v>
      </c>
    </row>
    <row r="9" spans="1:23" s="4" customFormat="1" hidden="1" x14ac:dyDescent="0.25">
      <c r="A9" s="4" t="s">
        <v>6</v>
      </c>
      <c r="B9" s="4" t="s">
        <v>16</v>
      </c>
      <c r="C9" s="4" t="s">
        <v>11</v>
      </c>
      <c r="D9" s="4" t="s">
        <v>12</v>
      </c>
      <c r="E9" s="4">
        <v>1998</v>
      </c>
      <c r="F9" s="4" t="s">
        <v>13</v>
      </c>
      <c r="G9" s="4">
        <v>1981</v>
      </c>
      <c r="H9" s="8">
        <v>100</v>
      </c>
      <c r="I9" s="4">
        <v>1981</v>
      </c>
      <c r="J9" s="4">
        <v>72.22</v>
      </c>
      <c r="K9" s="4">
        <v>669.29</v>
      </c>
      <c r="L9" s="8">
        <v>600</v>
      </c>
      <c r="M9" s="14">
        <v>0.97</v>
      </c>
      <c r="N9" s="14">
        <v>11.28</v>
      </c>
      <c r="O9" s="14">
        <f t="shared" si="0"/>
        <v>12.25</v>
      </c>
      <c r="P9" s="8">
        <v>3795969</v>
      </c>
      <c r="Q9" s="8">
        <v>10264</v>
      </c>
      <c r="R9" s="8">
        <f>VLOOKUP(F9,Sheet2!$A$1:$C$5,2)</f>
        <v>600</v>
      </c>
      <c r="S9" s="19" t="s">
        <v>38</v>
      </c>
      <c r="T9" s="8">
        <f>VLOOKUP(F9,Sheet2!$A$1:$C$5,3)</f>
        <v>800</v>
      </c>
      <c r="U9" s="18">
        <f t="shared" si="1"/>
        <v>360</v>
      </c>
      <c r="V9" s="20" t="s">
        <v>38</v>
      </c>
      <c r="W9" s="18">
        <f t="shared" si="2"/>
        <v>480</v>
      </c>
    </row>
    <row r="10" spans="1:23" s="4" customFormat="1" x14ac:dyDescent="0.25">
      <c r="A10" s="4" t="s">
        <v>21</v>
      </c>
      <c r="B10" s="4" t="s">
        <v>22</v>
      </c>
      <c r="C10" s="4" t="s">
        <v>23</v>
      </c>
      <c r="D10" s="4" t="s">
        <v>9</v>
      </c>
      <c r="E10" s="4">
        <v>1998</v>
      </c>
      <c r="F10" s="4" t="s">
        <v>18</v>
      </c>
      <c r="G10" s="4">
        <v>1970</v>
      </c>
      <c r="H10" s="8">
        <v>100</v>
      </c>
      <c r="I10" s="4">
        <v>1972</v>
      </c>
      <c r="J10" s="4">
        <v>1.5</v>
      </c>
      <c r="K10" s="4">
        <v>10.4</v>
      </c>
      <c r="L10" s="8">
        <v>11</v>
      </c>
      <c r="M10" s="14">
        <v>16.11</v>
      </c>
      <c r="N10" s="14">
        <v>38.200000000000003</v>
      </c>
      <c r="O10" s="14">
        <f t="shared" si="0"/>
        <v>54.31</v>
      </c>
      <c r="P10" s="8">
        <v>1445</v>
      </c>
      <c r="Q10" s="8">
        <v>10712</v>
      </c>
      <c r="R10" s="8">
        <f>VLOOKUP(F10,Sheet2!$A$1:$C$5,2)</f>
        <v>150</v>
      </c>
      <c r="S10" s="19" t="s">
        <v>38</v>
      </c>
      <c r="T10" s="8">
        <f>VLOOKUP(F10,Sheet2!$A$1:$C$5,3)</f>
        <v>250</v>
      </c>
      <c r="U10" s="18">
        <f t="shared" si="1"/>
        <v>1.65</v>
      </c>
      <c r="V10" s="20" t="s">
        <v>38</v>
      </c>
      <c r="W10" s="18">
        <f t="shared" si="2"/>
        <v>2.75</v>
      </c>
    </row>
    <row r="11" spans="1:23" s="4" customFormat="1" x14ac:dyDescent="0.25">
      <c r="A11" s="4" t="s">
        <v>21</v>
      </c>
      <c r="B11" s="4" t="s">
        <v>24</v>
      </c>
      <c r="C11" s="4" t="s">
        <v>8</v>
      </c>
      <c r="D11" s="4" t="s">
        <v>9</v>
      </c>
      <c r="E11" s="4">
        <v>1998</v>
      </c>
      <c r="F11" s="4" t="s">
        <v>18</v>
      </c>
      <c r="G11" s="4">
        <v>1972</v>
      </c>
      <c r="H11" s="8">
        <v>100</v>
      </c>
      <c r="I11" s="4">
        <v>1972</v>
      </c>
      <c r="J11" s="4">
        <v>1.03</v>
      </c>
      <c r="K11" s="4">
        <v>83.7</v>
      </c>
      <c r="L11" s="8">
        <v>98</v>
      </c>
      <c r="M11" s="14">
        <v>12.94</v>
      </c>
      <c r="N11" s="14">
        <v>51.92</v>
      </c>
      <c r="O11" s="14">
        <f t="shared" si="0"/>
        <v>64.86</v>
      </c>
      <c r="P11" s="8">
        <v>8803</v>
      </c>
      <c r="Q11" s="8">
        <v>14367</v>
      </c>
      <c r="R11" s="8">
        <f>VLOOKUP(F11,Sheet2!$A$1:$C$5,2)</f>
        <v>150</v>
      </c>
      <c r="S11" s="19" t="s">
        <v>38</v>
      </c>
      <c r="T11" s="8">
        <f>VLOOKUP(F11,Sheet2!$A$1:$C$5,3)</f>
        <v>250</v>
      </c>
      <c r="U11" s="18">
        <f t="shared" si="1"/>
        <v>14.7</v>
      </c>
      <c r="V11" s="20" t="s">
        <v>38</v>
      </c>
      <c r="W11" s="18">
        <f t="shared" si="2"/>
        <v>24.5</v>
      </c>
    </row>
    <row r="12" spans="1:23" s="4" customFormat="1" x14ac:dyDescent="0.25">
      <c r="A12" s="4" t="s">
        <v>21</v>
      </c>
      <c r="B12" s="4" t="s">
        <v>32</v>
      </c>
      <c r="C12" s="4" t="s">
        <v>23</v>
      </c>
      <c r="D12" s="4" t="s">
        <v>9</v>
      </c>
      <c r="E12" s="4">
        <v>1998</v>
      </c>
      <c r="F12" s="4" t="s">
        <v>18</v>
      </c>
      <c r="G12" s="4">
        <v>1968</v>
      </c>
      <c r="H12" s="8">
        <v>100</v>
      </c>
      <c r="I12" s="4">
        <v>1968</v>
      </c>
      <c r="J12" s="4">
        <v>0.19</v>
      </c>
      <c r="K12" s="4">
        <v>104.64</v>
      </c>
      <c r="L12" s="8">
        <v>104</v>
      </c>
      <c r="M12" s="14">
        <v>15.69</v>
      </c>
      <c r="N12" s="14">
        <v>120.17</v>
      </c>
      <c r="O12" s="14">
        <f t="shared" si="0"/>
        <v>135.86000000000001</v>
      </c>
      <c r="P12" s="8">
        <v>1721</v>
      </c>
      <c r="Q12" s="8">
        <v>33802</v>
      </c>
      <c r="R12" s="8">
        <f>VLOOKUP(F12,Sheet2!$A$1:$C$5,2)</f>
        <v>150</v>
      </c>
      <c r="S12" s="19" t="s">
        <v>38</v>
      </c>
      <c r="T12" s="8">
        <f>VLOOKUP(F12,Sheet2!$A$1:$C$5,3)</f>
        <v>250</v>
      </c>
      <c r="U12" s="18">
        <f t="shared" si="1"/>
        <v>15.6</v>
      </c>
      <c r="V12" s="20" t="s">
        <v>38</v>
      </c>
      <c r="W12" s="18">
        <f t="shared" si="2"/>
        <v>26</v>
      </c>
    </row>
    <row r="13" spans="1:23" s="4" customFormat="1" ht="15" x14ac:dyDescent="0.4">
      <c r="A13" s="4" t="s">
        <v>21</v>
      </c>
      <c r="B13" s="4" t="s">
        <v>34</v>
      </c>
      <c r="C13" s="4" t="s">
        <v>23</v>
      </c>
      <c r="D13" s="4" t="s">
        <v>9</v>
      </c>
      <c r="E13" s="4">
        <v>1998</v>
      </c>
      <c r="F13" s="4" t="s">
        <v>35</v>
      </c>
      <c r="G13" s="4">
        <v>1953</v>
      </c>
      <c r="H13" s="8">
        <v>100</v>
      </c>
      <c r="I13" s="4">
        <v>1967</v>
      </c>
      <c r="J13" s="4">
        <v>0.79</v>
      </c>
      <c r="K13" s="4">
        <v>8.25</v>
      </c>
      <c r="L13" s="33">
        <v>8.25</v>
      </c>
      <c r="M13" s="14">
        <v>11.99</v>
      </c>
      <c r="N13" s="14">
        <v>44.78</v>
      </c>
      <c r="O13" s="14">
        <f t="shared" si="0"/>
        <v>56.77</v>
      </c>
      <c r="P13" s="8">
        <v>569</v>
      </c>
      <c r="Q13" s="8">
        <v>0</v>
      </c>
      <c r="R13" s="8">
        <f>VLOOKUP(F13,Sheet2!$A$1:$C$5,2)</f>
        <v>150</v>
      </c>
      <c r="S13" s="19" t="s">
        <v>38</v>
      </c>
      <c r="T13" s="8">
        <f>VLOOKUP(F13,Sheet2!$A$1:$C$5,3)</f>
        <v>250</v>
      </c>
      <c r="U13" s="21">
        <f t="shared" si="1"/>
        <v>1.2375</v>
      </c>
      <c r="V13" s="20" t="s">
        <v>38</v>
      </c>
      <c r="W13" s="21">
        <f t="shared" si="2"/>
        <v>2.0625</v>
      </c>
    </row>
    <row r="14" spans="1:23" s="4" customFormat="1" x14ac:dyDescent="0.25">
      <c r="H14" s="8"/>
      <c r="L14" s="8">
        <f>SUM(L6+L8+L10+L11+L12+L13)</f>
        <v>588.04999999999995</v>
      </c>
      <c r="M14" s="14"/>
      <c r="N14" s="14"/>
      <c r="O14" s="14"/>
      <c r="P14" s="8"/>
      <c r="Q14" s="8"/>
      <c r="R14" s="8"/>
      <c r="S14" s="19"/>
      <c r="T14" s="8"/>
      <c r="U14" s="10">
        <f>SUM(U6+U8+U10+U11+U12+U13)</f>
        <v>88.207499999999982</v>
      </c>
      <c r="V14" s="20" t="s">
        <v>38</v>
      </c>
      <c r="W14" s="10">
        <f>SUM(W6+W8+W10+W11+W12+W13)</f>
        <v>147.01249999999999</v>
      </c>
    </row>
    <row r="15" spans="1:23" s="4" customFormat="1" x14ac:dyDescent="0.25">
      <c r="R15" s="10"/>
    </row>
    <row r="16" spans="1:23" s="4" customFormat="1" hidden="1" x14ac:dyDescent="0.25">
      <c r="A16" s="4" t="s">
        <v>6</v>
      </c>
      <c r="B16" s="4" t="s">
        <v>17</v>
      </c>
      <c r="C16" s="4" t="s">
        <v>11</v>
      </c>
      <c r="D16" s="4" t="s">
        <v>12</v>
      </c>
      <c r="E16" s="4">
        <v>1998</v>
      </c>
      <c r="F16" s="4" t="s">
        <v>13</v>
      </c>
      <c r="G16" s="4">
        <v>1949</v>
      </c>
      <c r="H16" s="8">
        <v>100</v>
      </c>
      <c r="I16" s="4">
        <v>1949</v>
      </c>
      <c r="J16" s="4">
        <v>65.72</v>
      </c>
      <c r="K16" s="4">
        <v>1377.95</v>
      </c>
      <c r="L16" s="8">
        <v>1243</v>
      </c>
      <c r="M16" s="14">
        <v>0.74</v>
      </c>
      <c r="N16" s="14">
        <v>13.17</v>
      </c>
      <c r="O16" s="14">
        <f t="shared" ref="O16:O21" si="3">M16+N16</f>
        <v>13.91</v>
      </c>
      <c r="P16" s="8">
        <v>7156230</v>
      </c>
      <c r="Q16" s="8">
        <v>10123</v>
      </c>
      <c r="R16" s="8">
        <f>VLOOKUP(F16,Sheet2!$A$1:$C$5,2)</f>
        <v>600</v>
      </c>
      <c r="S16" s="19" t="s">
        <v>38</v>
      </c>
      <c r="T16" s="8">
        <f>VLOOKUP(F16,Sheet2!$A$1:$C$5,3)</f>
        <v>800</v>
      </c>
      <c r="U16" s="18">
        <f t="shared" ref="U16:U21" si="4">R16*L16/1000</f>
        <v>745.8</v>
      </c>
      <c r="V16" s="20" t="s">
        <v>38</v>
      </c>
      <c r="W16" s="18">
        <f t="shared" ref="W16:W21" si="5">T16*L16/1000</f>
        <v>994.4</v>
      </c>
    </row>
    <row r="17" spans="1:23" s="4" customFormat="1" hidden="1" x14ac:dyDescent="0.25">
      <c r="A17" s="4" t="s">
        <v>6</v>
      </c>
      <c r="B17" s="4" t="s">
        <v>19</v>
      </c>
      <c r="C17" s="4" t="s">
        <v>11</v>
      </c>
      <c r="D17" s="4" t="s">
        <v>12</v>
      </c>
      <c r="E17" s="4">
        <v>1998</v>
      </c>
      <c r="F17" s="4" t="s">
        <v>13</v>
      </c>
      <c r="G17" s="4">
        <v>1991</v>
      </c>
      <c r="H17" s="8">
        <v>100</v>
      </c>
      <c r="I17" s="4">
        <v>1991</v>
      </c>
      <c r="J17" s="4">
        <v>83.35</v>
      </c>
      <c r="K17" s="4">
        <v>1425.62</v>
      </c>
      <c r="L17" s="8">
        <v>1307</v>
      </c>
      <c r="M17" s="14">
        <v>0.65</v>
      </c>
      <c r="N17" s="14">
        <v>10.47</v>
      </c>
      <c r="O17" s="14">
        <f t="shared" si="3"/>
        <v>11.120000000000001</v>
      </c>
      <c r="P17" s="8">
        <v>9543193</v>
      </c>
      <c r="Q17" s="8">
        <v>9744</v>
      </c>
      <c r="R17" s="8">
        <f>VLOOKUP(F17,Sheet2!$A$1:$C$5,2)</f>
        <v>600</v>
      </c>
      <c r="S17" s="19" t="s">
        <v>38</v>
      </c>
      <c r="T17" s="8">
        <f>VLOOKUP(F17,Sheet2!$A$1:$C$5,3)</f>
        <v>800</v>
      </c>
      <c r="U17" s="18">
        <f t="shared" si="4"/>
        <v>784.2</v>
      </c>
      <c r="V17" s="20" t="s">
        <v>38</v>
      </c>
      <c r="W17" s="18">
        <f t="shared" si="5"/>
        <v>1045.5999999999999</v>
      </c>
    </row>
    <row r="18" spans="1:23" s="4" customFormat="1" x14ac:dyDescent="0.25">
      <c r="A18" s="4" t="s">
        <v>6</v>
      </c>
      <c r="B18" s="4" t="s">
        <v>20</v>
      </c>
      <c r="C18" s="4" t="s">
        <v>8</v>
      </c>
      <c r="D18" s="4" t="s">
        <v>9</v>
      </c>
      <c r="E18" s="4">
        <v>1998</v>
      </c>
      <c r="F18" s="4" t="s">
        <v>15</v>
      </c>
      <c r="G18" s="4">
        <v>1992</v>
      </c>
      <c r="H18" s="6">
        <v>1</v>
      </c>
      <c r="I18" s="4">
        <v>1992</v>
      </c>
      <c r="J18" s="7">
        <v>4.6300000000000001E-2</v>
      </c>
      <c r="K18" s="4">
        <v>489.6</v>
      </c>
      <c r="L18" s="8">
        <v>564</v>
      </c>
      <c r="M18" s="9">
        <v>2.15</v>
      </c>
      <c r="N18" s="9">
        <v>39.01</v>
      </c>
      <c r="O18" s="9">
        <f t="shared" si="3"/>
        <v>41.16</v>
      </c>
      <c r="P18" s="8">
        <v>228897</v>
      </c>
      <c r="Q18" s="8">
        <v>17466</v>
      </c>
      <c r="R18" s="10">
        <f>VLOOKUP(F18,Sheet2!$A$1:$C$5,2)</f>
        <v>150</v>
      </c>
      <c r="S18" s="19" t="s">
        <v>38</v>
      </c>
      <c r="T18" s="10">
        <f>VLOOKUP(F18,Sheet2!$A$1:$C$5,3)</f>
        <v>250</v>
      </c>
      <c r="U18" s="10">
        <f t="shared" si="4"/>
        <v>84.6</v>
      </c>
      <c r="V18" s="20" t="s">
        <v>38</v>
      </c>
      <c r="W18" s="10">
        <f t="shared" si="5"/>
        <v>141</v>
      </c>
    </row>
    <row r="19" spans="1:23" s="4" customFormat="1" x14ac:dyDescent="0.25">
      <c r="A19" s="4" t="s">
        <v>21</v>
      </c>
      <c r="B19" s="4" t="s">
        <v>22</v>
      </c>
      <c r="C19" s="4" t="s">
        <v>8</v>
      </c>
      <c r="D19" s="4" t="s">
        <v>9</v>
      </c>
      <c r="E19" s="4">
        <v>1998</v>
      </c>
      <c r="F19" s="4" t="s">
        <v>15</v>
      </c>
      <c r="G19" s="4">
        <v>1970</v>
      </c>
      <c r="H19" s="8">
        <v>100</v>
      </c>
      <c r="I19" s="4">
        <v>1993</v>
      </c>
      <c r="J19" s="4">
        <v>5.38</v>
      </c>
      <c r="K19" s="4">
        <v>121</v>
      </c>
      <c r="L19" s="8">
        <v>120</v>
      </c>
      <c r="M19" s="14">
        <v>0.42</v>
      </c>
      <c r="N19" s="14">
        <v>32.61</v>
      </c>
      <c r="O19" s="14">
        <f t="shared" si="3"/>
        <v>33.03</v>
      </c>
      <c r="P19" s="8">
        <v>56598</v>
      </c>
      <c r="Q19" s="8">
        <v>12279</v>
      </c>
      <c r="R19" s="8">
        <f>VLOOKUP(F19,Sheet2!$A$1:$C$5,2)</f>
        <v>150</v>
      </c>
      <c r="S19" s="19" t="s">
        <v>38</v>
      </c>
      <c r="T19" s="8">
        <f>VLOOKUP(F19,Sheet2!$A$1:$C$5,3)</f>
        <v>250</v>
      </c>
      <c r="U19" s="18">
        <f t="shared" si="4"/>
        <v>18</v>
      </c>
      <c r="V19" s="20" t="s">
        <v>38</v>
      </c>
      <c r="W19" s="18">
        <f t="shared" si="5"/>
        <v>30</v>
      </c>
    </row>
    <row r="20" spans="1:23" s="4" customFormat="1" ht="15" customHeight="1" x14ac:dyDescent="0.25">
      <c r="A20" s="4" t="s">
        <v>6</v>
      </c>
      <c r="B20" s="4" t="s">
        <v>14</v>
      </c>
      <c r="C20" s="4" t="s">
        <v>8</v>
      </c>
      <c r="D20" s="4" t="s">
        <v>9</v>
      </c>
      <c r="E20" s="4">
        <v>1998</v>
      </c>
      <c r="F20" s="4" t="s">
        <v>15</v>
      </c>
      <c r="G20" s="4">
        <v>1965</v>
      </c>
      <c r="H20" s="8">
        <v>100</v>
      </c>
      <c r="I20" s="4">
        <v>1965</v>
      </c>
      <c r="J20" s="4">
        <v>2.0299999999999998</v>
      </c>
      <c r="K20" s="4">
        <v>175.64</v>
      </c>
      <c r="L20" s="25">
        <v>105</v>
      </c>
      <c r="M20" s="14">
        <v>3.07</v>
      </c>
      <c r="N20" s="14">
        <v>60.1</v>
      </c>
      <c r="O20" s="14">
        <f t="shared" si="3"/>
        <v>63.17</v>
      </c>
      <c r="P20" s="8">
        <v>18682</v>
      </c>
      <c r="Q20" s="8">
        <v>22578</v>
      </c>
      <c r="R20" s="8">
        <f>VLOOKUP(F20,Sheet2!$A$1:$C$5,2)</f>
        <v>150</v>
      </c>
      <c r="S20" s="19" t="s">
        <v>38</v>
      </c>
      <c r="T20" s="8">
        <f>VLOOKUP(F20,Sheet2!$A$1:$C$5,3)</f>
        <v>250</v>
      </c>
      <c r="U20" s="28">
        <f t="shared" si="4"/>
        <v>15.75</v>
      </c>
      <c r="V20" s="20" t="s">
        <v>38</v>
      </c>
      <c r="W20" s="28">
        <f t="shared" si="5"/>
        <v>26.25</v>
      </c>
    </row>
    <row r="21" spans="1:23" s="4" customFormat="1" hidden="1" x14ac:dyDescent="0.25">
      <c r="A21" s="4" t="s">
        <v>21</v>
      </c>
      <c r="B21" s="4" t="s">
        <v>22</v>
      </c>
      <c r="C21" s="4" t="s">
        <v>11</v>
      </c>
      <c r="D21" s="4" t="s">
        <v>12</v>
      </c>
      <c r="E21" s="4">
        <v>1998</v>
      </c>
      <c r="F21" s="4" t="s">
        <v>13</v>
      </c>
      <c r="G21" s="4">
        <v>1970</v>
      </c>
      <c r="H21" s="8">
        <v>100</v>
      </c>
      <c r="I21" s="4">
        <v>1970</v>
      </c>
      <c r="J21" s="4">
        <v>64.66</v>
      </c>
      <c r="K21" s="4">
        <v>1062</v>
      </c>
      <c r="L21" s="8">
        <v>984</v>
      </c>
      <c r="M21" s="14">
        <v>0.54</v>
      </c>
      <c r="N21" s="14">
        <v>12.65</v>
      </c>
      <c r="O21" s="14">
        <f t="shared" si="3"/>
        <v>13.190000000000001</v>
      </c>
      <c r="P21" s="8">
        <v>5573767</v>
      </c>
      <c r="Q21" s="8">
        <v>10250</v>
      </c>
      <c r="R21" s="8">
        <f>VLOOKUP(F21,Sheet2!$A$1:$C$5,2)</f>
        <v>600</v>
      </c>
      <c r="S21" s="19" t="s">
        <v>38</v>
      </c>
      <c r="T21" s="8">
        <f>VLOOKUP(F21,Sheet2!$A$1:$C$5,3)</f>
        <v>800</v>
      </c>
      <c r="U21" s="18">
        <f t="shared" si="4"/>
        <v>590.4</v>
      </c>
      <c r="V21" s="20" t="s">
        <v>38</v>
      </c>
      <c r="W21" s="18">
        <f t="shared" si="5"/>
        <v>787.2</v>
      </c>
    </row>
    <row r="22" spans="1:23" s="4" customFormat="1" x14ac:dyDescent="0.25">
      <c r="L22" s="27">
        <f>SUM(L18+L19+L20)</f>
        <v>789</v>
      </c>
      <c r="U22" s="10">
        <f>SUM(U18+U19+U20)</f>
        <v>118.35</v>
      </c>
      <c r="V22" s="20" t="s">
        <v>38</v>
      </c>
      <c r="W22" s="10">
        <f>SUM(W18+W19+W20)</f>
        <v>197.25</v>
      </c>
    </row>
    <row r="23" spans="1:23" s="4" customFormat="1" x14ac:dyDescent="0.25"/>
    <row r="24" spans="1:23" s="4" customFormat="1" hidden="1" x14ac:dyDescent="0.25">
      <c r="A24" s="4" t="s">
        <v>21</v>
      </c>
      <c r="B24" s="4" t="s">
        <v>26</v>
      </c>
      <c r="C24" s="4" t="s">
        <v>11</v>
      </c>
      <c r="D24" s="4" t="s">
        <v>12</v>
      </c>
      <c r="E24" s="4">
        <v>1998</v>
      </c>
      <c r="F24" s="4" t="s">
        <v>13</v>
      </c>
      <c r="G24" s="4">
        <v>1958</v>
      </c>
      <c r="H24" s="8">
        <v>100</v>
      </c>
      <c r="I24" s="4">
        <v>1958</v>
      </c>
      <c r="J24" s="4">
        <v>59.05</v>
      </c>
      <c r="K24" s="4">
        <v>600</v>
      </c>
      <c r="L24" s="8">
        <v>560</v>
      </c>
      <c r="M24" s="14">
        <v>0.79</v>
      </c>
      <c r="N24" s="14">
        <v>12.22</v>
      </c>
      <c r="O24" s="14">
        <f>M24+N24</f>
        <v>13.010000000000002</v>
      </c>
      <c r="P24" s="8">
        <v>2896938</v>
      </c>
      <c r="Q24" s="8">
        <v>10717</v>
      </c>
      <c r="R24" s="8">
        <f>VLOOKUP(F24,Sheet2!$A$1:$C$5,2)</f>
        <v>600</v>
      </c>
      <c r="S24" s="19" t="s">
        <v>38</v>
      </c>
      <c r="T24" s="8">
        <f>VLOOKUP(F24,Sheet2!$A$1:$C$5,3)</f>
        <v>800</v>
      </c>
      <c r="U24" s="18">
        <f>R24*L24/1000</f>
        <v>336</v>
      </c>
      <c r="V24" s="20" t="s">
        <v>38</v>
      </c>
      <c r="W24" s="18">
        <f>T24*L24/1000</f>
        <v>448</v>
      </c>
    </row>
    <row r="25" spans="1:23" s="4" customFormat="1" hidden="1" x14ac:dyDescent="0.25">
      <c r="A25" s="4" t="s">
        <v>21</v>
      </c>
      <c r="B25" s="4" t="s">
        <v>27</v>
      </c>
      <c r="C25" s="4" t="s">
        <v>11</v>
      </c>
      <c r="D25" s="4" t="s">
        <v>12</v>
      </c>
      <c r="E25" s="4">
        <v>1998</v>
      </c>
      <c r="F25" s="4" t="s">
        <v>13</v>
      </c>
      <c r="G25" s="4">
        <v>1975</v>
      </c>
      <c r="H25" s="8">
        <v>100</v>
      </c>
      <c r="I25" s="4">
        <v>1975</v>
      </c>
      <c r="J25" s="4">
        <v>67.13</v>
      </c>
      <c r="K25" s="4">
        <v>3339.9</v>
      </c>
      <c r="L25" s="8">
        <v>3160.55</v>
      </c>
      <c r="M25" s="14">
        <v>0.56999999999999995</v>
      </c>
      <c r="N25" s="14">
        <v>13.04</v>
      </c>
      <c r="O25" s="14">
        <f>M25+N25</f>
        <v>13.61</v>
      </c>
      <c r="P25" s="8">
        <v>18585101</v>
      </c>
      <c r="Q25" s="8">
        <v>10253</v>
      </c>
      <c r="R25" s="8">
        <f>VLOOKUP(F25,Sheet2!$A$1:$C$5,2)</f>
        <v>600</v>
      </c>
      <c r="S25" s="19" t="s">
        <v>38</v>
      </c>
      <c r="T25" s="8">
        <f>VLOOKUP(F25,Sheet2!$A$1:$C$5,3)</f>
        <v>800</v>
      </c>
      <c r="U25" s="18">
        <f>R25*L25/1000</f>
        <v>1896.33</v>
      </c>
      <c r="V25" s="20" t="s">
        <v>38</v>
      </c>
      <c r="W25" s="18">
        <f>T25*L25/1000</f>
        <v>2528.44</v>
      </c>
    </row>
    <row r="26" spans="1:23" s="4" customFormat="1" hidden="1" x14ac:dyDescent="0.25">
      <c r="A26" s="4" t="s">
        <v>21</v>
      </c>
      <c r="B26" s="4" t="s">
        <v>28</v>
      </c>
      <c r="C26" s="4" t="s">
        <v>29</v>
      </c>
      <c r="D26" s="4" t="s">
        <v>30</v>
      </c>
      <c r="E26" s="4">
        <v>1998</v>
      </c>
      <c r="F26" s="4" t="s">
        <v>31</v>
      </c>
      <c r="G26" s="4">
        <v>1967</v>
      </c>
      <c r="H26" s="8">
        <v>100</v>
      </c>
      <c r="I26" s="4">
        <v>1967</v>
      </c>
      <c r="J26" s="4">
        <v>88.72</v>
      </c>
      <c r="K26" s="4">
        <v>64.8</v>
      </c>
      <c r="L26" s="8">
        <v>45</v>
      </c>
      <c r="M26" s="14">
        <v>0.51</v>
      </c>
      <c r="N26" s="14">
        <v>0.15</v>
      </c>
      <c r="O26" s="14">
        <f>M26+N26</f>
        <v>0.66</v>
      </c>
      <c r="P26" s="8">
        <v>349729</v>
      </c>
      <c r="Q26" s="8">
        <v>0</v>
      </c>
      <c r="R26" s="8">
        <f>VLOOKUP(F26,Sheet2!$A$1:$C$5,2)</f>
        <v>700</v>
      </c>
      <c r="S26" s="19" t="s">
        <v>38</v>
      </c>
      <c r="T26" s="8">
        <f>VLOOKUP(F26,Sheet2!$A$1:$C$5,3)</f>
        <v>800</v>
      </c>
      <c r="U26" s="18">
        <f>R26*L26/1000</f>
        <v>31.5</v>
      </c>
      <c r="V26" s="20" t="s">
        <v>38</v>
      </c>
      <c r="W26" s="18">
        <f>T26*L26/1000</f>
        <v>36</v>
      </c>
    </row>
    <row r="27" spans="1:23" s="4" customFormat="1" ht="13.8" thickBot="1" x14ac:dyDescent="0.3">
      <c r="L27" s="34">
        <f>SUM(L4+L14+L22)</f>
        <v>1537.05</v>
      </c>
      <c r="U27" s="35">
        <f>U4+U14+U22</f>
        <v>302.5575</v>
      </c>
      <c r="V27" s="20" t="s">
        <v>38</v>
      </c>
      <c r="W27" s="35">
        <f>SUM(W4+W14+W22)</f>
        <v>472.26249999999999</v>
      </c>
    </row>
    <row r="28" spans="1:23" s="4" customFormat="1" hidden="1" x14ac:dyDescent="0.25">
      <c r="A28" s="4" t="s">
        <v>21</v>
      </c>
      <c r="B28" s="4" t="s">
        <v>33</v>
      </c>
      <c r="C28" s="4" t="s">
        <v>11</v>
      </c>
      <c r="D28" s="4" t="s">
        <v>12</v>
      </c>
      <c r="E28" s="4">
        <v>1998</v>
      </c>
      <c r="F28" s="4" t="s">
        <v>13</v>
      </c>
      <c r="G28" s="4">
        <v>1950</v>
      </c>
      <c r="H28" s="8">
        <v>100</v>
      </c>
      <c r="I28" s="4">
        <v>1950</v>
      </c>
      <c r="J28" s="4">
        <v>40.69</v>
      </c>
      <c r="K28" s="4">
        <v>100</v>
      </c>
      <c r="L28" s="8">
        <v>90</v>
      </c>
      <c r="M28" s="14">
        <v>2.25</v>
      </c>
      <c r="N28" s="14">
        <v>16.72</v>
      </c>
      <c r="O28" s="14">
        <f>M28+N28</f>
        <v>18.97</v>
      </c>
      <c r="P28" s="8">
        <v>320780</v>
      </c>
      <c r="Q28" s="8">
        <v>13022</v>
      </c>
      <c r="R28" s="8">
        <f>VLOOKUP(F28,Sheet2!$A$1:$C$5,2)</f>
        <v>600</v>
      </c>
      <c r="S28" s="19" t="s">
        <v>38</v>
      </c>
      <c r="T28" s="8">
        <f>VLOOKUP(F28,Sheet2!$A$1:$C$5,3)</f>
        <v>800</v>
      </c>
      <c r="U28" s="18">
        <f>R28*L28/1000</f>
        <v>54</v>
      </c>
      <c r="V28" s="20" t="s">
        <v>38</v>
      </c>
      <c r="W28" s="18">
        <f>T28*L28/1000</f>
        <v>72</v>
      </c>
    </row>
    <row r="29" spans="1:23" s="4" customFormat="1" ht="13.8" thickTop="1" x14ac:dyDescent="0.25"/>
    <row r="30" spans="1:23" s="4" customFormat="1" hidden="1" x14ac:dyDescent="0.25">
      <c r="A30" s="4" t="s">
        <v>21</v>
      </c>
      <c r="B30" s="4" t="s">
        <v>34</v>
      </c>
      <c r="C30" s="4" t="s">
        <v>36</v>
      </c>
      <c r="D30" s="4" t="s">
        <v>12</v>
      </c>
      <c r="E30" s="4">
        <v>1998</v>
      </c>
      <c r="F30" s="4" t="s">
        <v>13</v>
      </c>
      <c r="H30" s="6">
        <v>1</v>
      </c>
      <c r="I30" s="4">
        <v>1995</v>
      </c>
      <c r="J30" s="4">
        <v>52.44</v>
      </c>
      <c r="K30" s="4">
        <v>304.5</v>
      </c>
      <c r="L30" s="8">
        <v>262</v>
      </c>
      <c r="M30" s="14">
        <v>5.77</v>
      </c>
      <c r="N30" s="14">
        <v>14.03</v>
      </c>
      <c r="O30" s="14">
        <f>M30+N30</f>
        <v>19.799999999999997</v>
      </c>
      <c r="P30" s="8">
        <v>1203631</v>
      </c>
      <c r="Q30" s="8">
        <v>11341</v>
      </c>
      <c r="R30" s="10">
        <f>VLOOKUP(F30,Sheet2!$A$1:$C$5,2)</f>
        <v>600</v>
      </c>
      <c r="S30" s="11" t="s">
        <v>38</v>
      </c>
      <c r="T30" s="10">
        <f>VLOOKUP(F30,Sheet2!$A$1:$C$5,3)</f>
        <v>800</v>
      </c>
      <c r="U30" s="10">
        <f>R30*L30*1000</f>
        <v>157200000</v>
      </c>
      <c r="V30" s="13" t="s">
        <v>38</v>
      </c>
      <c r="W30" s="10">
        <f>T30*L30*1000</f>
        <v>209600000</v>
      </c>
    </row>
    <row r="31" spans="1:23" s="4" customFormat="1" hidden="1" x14ac:dyDescent="0.25">
      <c r="A31" s="4" t="s">
        <v>21</v>
      </c>
      <c r="B31" s="4" t="s">
        <v>34</v>
      </c>
      <c r="C31" s="4" t="s">
        <v>11</v>
      </c>
      <c r="D31" s="4" t="s">
        <v>12</v>
      </c>
      <c r="E31" s="4">
        <v>1998</v>
      </c>
      <c r="F31" s="4" t="s">
        <v>13</v>
      </c>
      <c r="H31" s="6">
        <v>1</v>
      </c>
      <c r="I31" s="4">
        <v>1953</v>
      </c>
      <c r="J31" s="4">
        <v>59.44</v>
      </c>
      <c r="K31" s="4">
        <v>860.25</v>
      </c>
      <c r="L31" s="8">
        <v>668</v>
      </c>
      <c r="M31" s="14">
        <v>1.1499999999999999</v>
      </c>
      <c r="N31" s="14">
        <v>12.08</v>
      </c>
      <c r="O31" s="14">
        <f>M31+N31</f>
        <v>13.23</v>
      </c>
      <c r="P31" s="8">
        <v>3478047</v>
      </c>
      <c r="Q31" s="8">
        <v>10753</v>
      </c>
      <c r="R31" s="10">
        <f>VLOOKUP(F31,Sheet2!$A$1:$C$5,2)</f>
        <v>600</v>
      </c>
      <c r="S31" s="11" t="s">
        <v>38</v>
      </c>
      <c r="T31" s="10">
        <f>VLOOKUP(F31,Sheet2!$A$1:$C$5,3)</f>
        <v>800</v>
      </c>
      <c r="U31" s="10">
        <f>R31*L31*1000</f>
        <v>400800000</v>
      </c>
      <c r="V31" s="13" t="s">
        <v>38</v>
      </c>
      <c r="W31" s="10">
        <f>T31*L31*1000</f>
        <v>534400000</v>
      </c>
    </row>
    <row r="32" spans="1:23" s="4" customFormat="1" x14ac:dyDescent="0.25">
      <c r="M32" s="15"/>
      <c r="N32" s="15"/>
      <c r="O32" s="15"/>
      <c r="P32" s="15"/>
      <c r="Q32" s="15"/>
      <c r="R32" s="16"/>
      <c r="S32" s="16"/>
      <c r="T32" s="16"/>
    </row>
    <row r="33" spans="2:23" s="4" customFormat="1" x14ac:dyDescent="0.25"/>
    <row r="34" spans="2:23" s="4" customFormat="1" x14ac:dyDescent="0.25">
      <c r="B34" s="17" t="s">
        <v>40</v>
      </c>
    </row>
    <row r="35" spans="2:23" s="4" customFormat="1" x14ac:dyDescent="0.25"/>
    <row r="36" spans="2:23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</sheetData>
  <mergeCells count="2">
    <mergeCell ref="R2:T2"/>
    <mergeCell ref="U2:W2"/>
  </mergeCells>
  <pageMargins left="0.75" right="0.75" top="1" bottom="1" header="0.5" footer="0.5"/>
  <pageSetup scale="84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6" sqref="F6"/>
    </sheetView>
  </sheetViews>
  <sheetFormatPr defaultRowHeight="13.2" x14ac:dyDescent="0.25"/>
  <cols>
    <col min="1" max="1" width="11.109375" bestFit="1" customWidth="1"/>
  </cols>
  <sheetData>
    <row r="1" spans="1:3" x14ac:dyDescent="0.25">
      <c r="A1" t="s">
        <v>13</v>
      </c>
      <c r="B1" s="2">
        <v>600</v>
      </c>
      <c r="C1" s="2">
        <v>800</v>
      </c>
    </row>
    <row r="2" spans="1:3" x14ac:dyDescent="0.25">
      <c r="A2" t="s">
        <v>15</v>
      </c>
      <c r="B2" s="2">
        <v>150</v>
      </c>
      <c r="C2" s="2">
        <v>250</v>
      </c>
    </row>
    <row r="3" spans="1:3" x14ac:dyDescent="0.25">
      <c r="A3" t="s">
        <v>10</v>
      </c>
      <c r="B3" s="2">
        <v>150</v>
      </c>
      <c r="C3" s="2">
        <v>250</v>
      </c>
    </row>
    <row r="4" spans="1:3" x14ac:dyDescent="0.25">
      <c r="A4" t="s">
        <v>18</v>
      </c>
      <c r="B4" s="2">
        <v>150</v>
      </c>
      <c r="C4" s="2">
        <v>250</v>
      </c>
    </row>
    <row r="5" spans="1:3" x14ac:dyDescent="0.25">
      <c r="A5" t="s">
        <v>31</v>
      </c>
      <c r="B5" s="2">
        <v>700</v>
      </c>
      <c r="C5" s="2">
        <v>800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rkelley</dc:creator>
  <cp:lastModifiedBy>Havlíček Jan</cp:lastModifiedBy>
  <cp:lastPrinted>2000-03-10T15:42:07Z</cp:lastPrinted>
  <dcterms:created xsi:type="dcterms:W3CDTF">2000-03-08T22:11:52Z</dcterms:created>
  <dcterms:modified xsi:type="dcterms:W3CDTF">2023-09-10T11:58:18Z</dcterms:modified>
</cp:coreProperties>
</file>